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ImproX\TEP\improx-broker\"/>
    </mc:Choice>
  </mc:AlternateContent>
  <xr:revisionPtr revIDLastSave="0" documentId="13_ncr:1_{BA87B4F8-D373-4BE4-917A-A32258E82E5A}" xr6:coauthVersionLast="47" xr6:coauthVersionMax="47" xr10:uidLastSave="{00000000-0000-0000-0000-000000000000}"/>
  <bookViews>
    <workbookView xWindow="28680" yWindow="-120" windowWidth="29040" windowHeight="17520" tabRatio="633" activeTab="1" xr2:uid="{00000000-000D-0000-FFFF-FFFF00000000}"/>
  </bookViews>
  <sheets>
    <sheet name="RawData" sheetId="1" r:id="rId1"/>
    <sheet name="TEP Report" sheetId="2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</externalReferences>
  <definedNames>
    <definedName name="\M">#REF!</definedName>
    <definedName name="\p">[1]EMR!#REF!</definedName>
    <definedName name="\q">[1]EMR!#REF!</definedName>
    <definedName name="_" hidden="1">[2]DETAIL!#REF!</definedName>
    <definedName name="__" hidden="1">[2]DETAIL!#REF!</definedName>
    <definedName name="___" hidden="1">[2]DETAIL!#REF!</definedName>
    <definedName name="___________FOH2006" hidden="1">{#N/A,#N/A,FALSE,"TL";#N/A,#N/A,FALSE,"KK";#N/A,#N/A,FALSE,"TS";#N/A,#N/A,FALSE,"KW";#N/A,#N/A,FALSE,"LP";#N/A,#N/A,FALSE,"DC"}</definedName>
    <definedName name="__________a1" hidden="1">{"cashflow",#N/A,FALSE,"CASHFLOW "}</definedName>
    <definedName name="__________a10" hidden="1">{"sales",#N/A,FALSE,"SALES"}</definedName>
    <definedName name="__________a2" hidden="1">{"hilight1",#N/A,FALSE,"HILIGHT1"}</definedName>
    <definedName name="__________a3" hidden="1">{"hilight2",#N/A,FALSE,"HILIGHT2"}</definedName>
    <definedName name="__________a4" hidden="1">{"hilight3",#N/A,FALSE,"HILIGHT3"}</definedName>
    <definedName name="__________a5" hidden="1">{"income",#N/A,FALSE,"INCOME"}</definedName>
    <definedName name="__________a6" hidden="1">{"index",#N/A,FALSE,"INDEX"}</definedName>
    <definedName name="__________a7" hidden="1">{"PRINT_EST",#N/A,FALSE,"ESTMON"}</definedName>
    <definedName name="__________a8" hidden="1">{"revsale",#N/A,FALSE,"REV-ยุพดี"}</definedName>
    <definedName name="__________a9" hidden="1">{"revable",#N/A,FALSE,"REVABLE"}</definedName>
    <definedName name="__________FOH2006" hidden="1">{#N/A,#N/A,FALSE,"TL";#N/A,#N/A,FALSE,"KK";#N/A,#N/A,FALSE,"TS";#N/A,#N/A,FALSE,"KW";#N/A,#N/A,FALSE,"LP";#N/A,#N/A,FALSE,"DC"}</definedName>
    <definedName name="_________a1" hidden="1">{"cashflow",#N/A,FALSE,"CASHFLOW "}</definedName>
    <definedName name="_________a10" hidden="1">{"sales",#N/A,FALSE,"SALES"}</definedName>
    <definedName name="_________a2" hidden="1">{"hilight1",#N/A,FALSE,"HILIGHT1"}</definedName>
    <definedName name="_________a3" hidden="1">{"hilight2",#N/A,FALSE,"HILIGHT2"}</definedName>
    <definedName name="_________a4" hidden="1">{"hilight3",#N/A,FALSE,"HILIGHT3"}</definedName>
    <definedName name="_________a5" hidden="1">{"income",#N/A,FALSE,"INCOME"}</definedName>
    <definedName name="_________a6" hidden="1">{"index",#N/A,FALSE,"INDEX"}</definedName>
    <definedName name="_________a7" hidden="1">{"PRINT_EST",#N/A,FALSE,"ESTMON"}</definedName>
    <definedName name="_________a8" hidden="1">{"revsale",#N/A,FALSE,"REV-ยุพดี"}</definedName>
    <definedName name="_________a9" hidden="1">{"revable",#N/A,FALSE,"REVABLE"}</definedName>
    <definedName name="_________FOH2006" hidden="1">{#N/A,#N/A,FALSE,"TL";#N/A,#N/A,FALSE,"KK";#N/A,#N/A,FALSE,"TS";#N/A,#N/A,FALSE,"KW";#N/A,#N/A,FALSE,"LP";#N/A,#N/A,FALSE,"DC"}</definedName>
    <definedName name="________a1" hidden="1">{"cashflow",#N/A,FALSE,"CASHFLOW "}</definedName>
    <definedName name="________a10" hidden="1">{"sales",#N/A,FALSE,"SALES"}</definedName>
    <definedName name="________a2" hidden="1">{"hilight1",#N/A,FALSE,"HILIGHT1"}</definedName>
    <definedName name="________a3" hidden="1">{"hilight2",#N/A,FALSE,"HILIGHT2"}</definedName>
    <definedName name="________a4" hidden="1">{"hilight3",#N/A,FALSE,"HILIGHT3"}</definedName>
    <definedName name="________a5" hidden="1">{"income",#N/A,FALSE,"INCOME"}</definedName>
    <definedName name="________a6" hidden="1">{"index",#N/A,FALSE,"INDEX"}</definedName>
    <definedName name="________a7" hidden="1">{"PRINT_EST",#N/A,FALSE,"ESTMON"}</definedName>
    <definedName name="________a8" hidden="1">{"revsale",#N/A,FALSE,"REV-ยุพดี"}</definedName>
    <definedName name="________a9" hidden="1">{"revable",#N/A,FALSE,"REVABLE"}</definedName>
    <definedName name="________FOH2006" hidden="1">{#N/A,#N/A,FALSE,"TL";#N/A,#N/A,FALSE,"KK";#N/A,#N/A,FALSE,"TS";#N/A,#N/A,FALSE,"KW";#N/A,#N/A,FALSE,"LP";#N/A,#N/A,FALSE,"DC"}</definedName>
    <definedName name="_______a1" hidden="1">{"cashflow",#N/A,FALSE,"CASHFLOW "}</definedName>
    <definedName name="_______a10" hidden="1">{"sales",#N/A,FALSE,"SALES"}</definedName>
    <definedName name="_______a2" hidden="1">{"hilight1",#N/A,FALSE,"HILIGHT1"}</definedName>
    <definedName name="_______a3" hidden="1">{"hilight2",#N/A,FALSE,"HILIGHT2"}</definedName>
    <definedName name="_______a4" hidden="1">{"hilight3",#N/A,FALSE,"HILIGHT3"}</definedName>
    <definedName name="_______a5" hidden="1">{"income",#N/A,FALSE,"INCOME"}</definedName>
    <definedName name="_______a6" hidden="1">{"index",#N/A,FALSE,"INDEX"}</definedName>
    <definedName name="_______a7" hidden="1">{"PRINT_EST",#N/A,FALSE,"ESTMON"}</definedName>
    <definedName name="_______a8" hidden="1">{"revsale",#N/A,FALSE,"REV-ยุพดี"}</definedName>
    <definedName name="_______a9" hidden="1">{"revable",#N/A,FALSE,"REVABLE"}</definedName>
    <definedName name="_______FOH2006" hidden="1">{#N/A,#N/A,FALSE,"TL";#N/A,#N/A,FALSE,"KK";#N/A,#N/A,FALSE,"TS";#N/A,#N/A,FALSE,"KW";#N/A,#N/A,FALSE,"LP";#N/A,#N/A,FALSE,"DC"}</definedName>
    <definedName name="_______Z1" hidden="1">{"'ตัวอย่าง'!$A$1:$O$21"}</definedName>
    <definedName name="______a1" hidden="1">{"cashflow",#N/A,FALSE,"CASHFLOW "}</definedName>
    <definedName name="______a10" hidden="1">{"sales",#N/A,FALSE,"SALES"}</definedName>
    <definedName name="______a2" hidden="1">{"hilight1",#N/A,FALSE,"HILIGHT1"}</definedName>
    <definedName name="______a3" hidden="1">{"hilight2",#N/A,FALSE,"HILIGHT2"}</definedName>
    <definedName name="______a4" hidden="1">{"hilight3",#N/A,FALSE,"HILIGHT3"}</definedName>
    <definedName name="______a5" hidden="1">{"income",#N/A,FALSE,"INCOME"}</definedName>
    <definedName name="______a6" hidden="1">{"index",#N/A,FALSE,"INDEX"}</definedName>
    <definedName name="______a7" hidden="1">{"PRINT_EST",#N/A,FALSE,"ESTMON"}</definedName>
    <definedName name="______a8" hidden="1">{"revsale",#N/A,FALSE,"REV-ยุพดี"}</definedName>
    <definedName name="______a9" hidden="1">{"revable",#N/A,FALSE,"REVABLE"}</definedName>
    <definedName name="______FOH2006" hidden="1">{#N/A,#N/A,FALSE,"TL";#N/A,#N/A,FALSE,"KK";#N/A,#N/A,FALSE,"TS";#N/A,#N/A,FALSE,"KW";#N/A,#N/A,FALSE,"LP";#N/A,#N/A,FALSE,"DC"}</definedName>
    <definedName name="______Z1" hidden="1">{"'ตัวอย่าง'!$A$1:$O$21"}</definedName>
    <definedName name="_____a1" hidden="1">{"cashflow",#N/A,FALSE,"CASHFLOW "}</definedName>
    <definedName name="_____a10" hidden="1">{"sales",#N/A,FALSE,"SALES"}</definedName>
    <definedName name="_____a2" hidden="1">{"hilight1",#N/A,FALSE,"HILIGHT1"}</definedName>
    <definedName name="_____a3" hidden="1">{"hilight2",#N/A,FALSE,"HILIGHT2"}</definedName>
    <definedName name="_____a4" hidden="1">{"hilight3",#N/A,FALSE,"HILIGHT3"}</definedName>
    <definedName name="_____a5" hidden="1">{"income",#N/A,FALSE,"INCOME"}</definedName>
    <definedName name="_____a6" hidden="1">{"index",#N/A,FALSE,"INDEX"}</definedName>
    <definedName name="_____a7" hidden="1">{"PRINT_EST",#N/A,FALSE,"ESTMON"}</definedName>
    <definedName name="_____a8" hidden="1">{"revsale",#N/A,FALSE,"REV-ยุพดี"}</definedName>
    <definedName name="_____a9" hidden="1">{"revable",#N/A,FALSE,"REVABLE"}</definedName>
    <definedName name="_____FOH2006" hidden="1">{#N/A,#N/A,FALSE,"TL";#N/A,#N/A,FALSE,"KK";#N/A,#N/A,FALSE,"TS";#N/A,#N/A,FALSE,"KW";#N/A,#N/A,FALSE,"LP";#N/A,#N/A,FALSE,"DC"}</definedName>
    <definedName name="_____Z1" hidden="1">{"'ตัวอย่าง'!$A$1:$O$21"}</definedName>
    <definedName name="____a1" hidden="1">{"cashflow",#N/A,FALSE,"CASHFLOW "}</definedName>
    <definedName name="____a10" hidden="1">{"sales",#N/A,FALSE,"SALES"}</definedName>
    <definedName name="____a2" hidden="1">{"hilight1",#N/A,FALSE,"HILIGHT1"}</definedName>
    <definedName name="____a3" hidden="1">{"hilight2",#N/A,FALSE,"HILIGHT2"}</definedName>
    <definedName name="____a4" hidden="1">{"hilight3",#N/A,FALSE,"HILIGHT3"}</definedName>
    <definedName name="____a5" hidden="1">{"income",#N/A,FALSE,"INCOME"}</definedName>
    <definedName name="____a6" hidden="1">{"index",#N/A,FALSE,"INDEX"}</definedName>
    <definedName name="____a7" hidden="1">{"PRINT_EST",#N/A,FALSE,"ESTMON"}</definedName>
    <definedName name="____a8" hidden="1">{"revsale",#N/A,FALSE,"REV-ยุพดี"}</definedName>
    <definedName name="____a9" hidden="1">{"revable",#N/A,FALSE,"REVABLE"}</definedName>
    <definedName name="____FOH2006" hidden="1">{#N/A,#N/A,FALSE,"TL";#N/A,#N/A,FALSE,"KK";#N/A,#N/A,FALSE,"TS";#N/A,#N/A,FALSE,"KW";#N/A,#N/A,FALSE,"LP";#N/A,#N/A,FALSE,"DC"}</definedName>
    <definedName name="____Z1" hidden="1">{"'ตัวอย่าง'!$A$1:$O$21"}</definedName>
    <definedName name="___a1" hidden="1">{"cashflow",#N/A,FALSE,"CASHFLOW "}</definedName>
    <definedName name="___a10" hidden="1">{"sales",#N/A,FALSE,"SALES"}</definedName>
    <definedName name="___a2" hidden="1">{"hilight1",#N/A,FALSE,"HILIGHT1"}</definedName>
    <definedName name="___a3" hidden="1">{"hilight2",#N/A,FALSE,"HILIGHT2"}</definedName>
    <definedName name="___a4" hidden="1">{"hilight3",#N/A,FALSE,"HILIGHT3"}</definedName>
    <definedName name="___a5" hidden="1">{"income",#N/A,FALSE,"INCOME"}</definedName>
    <definedName name="___a6" hidden="1">{"index",#N/A,FALSE,"INDEX"}</definedName>
    <definedName name="___a7" hidden="1">{"PRINT_EST",#N/A,FALSE,"ESTMON"}</definedName>
    <definedName name="___a8" hidden="1">{"revsale",#N/A,FALSE,"REV-ยุพดี"}</definedName>
    <definedName name="___a9" hidden="1">{"revable",#N/A,FALSE,"REVABLE"}</definedName>
    <definedName name="___FOH2006" hidden="1">{#N/A,#N/A,FALSE,"TL";#N/A,#N/A,FALSE,"KK";#N/A,#N/A,FALSE,"TS";#N/A,#N/A,FALSE,"KW";#N/A,#N/A,FALSE,"LP";#N/A,#N/A,FALSE,"DC"}</definedName>
    <definedName name="___Z1" hidden="1">{"'ตัวอย่าง'!$A$1:$O$21"}</definedName>
    <definedName name="__123Graph_AGRAPH1" hidden="1">#REF!</definedName>
    <definedName name="__123Graph_AGRAPH2" hidden="1">#REF!</definedName>
    <definedName name="__123Graph_AGRAPH3" hidden="1">#REF!</definedName>
    <definedName name="__123Graph_AGRAPH4" hidden="1">#REF!</definedName>
    <definedName name="__123Graph_AGRAPH5" hidden="1">#REF!</definedName>
    <definedName name="__123Graph_AGRAPH6" hidden="1">#REF!</definedName>
    <definedName name="__123Graph_AGRAPH7" hidden="1">#REF!</definedName>
    <definedName name="__123Graph_AGRAPH8" hidden="1">#REF!</definedName>
    <definedName name="__123Graph_AGRAPH9" hidden="1">#REF!</definedName>
    <definedName name="__123Graph_BGRAPH1" hidden="1">#REF!</definedName>
    <definedName name="__123Graph_BGRAPH2" hidden="1">#REF!</definedName>
    <definedName name="__123Graph_BGRAPH3" hidden="1">#REF!</definedName>
    <definedName name="__123Graph_BGRAPH4" hidden="1">#REF!</definedName>
    <definedName name="__123Graph_BGRAPH5" hidden="1">#REF!</definedName>
    <definedName name="__123Graph_BGRAPH6" hidden="1">#REF!</definedName>
    <definedName name="__123Graph_BGRAPH7" hidden="1">#REF!</definedName>
    <definedName name="__123Graph_BGRAPH8" hidden="1">#REF!</definedName>
    <definedName name="__123Graph_BGRAPH9" hidden="1">#REF!</definedName>
    <definedName name="__123Graph_LBL_BGRAPH2" hidden="1">#REF!</definedName>
    <definedName name="__123Graph_LBL_BGRAPH3" hidden="1">#REF!</definedName>
    <definedName name="__123Graph_LBL_BGRAPH4" hidden="1">#REF!</definedName>
    <definedName name="__123Graph_XGRAPH2" hidden="1">#REF!</definedName>
    <definedName name="__123Graph_XGRAPH3" hidden="1">#REF!</definedName>
    <definedName name="__123Graph_XGRAPH4" hidden="1">#REF!</definedName>
    <definedName name="__123Graph_XGRAPH5" hidden="1">#REF!</definedName>
    <definedName name="__123Graph_XGRAPH6" hidden="1">#REF!</definedName>
    <definedName name="__123Graph_XGRAPH7" hidden="1">#REF!</definedName>
    <definedName name="__123Graph_XGRAPH8" hidden="1">#REF!</definedName>
    <definedName name="__123Graph_XGRAPH9" hidden="1">#REF!</definedName>
    <definedName name="__a1" hidden="1">{"cashflow",#N/A,FALSE,"CASHFLOW "}</definedName>
    <definedName name="__a10" hidden="1">{"sales",#N/A,FALSE,"SALES"}</definedName>
    <definedName name="__a2" hidden="1">{"hilight1",#N/A,FALSE,"HILIGHT1"}</definedName>
    <definedName name="__a3" hidden="1">{"hilight2",#N/A,FALSE,"HILIGHT2"}</definedName>
    <definedName name="__a4" hidden="1">{"hilight3",#N/A,FALSE,"HILIGHT3"}</definedName>
    <definedName name="__a5" hidden="1">{"income",#N/A,FALSE,"INCOME"}</definedName>
    <definedName name="__a6" hidden="1">{"index",#N/A,FALSE,"INDEX"}</definedName>
    <definedName name="__a7" hidden="1">{"PRINT_EST",#N/A,FALSE,"ESTMON"}</definedName>
    <definedName name="__a8" hidden="1">{"revsale",#N/A,FALSE,"REV-ยุพดี"}</definedName>
    <definedName name="__a9" hidden="1">{"revable",#N/A,FALSE,"REVABLE"}</definedName>
    <definedName name="__FOH2006" hidden="1">{#N/A,#N/A,FALSE,"TL";#N/A,#N/A,FALSE,"KK";#N/A,#N/A,FALSE,"TS";#N/A,#N/A,FALSE,"KW";#N/A,#N/A,FALSE,"LP";#N/A,#N/A,FALSE,"DC"}</definedName>
    <definedName name="__poi10">'[3]Monthly Data'!$L$446:$L$493</definedName>
    <definedName name="__poi11">'[3]Monthly Data'!$L$495:$L$542</definedName>
    <definedName name="__poi12">'[3]Monthly Data'!$L$544:$L$591</definedName>
    <definedName name="__poi13">'[3]Monthly Data'!$L$593:$L$640</definedName>
    <definedName name="__poi14">'[3]Monthly Data'!$L$642:$L$689</definedName>
    <definedName name="__poi22">'[4]NS Data'!$L$1034:$L$1081</definedName>
    <definedName name="__poi23">'[4]NS Data'!$L$1083:$L$1130</definedName>
    <definedName name="__poi24">'[4]NS Data'!$L$1132:$L$1179</definedName>
    <definedName name="__poi25">'[4]NS Data'!$L$1181:$L$1228</definedName>
    <definedName name="__poi26">'[4]NS Data'!$L$1230:$L$1277</definedName>
    <definedName name="__poi27">'[4]NS Data'!$L$1279:$L$1326</definedName>
    <definedName name="__poi28">'[4]NS Data'!$L$1328:$L$1375</definedName>
    <definedName name="__poi29">'[4]NS Data'!$L$1377:$L$1424</definedName>
    <definedName name="__poi30">'[3]Monthly Data'!$L$1426:$L$1473</definedName>
    <definedName name="__poi31">'[3]Monthly Data'!$L$1475:$L$1522</definedName>
    <definedName name="__poi8">'[3]Monthly Data'!$L$348:$L$395</definedName>
    <definedName name="__poi9">'[3]Monthly Data'!$L$397:$L$444</definedName>
    <definedName name="__q2" hidden="1">{"PAGE 1",#N/A,FALSE,"หน้า 1,2,3";"PAGE 2",#N/A,FALSE,"หน้า 1,2,3";"PAGE 3",#N/A,FALSE,"หน้า 1,2,3"}</definedName>
    <definedName name="__q3" hidden="1">{"PAGE 1",#N/A,FALSE,"หน้า 1,2,3";"PAGE 2",#N/A,FALSE,"หน้า 1,2,3";"PAGE 3",#N/A,FALSE,"หน้า 1,2,3"}</definedName>
    <definedName name="__xlfn.BAHTTEXT" hidden="1">#NAME?</definedName>
    <definedName name="__Z1" hidden="1">{"'ตัวอย่าง'!$A$1:$O$21"}</definedName>
    <definedName name="_1_?" hidden="1">{#N/A,#N/A,FALSE,"BBPREP"}</definedName>
    <definedName name="_2_0_0_F" hidden="1">[2]DETAIL!#REF!</definedName>
    <definedName name="_2F" hidden="1">[2]DETAIL!#REF!</definedName>
    <definedName name="_39_0_0_F" hidden="1">[2]DETAIL!#REF!</definedName>
    <definedName name="_3F" hidden="1">[2]DETAIL!#REF!</definedName>
    <definedName name="_4F" hidden="1">[2]DETAIL!#REF!</definedName>
    <definedName name="_5_0_0_F" hidden="1">[2]DETAIL!#REF!</definedName>
    <definedName name="_6_0_0_F" hidden="1">[2]DETAIL!#REF!</definedName>
    <definedName name="_9_0_0_F" hidden="1">[2]DETAIL!#REF!</definedName>
    <definedName name="_a1" hidden="1">{"cashflow",#N/A,FALSE,"CASHFLOW "}</definedName>
    <definedName name="_a10" hidden="1">{"sales",#N/A,FALSE,"SALES"}</definedName>
    <definedName name="_a11" hidden="1">{"sales",#N/A,FALSE,"SALES"}</definedName>
    <definedName name="_a2" hidden="1">{"hilight1",#N/A,FALSE,"HILIGHT1"}</definedName>
    <definedName name="_a3" hidden="1">{"hilight2",#N/A,FALSE,"HILIGHT2"}</definedName>
    <definedName name="_a4" hidden="1">{"hilight3",#N/A,FALSE,"HILIGHT3"}</definedName>
    <definedName name="_a5" hidden="1">{"income",#N/A,FALSE,"INCOME"}</definedName>
    <definedName name="_a6" hidden="1">{"index",#N/A,FALSE,"INDEX"}</definedName>
    <definedName name="_a7" hidden="1">{"PRINT_EST",#N/A,FALSE,"ESTMON"}</definedName>
    <definedName name="_a8" hidden="1">{"revsale",#N/A,FALSE,"REV-ยุพดี"}</definedName>
    <definedName name="_a9" hidden="1">{"revable",#N/A,FALSE,"REVABLE"}</definedName>
    <definedName name="_D1112" hidden="1">{"'照明目录'!$A$1:$H$31"}</definedName>
    <definedName name="_DAY1">RawData!$A$2:$A$97</definedName>
    <definedName name="_EA1116" hidden="1">{"'照明目录'!$A$1:$H$31"}</definedName>
    <definedName name="_fgh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_Fill" hidden="1">[5]detail!#REF!</definedName>
    <definedName name="_xlnm._FilterDatabase" localSheetId="1" hidden="1">'TEP Report'!$A$4:$WVM$234</definedName>
    <definedName name="_FOH2006" hidden="1">{#N/A,#N/A,FALSE,"TL";#N/A,#N/A,FALSE,"KK";#N/A,#N/A,FALSE,"TS";#N/A,#N/A,FALSE,"KW";#N/A,#N/A,FALSE,"LP";#N/A,#N/A,FALSE,"DC"}</definedName>
    <definedName name="_gdh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_Key1" hidden="1">[6]PLANBS3!#REF!</definedName>
    <definedName name="_Key2" hidden="1">[6]PLANBS3!#REF!</definedName>
    <definedName name="_KP300" hidden="1">{"level1",#N/A,FALSE,"1_LEV";"LEVEL1",#N/A,FALSE,"1_LEV"}</definedName>
    <definedName name="_Order1" hidden="1">255</definedName>
    <definedName name="_Order2" hidden="1">0</definedName>
    <definedName name="_Parse_Out" hidden="1">[7]sales!#REF!</definedName>
    <definedName name="_poi10">'[3]Monthly Data'!$L$446:$L$493</definedName>
    <definedName name="_poi11">'[3]Monthly Data'!$L$495:$L$542</definedName>
    <definedName name="_poi12">'[3]Monthly Data'!$L$544:$L$591</definedName>
    <definedName name="_poi13">'[3]Monthly Data'!$L$593:$L$640</definedName>
    <definedName name="_poi14">'[3]Monthly Data'!$L$642:$L$689</definedName>
    <definedName name="_poi22">'[4]NS Data'!$L$1034:$L$1081</definedName>
    <definedName name="_poi23">'[4]NS Data'!$L$1083:$L$1130</definedName>
    <definedName name="_poi24">'[4]NS Data'!$L$1132:$L$1179</definedName>
    <definedName name="_poi25">'[4]NS Data'!$L$1181:$L$1228</definedName>
    <definedName name="_poi26">'[4]NS Data'!$L$1230:$L$1277</definedName>
    <definedName name="_poi27">'[4]NS Data'!$L$1279:$L$1326</definedName>
    <definedName name="_poi28">'[4]NS Data'!$L$1328:$L$1375</definedName>
    <definedName name="_poi29">'[4]NS Data'!$L$1377:$L$1424</definedName>
    <definedName name="_poi30">'[3]Monthly Data'!$L$1426:$L$1473</definedName>
    <definedName name="_poi31">'[3]Monthly Data'!$L$1475:$L$1522</definedName>
    <definedName name="_poi8">'[3]Monthly Data'!$L$348:$L$395</definedName>
    <definedName name="_poi9">'[3]Monthly Data'!$L$397:$L$444</definedName>
    <definedName name="_q2" hidden="1">{"PAGE 1",#N/A,FALSE,"หน้า 1,2,3";"PAGE 2",#N/A,FALSE,"หน้า 1,2,3";"PAGE 3",#N/A,FALSE,"หน้า 1,2,3"}</definedName>
    <definedName name="_q3" hidden="1">{"PAGE 1",#N/A,FALSE,"หน้า 1,2,3";"PAGE 2",#N/A,FALSE,"หน้า 1,2,3";"PAGE 3",#N/A,FALSE,"หน้า 1,2,3"}</definedName>
    <definedName name="_REC1">RawData!$A$2</definedName>
    <definedName name="_Sort" hidden="1">[6]PLANBS3!#REF!</definedName>
    <definedName name="_Z1" hidden="1">{"'ตัวอย่าง'!$A$1:$O$21"}</definedName>
    <definedName name="a" localSheetId="1">#REF!</definedName>
    <definedName name="a" hidden="1">{"'Model'!$A$1:$N$53"}</definedName>
    <definedName name="AA" hidden="1">{"hilight2",#N/A,FALSE,"HILIGHT2"}</definedName>
    <definedName name="aaa" hidden="1">{#N/A,#N/A,FALSE,"4_TOTAL";#N/A,#N/A,FALSE,"3_2TOTAL";#N/A,#N/A,FALSE,"5_INCOME";#N/A,#N/A,FALSE,"2_2LEV";#N/A,#N/A,FALSE,"2_2LEVYTD";#N/A,#N/A,FALSE,"BALANCE";#N/A,#N/A,FALSE,"CASHFLOW";#N/A,#N/A,FALSE,"PRODUCT";#N/A,#N/A,FALSE,"SALES";#N/A,#N/A,FALSE,"AGING"}</definedName>
    <definedName name="AAAA" hidden="1">{"'ตัวอย่าง'!$A$1:$O$21"}</definedName>
    <definedName name="aaaaaaaa" hidden="1">{"'ตัวอย่าง'!$A$1:$O$21"}</definedName>
    <definedName name="ääu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ab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Actual_chrg_m3">#REF!</definedName>
    <definedName name="ad" hidden="1">{"income",#N/A,FALSE,"INCOME"}</definedName>
    <definedName name="adf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adg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adgadg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adsfa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aef" hidden="1">{"'ตัวอย่าง'!$A$1:$O$21"}</definedName>
    <definedName name="afaf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afd" hidden="1">{"'ตัวอย่าง'!$A$1:$O$21"}</definedName>
    <definedName name="afda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afga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ag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aga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agh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ai" hidden="1">{"level1",#N/A,FALSE,"1_LEV";"LEVEL1",#N/A,FALSE,"1_LEV"}</definedName>
    <definedName name="ALL">RawData!$A$1:$T$2976</definedName>
    <definedName name="anscount" hidden="1">1</definedName>
    <definedName name="arga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as" hidden="1">{"'照明目录'!$A$1:$H$31"}</definedName>
    <definedName name="AS2DocOpenMode" hidden="1">"AS2DocumentEdit"</definedName>
    <definedName name="asa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asas" hidden="1">{"'照明目录'!$A$1:$H$31"}</definedName>
    <definedName name="asdfasdf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asdgf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asew" hidden="1">{"'ตัวอย่าง'!$A$1:$O$21"}</definedName>
    <definedName name="asfer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ass" hidden="1">{"revable",#N/A,FALSE,"REVABLE"}</definedName>
    <definedName name="AUGFIX01" hidden="1">{"level1",#N/A,FALSE,"1_LEV";"LEVEL1",#N/A,FALSE,"1_LEV"}</definedName>
    <definedName name="AUGFIX02" hidden="1">{"level1",#N/A,FALSE,"1_LEV";"LEVEL1",#N/A,FALSE,"1_LEV"}</definedName>
    <definedName name="bbb" hidden="1">{"PAGE 1",#N/A,FALSE,"หน้า 1,2,3";"PAGE 2",#N/A,FALSE,"หน้า 1,2,3";"PAGE 3",#N/A,FALSE,"หน้า 1,2,3";"PAGE 4",#N/A,FALSE,"หน้า 4";"PAGE 5",#N/A,FALSE,"หน้า 5";"PAGE 6",#N/A,FALSE,"หน้า 6";"PAGE 7",#N/A,FALSE,"หน้า 7";"PAGE 8",#N/A,FALSE,"หน้า 8";"PAGE 9",#N/A,FALSE,"หน้า 9";"PAGE 10",#N/A,FALSE,"หน้า 10";"PAGE 11",#N/A,FALSE,"หน้า 11"}</definedName>
    <definedName name="bbbbbbbbb" hidden="1">{"'ตัวอย่าง'!$A$1:$O$21"}</definedName>
    <definedName name="bhfgh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BLSparM3">#REF!</definedName>
    <definedName name="boonthak" hidden="1">{"'ตัวอย่าง'!$A$1:$O$21"}</definedName>
    <definedName name="bs" hidden="1">{#N/A,#N/A,FALSE,"BBPREP"}</definedName>
    <definedName name="BTUpaLB">#REF!</definedName>
    <definedName name="BTUparKJ">#REF!</definedName>
    <definedName name="BTUparLB">#REF!</definedName>
    <definedName name="BURLINGTON">#REF!</definedName>
    <definedName name="bvnn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CASHDISC">#REF!</definedName>
    <definedName name="ccc" hidden="1">{"PRINT_EST",#N/A,FALSE,"ESTMON"}</definedName>
    <definedName name="ccghdfgh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ccr" hidden="1">{"'ตัวอย่าง'!$A$1:$O$21"}</definedName>
    <definedName name="CH4_Density">[8]References!$B$59</definedName>
    <definedName name="CH4_GWP">[8]References!$B$28</definedName>
    <definedName name="ci" hidden="1">{"'照明目录'!$A$1:$H$31"}</definedName>
    <definedName name="cl" hidden="1">{"'照明目录'!$A$1:$H$31"}</definedName>
    <definedName name="CNR">#REF!</definedName>
    <definedName name="CO2_Density">[8]References!$B$58</definedName>
    <definedName name="comm" hidden="1">{#N/A,#N/A,FALSE,"BBPREP"}</definedName>
    <definedName name="Commentary1" hidden="1">{#N/A,#N/A,FALSE,"BBPREP"}</definedName>
    <definedName name="comments" hidden="1">{#N/A,#N/A,FALSE,"BBPREP"}</definedName>
    <definedName name="cๅจ">#REF!</definedName>
    <definedName name="da" hidden="1">{"'ตัวอย่าง'!$A$1:$O$21"}</definedName>
    <definedName name="dagdaf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ata_day1">RawData!$B$2:$B$97</definedName>
    <definedName name="DATA1REC1">RawData!$B$2</definedName>
    <definedName name="DATA1TODOFFPEAK1">RawData!$B$2:$B$33</definedName>
    <definedName name="DATA1TODOFFPEAK2">RawData!$B$88:$B$97</definedName>
    <definedName name="DATA1TODONPEAK">RawData!$B$76:$B$87</definedName>
    <definedName name="DATA1TODPARTIAL">RawData!$B$34:$B$75</definedName>
    <definedName name="DATA1TOUOFFPEAK1">RawData!$B$2:$B$37</definedName>
    <definedName name="DATA1TOUOFFPEAK2">RawData!$B$90:$B$97</definedName>
    <definedName name="DATA1TOUONPEAK">RawData!$B$38:$B$89</definedName>
    <definedName name="data2">#REF!</definedName>
    <definedName name="date28">'[9]Monthly Data'!#REF!</definedName>
    <definedName name="date30">'[9]Monthly Data'!#REF!</definedName>
    <definedName name="date31">'[9]Monthly Data'!#REF!</definedName>
    <definedName name="DateTimeTag">#REF!</definedName>
    <definedName name="dd" hidden="1">{"'UNIT COST'!$C$7:$L$14"}</definedName>
    <definedName name="ddadsf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dd" hidden="1">{"index",#N/A,FALSE,"INDEX"}</definedName>
    <definedName name="ddm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el" hidden="1">{"level1",#N/A,FALSE,"1_LEV";"LEVEL1",#N/A,FALSE,"1_LEV"}</definedName>
    <definedName name="Delfzijl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en" hidden="1">{"'TOTAL'!$A$1:$AG$20"}</definedName>
    <definedName name="dfdfadf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fg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fgag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FGH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fh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fhseth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flgklörjeg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fsgsdrgf">#REF!</definedName>
    <definedName name="dgdh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hf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iesel">#REF!</definedName>
    <definedName name="djdj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kfgklefj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kjfklgj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ölgfklöejr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sffg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sg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sgg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sxrgfz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EAPL">'[10]Pipeline Balance'!$A$4:$AA$19</definedName>
    <definedName name="edewr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eee" hidden="1">{"revsale",#N/A,FALSE,"REV-ยุพดี"}</definedName>
    <definedName name="eoue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erjgioserut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etz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ewe" hidden="1">{"'ตัวอย่าง'!$A$1:$O$21"}</definedName>
    <definedName name="EXPORT_รายหน่วยงาน" hidden="1">{"'ตัวอย่าง'!$A$1:$O$21"}</definedName>
    <definedName name="f." hidden="1">{"'ตัวอย่าง'!$A$1:$O$21"}</definedName>
    <definedName name="FADSF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FB_ATT_PRORATIO">[10]Data!#REF!</definedName>
    <definedName name="FB_DB_BIT_PA">[10]Data!#REF!</definedName>
    <definedName name="FB_DB_DIL_ATT_PA">[10]Data!#REF!</definedName>
    <definedName name="FB_IMP_DB_DIL_PCT_PA">[10]Data!#REF!</definedName>
    <definedName name="FB_PN_BBL_ATT">[10]Data!#REF!</definedName>
    <definedName name="FERBRUT">[11]Feuil1!$R$8:$S$100</definedName>
    <definedName name="FERMETURE">[11]Feuil1!$D$8:$E$100</definedName>
    <definedName name="ff" hidden="1">{"'照明目录'!$A$1:$H$31"}</definedName>
    <definedName name="fggjdfgj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fgh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FGHD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FGHF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fhjlf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fjljl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flfl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FT3parLB_M">#REF!</definedName>
    <definedName name="FT3parM3">#REF!</definedName>
    <definedName name="ftghu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Fueltypes">'[12]Fuel CO2 Factors'!#REF!</definedName>
    <definedName name="gag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gdh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gfdsfgdsgf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gfsg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gg" hidden="1">{"'ตัวอย่าง'!$A$1:$O$21"}</definedName>
    <definedName name="gglhj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gh" hidden="1">{"revsale",#N/A,FALSE,"REV-ยุพดี"}</definedName>
    <definedName name="ghdf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ghh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ghjklgjh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ghjmjghjj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GIBSON">'[10]Pipeline Balance'!$A$41:$D$43</definedName>
    <definedName name="gkf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GL_Code">#REF!</definedName>
    <definedName name="glghjl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gsdfg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H1_05" hidden="1">{"PAGE 1",#N/A,FALSE,"หน้า 1,2,3";"PAGE 2",#N/A,FALSE,"หน้า 1,2,3";"PAGE 3",#N/A,FALSE,"หน้า 1,2,3"}</definedName>
    <definedName name="H4ถ">#REF!</definedName>
    <definedName name="hedhfsdh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het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hfsh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hg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hgh" hidden="1">{"'TOTAL'!$A$1:$AG$20"}</definedName>
    <definedName name="hghjl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hjdj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hjgfhj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hjhj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hjhjkghhjk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hjjfjf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hjkgjhk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hköt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HOLIDAY">#REF!</definedName>
    <definedName name="hs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hsh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HTML" hidden="1">{"'照明目录'!$A$1:$H$31"}</definedName>
    <definedName name="HTML_CodePage" hidden="1">874</definedName>
    <definedName name="HTML_Control" hidden="1">{"'connew '!$C$40:$C$60"}</definedName>
    <definedName name="HTML_Control1" hidden="1">{"'Model'!$A$1:$N$53"}</definedName>
    <definedName name="HTML_Description" hidden="1">""</definedName>
    <definedName name="HTML_Email" hidden="1">""</definedName>
    <definedName name="HTML_Header" hidden="1">"connew"</definedName>
    <definedName name="HTML_LastUpdate" hidden="1">"10/4/00"</definedName>
    <definedName name="HTML_LineAfter" hidden="1">FALSE</definedName>
    <definedName name="HTML_LineBefore" hidden="1">FALSE</definedName>
    <definedName name="HTML_Name" hidden="1">"scc"</definedName>
    <definedName name="HTML_OBDlg2" hidden="1">TRUE</definedName>
    <definedName name="HTML_OBDlg4" hidden="1">TRUE</definedName>
    <definedName name="HTML_OS" hidden="1">0</definedName>
    <definedName name="HTML_PathFile" hidden="1">"D:\PS_actual\MyHTML.htm"</definedName>
    <definedName name="HTML_Title" hidden="1">"Consol"</definedName>
    <definedName name="HUSKY">#REF!</definedName>
    <definedName name="hxcvhx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hxh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iäi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ii" hidden="1">{"'ตัวอย่าง'!$A$1:$O$21"}</definedName>
    <definedName name="iii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iilghjl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iir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ikt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iluil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info2" hidden="1">{"level1",#N/A,FALSE,"1_LEV";"LEVEL1",#N/A,FALSE,"1_LEV"}</definedName>
    <definedName name="Interplant">'[10]Interplant Tags &amp; Manual Entry'!$A$8:$M$50</definedName>
    <definedName name="INTEXTPG1">#REF!</definedName>
    <definedName name="INTEXTPG2">#REF!</definedName>
    <definedName name="INVREGPG1">#REF!</definedName>
    <definedName name="INVREGPG2">#REF!</definedName>
    <definedName name="INVREGPG3">#REF!</definedName>
    <definedName name="iö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iolul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ioö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ioöi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ioöiö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ioöuioö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ioözoö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itzp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iuoti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jffhj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jg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jhjhj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jhkg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jhlfhjl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jhlghjl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JJ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jkjk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jkläolö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jklhgjk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jrfuj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jrjcd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jzj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kdjklge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khjkhjk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KIRBY">'[10]Pipeline Balance'!$A$46:$E$48</definedName>
    <definedName name="kjhkj" hidden="1">{"'TOTAL'!$A$1:$AG$20"}</definedName>
    <definedName name="kjljkl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kk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klil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klj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kljkl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kllzu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KPIs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kt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kuzzk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kzk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kzukzk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kzzk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lbsCO2parLBC4">#REF!</definedName>
    <definedName name="LBSCO2parLBCOKE">#REF!</definedName>
    <definedName name="LBSdeCO2parLBdeGAZNAT">#REF!</definedName>
    <definedName name="LBSparBLS">#REF!</definedName>
    <definedName name="LBSparTONNE">#REF!</definedName>
    <definedName name="limcount" hidden="1">1</definedName>
    <definedName name="LINE4">'[10]Pipeline Balance'!#REF!</definedName>
    <definedName name="LINE4VOL">'[10]Pipeline Balance'!#REF!</definedName>
    <definedName name="LIVRAISON">[11]Feuil1!$K$8:$M$100</definedName>
    <definedName name="liza" hidden="1">{"level1",#N/A,FALSE,"1_LEV";"LEVEL1",#N/A,FALSE,"1_LEV"}</definedName>
    <definedName name="ll" hidden="1">{"'ตัวอย่าง'!$A$1:$O$21"}</definedName>
    <definedName name="lll" hidden="1">{"sales",#N/A,FALSE,"SALES"}</definedName>
    <definedName name="llll" hidden="1">{"'ตัวอย่าง'!$A$1:$O$21"}</definedName>
    <definedName name="lllzilz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lö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luil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lul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M12aE" hidden="1">{"'照明目录'!$A$1:$H$31"}</definedName>
    <definedName name="mhm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month">#REF!</definedName>
    <definedName name="MWnat.Gas">#REF!</definedName>
    <definedName name="nbxnx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nn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nnn" hidden="1">{"RL5CC",#N/A,FALSE,"PM5CC_95";"RL5DB",#N/A,FALSE,"PM5DB_95";"RL5WB",#N/A,FALSE,"PM5WB_95";"RL5WTK",#N/A,FALSE,"PM5WTK_9";"RL6B1",#N/A,FALSE,"PM6B1_95";"RL6OT",#N/A,FALSE,"PM6OT_95";"RL6EM",#N/A,FALSE,"PM6BEM_9";"RL6AC",#N/A,FALSE,"PM6BAC_9";"RLC1AC",#N/A,FALSE,"C1AC_95";"RLC11CA",#N/A,FALSE,"C11CA_95";"RLC1EM",#N/A,FALSE,"C1EM_95";"RLCM1",#N/A,FALSE,"CM1_Q1";"RLDEPART2",#N/A,FALSE,"DEPART2"}</definedName>
    <definedName name="NotUse" hidden="1">{"'ตัวอย่าง'!$A$1:$O$21"}</definedName>
    <definedName name="ntzhn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Number_of_Days">[13]Summary!$E$1</definedName>
    <definedName name="öioö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olio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ölzuö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ooo">#REF!</definedName>
    <definedName name="öoö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ooooo" hidden="1">{"'connew '!$C$40:$C$60"}</definedName>
    <definedName name="oöuoö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oöuoöi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opä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öpäiopää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opäop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öpö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opuiop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OSPL">'[10]Pipeline Balance'!$A$23:$K$36</definedName>
    <definedName name="öuiö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OUVBRUT">[14]Feuil1!$O$8:$P$100</definedName>
    <definedName name="OUVERTURE">[14]Feuil1!$A$8:$B$100</definedName>
    <definedName name="öuzö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p" hidden="1">{"'ตัวอย่าง'!$A$1:$O$21"}</definedName>
    <definedName name="P21_OSPL_LVGO_BBL">[10]Data!#REF!</definedName>
    <definedName name="Peitz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Peitz2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Plant_ButtonComment">#REF!</definedName>
    <definedName name="Plant_Group1">#REF!</definedName>
    <definedName name="Plant_Group2">#REF!</definedName>
    <definedName name="Plant_Group3">#REF!</definedName>
    <definedName name="Plant_Group4">#REF!</definedName>
    <definedName name="Plant_Group5">#REF!</definedName>
    <definedName name="PP" hidden="1">{"'Model'!$A$1:$N$53"}</definedName>
    <definedName name="PriceRange">'[15]Transfer &amp; PV Prices'!$B$6:$E$88</definedName>
    <definedName name="_xlnm.Print_Area">#REF!</definedName>
    <definedName name="Print_Area_MI">#REF!</definedName>
    <definedName name="_xlnm.Print_Titles" localSheetId="1">'TEP Report'!$1:$4</definedName>
    <definedName name="PRODANAL1">#REF!</definedName>
    <definedName name="PRODANAL2">#REF!</definedName>
    <definedName name="PUTA" hidden="1">{"revsale",#N/A,FALSE,"REV-ยุพดี"}</definedName>
    <definedName name="Q" localSheetId="1">'TEP Report'!#REF!</definedName>
    <definedName name="Q">[14]Feuil1!$K$8:$M$100</definedName>
    <definedName name="q1_05" hidden="1">{"PAGE 1",#N/A,FALSE,"หน้า 1,2,3";"PAGE 2",#N/A,FALSE,"หน้า 1,2,3";"PAGE 3",#N/A,FALSE,"หน้า 1,2,3"}</definedName>
    <definedName name="Q2_05" hidden="1">{"PAGE 1",#N/A,FALSE,"หน้า 1,2,3";"PAGE 2",#N/A,FALSE,"หน้า 1,2,3";"PAGE 3",#N/A,FALSE,"หน้า 1,2,3";"PAGE 4",#N/A,FALSE,"หน้า 4";"PAGE 5",#N/A,FALSE,"หน้า 5";"PAGE 6",#N/A,FALSE,"หน้า 6";"PAGE 7",#N/A,FALSE,"หน้า 7";"PAGE 8",#N/A,FALSE,"หน้า 8";"PAGE 9",#N/A,FALSE,"หน้า 9";"PAGE 10",#N/A,FALSE,"หน้า 10";"PAGE 11",#N/A,FALSE,"หน้า 11"}</definedName>
    <definedName name="Q3_05" hidden="1">{"PAGE 1",#N/A,FALSE,"หน้า 1,2,3";"PAGE 2",#N/A,FALSE,"หน้า 1,2,3";"PAGE 3",#N/A,FALSE,"หน้า 1,2,3"}</definedName>
    <definedName name="qq" hidden="1">{"'ตัวอย่าง'!$A$1:$O$21"}</definedName>
    <definedName name="qrtq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rd" hidden="1">{"'ตัวอย่าง'!$A$1:$O$21"}</definedName>
    <definedName name="RECBRUT">[11]Feuil1!$X$8:$Z$100</definedName>
    <definedName name="RECEPTION">[11]Feuil1!$G$8:$I$100</definedName>
    <definedName name="ret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retw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rhtrt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rrer" hidden="1">{"'ตัวอย่าง'!$A$1:$O$21"}</definedName>
    <definedName name="rrrr" hidden="1">{"'ตัวอย่าง'!$A$1:$O$21"}</definedName>
    <definedName name="rtiri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rtr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rtzertz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rung" hidden="1">"sci"</definedName>
    <definedName name="rwtszr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s" hidden="1">[2]DETAIL!#REF!</definedName>
    <definedName name="SALESJE">#REF!</definedName>
    <definedName name="SAPBEXrevision" hidden="1">2</definedName>
    <definedName name="SAPBEXsysID" hidden="1">"BWP"</definedName>
    <definedName name="SAPBEXwbID" hidden="1">"45TSOG149EJ5R0N9HDKCO6BXG"</definedName>
    <definedName name="sas" hidden="1">{"'ตัวอย่าง'!$A$1:$O$21"}</definedName>
    <definedName name="sd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sdaf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SDDFASDF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sdfas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sdfdsgdgs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sdfg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sdga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sedf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sencount" hidden="1">1</definedName>
    <definedName name="SEPFIX01" hidden="1">{"income",#N/A,FALSE,"INCOME"}</definedName>
    <definedName name="sfdgs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sfe" hidden="1">{"'ตัวอย่าง'!$A$1:$O$21"}</definedName>
    <definedName name="sfg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sgsg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sheet" hidden="1">{"RL5CC",#N/A,FALSE,"PM5CC_95";"RL5DB",#N/A,FALSE,"PM5DB_95";"RL5WB",#N/A,FALSE,"PM5WB_95";"RL5WTK",#N/A,FALSE,"PM5WTK_9";"RL6B1",#N/A,FALSE,"PM6B1_95";"RL6OT",#N/A,FALSE,"PM6OT_95";"RL6EM",#N/A,FALSE,"PM6BEM_9";"RL6AC",#N/A,FALSE,"PM6BAC_9";"RLC1AC",#N/A,FALSE,"C1AC_95";"RLC11CA",#N/A,FALSE,"C11CA_95";"RLC1EM",#N/A,FALSE,"C1EM_95";"RLCM1",#N/A,FALSE,"CM1_Q1";"RLDEPART2",#N/A,FALSE,"DEPART2"}</definedName>
    <definedName name="shh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shsh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ss" hidden="1">{"'ตัวอย่าง'!$A$1:$O$21"}</definedName>
    <definedName name="sss" hidden="1">{"'ตัวอย่าง'!$A$1:$O$21"}</definedName>
    <definedName name="ssss" hidden="1">{"'ตัวอย่าง'!$A$1:$O$21"}</definedName>
    <definedName name="sssss" hidden="1">{"'ตัวอย่าง'!$A$1:$O$21"}</definedName>
    <definedName name="STATION">'[10]Pipeline Balance'!$A$52:$B$56</definedName>
    <definedName name="STE_Chg_M3">#REF!</definedName>
    <definedName name="Subandit" hidden="1">{"'ตัวอย่าง'!$A$1:$O$21"}</definedName>
    <definedName name="svsv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tast" hidden="1">{"'connew '!$C$40:$C$60"}</definedName>
    <definedName name="TdeCO2parTdeHFO">#REF!</definedName>
    <definedName name="test" hidden="1">{"'ตัวอย่าง'!$A$1:$O$21"}</definedName>
    <definedName name="test77" hidden="1">{"'ตัวอย่าง'!$A$1:$O$21"}</definedName>
    <definedName name="test8888" hidden="1">{"'ตัวอย่าง'!$A$1:$O$21"}</definedName>
    <definedName name="testa" hidden="1">{"'ตัวอย่าง'!$A$1:$O$21"}</definedName>
    <definedName name="TIMETODOFFPEAK1">RawData!$A$2:$A$33</definedName>
    <definedName name="TIMETODOFFPEAK2">RawData!$A$88:$A$97</definedName>
    <definedName name="TIMETODONPEAK">RawData!$A$76:$A$87</definedName>
    <definedName name="TIMETODPARTIAL">RawData!$A$34:$A$75</definedName>
    <definedName name="TIMETOUOFFPEAK1">RawData!$A$2:$A$37</definedName>
    <definedName name="TIMETOUOFFPEAK2">RawData!$A$90:$A$97</definedName>
    <definedName name="TIMETOUONPEAK">RawData!$A$38:$A$89</definedName>
    <definedName name="tio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Total_Charge_Vol">#REF!</definedName>
    <definedName name="trssfdtz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tt" hidden="1">{"'ตัวอย่าง'!$A$1:$O$21"}</definedName>
    <definedName name="TTE" hidden="1">{"'ตัวอย่าง'!$A$1:$O$21"}</definedName>
    <definedName name="tttt" hidden="1">{"'TOTAL'!$A$1:$AG$20"}</definedName>
    <definedName name="tziuot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tzt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tzzujjzu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ühjkgh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uii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uiluil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uiöuiö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ukzuk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ulu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UNI_AA_VERSION" hidden="1">"150.2.0"</definedName>
    <definedName name="UNI_FILT_END" hidden="1">8</definedName>
    <definedName name="UNI_FILT_OFFSPEC" hidden="1">2</definedName>
    <definedName name="UNI_FILT_ONSPEC" hidden="1">1</definedName>
    <definedName name="UNI_FILT_START" hidden="1">4</definedName>
    <definedName name="UNI_NOTHING" hidden="1">0</definedName>
    <definedName name="UNI_PRES_CLOSEST" hidden="1">512</definedName>
    <definedName name="UNI_PRES_FILTER" hidden="1">1</definedName>
    <definedName name="UNI_PRES_HEADINGS" hidden="1">16</definedName>
    <definedName name="UNI_PRES_INVERT" hidden="1">2</definedName>
    <definedName name="UNI_PRES_MATRIX" hidden="1">4</definedName>
    <definedName name="UNI_PRES_MERGED" hidden="1">8</definedName>
    <definedName name="UNI_PRES_MRECORD" hidden="1">64</definedName>
    <definedName name="UNI_PRES_OUTLIERS" hidden="1">32</definedName>
    <definedName name="UNI_PRES_POST" hidden="1">256</definedName>
    <definedName name="UNI_PRES_PRIOR" hidden="1">2048</definedName>
    <definedName name="UNI_PRES_RECENT" hidden="1">1024</definedName>
    <definedName name="UNI_PRES_STATIC" hidden="1">128</definedName>
    <definedName name="UNI_RET_ATTRIB" hidden="1">64</definedName>
    <definedName name="UNI_RET_CONF" hidden="1">32</definedName>
    <definedName name="UNI_RET_DESC" hidden="1">4</definedName>
    <definedName name="UNI_RET_END" hidden="1">16384</definedName>
    <definedName name="UNI_RET_EQUIP" hidden="1">32768</definedName>
    <definedName name="UNI_RET_EVENT" hidden="1">4096</definedName>
    <definedName name="UNI_RET_OFFSPEC" hidden="1">512</definedName>
    <definedName name="UNI_RET_ONSPEC" hidden="1">256</definedName>
    <definedName name="UNI_RET_PROP" hidden="1">131072</definedName>
    <definedName name="UNI_RET_PROPDESC" hidden="1">262144</definedName>
    <definedName name="UNI_RET_SMPLPNT" hidden="1">65536</definedName>
    <definedName name="UNI_RET_SPECMAX" hidden="1">2048</definedName>
    <definedName name="UNI_RET_SPECMIN" hidden="1">1024</definedName>
    <definedName name="UNI_RET_START" hidden="1">8192</definedName>
    <definedName name="UNI_RET_TAG" hidden="1">1</definedName>
    <definedName name="UNI_RET_TESTTIME" hidden="1">128</definedName>
    <definedName name="UNI_RET_TIME" hidden="1">8</definedName>
    <definedName name="UNI_RET_UNIT" hidden="1">2</definedName>
    <definedName name="UNI_RET_VALUE" hidden="1">16</definedName>
    <definedName name="UNIFORMANCES12R5C1" hidden="1">'[16]Natural Gas'!$A$5:$C$39</definedName>
    <definedName name="UNIFORMANCES4R1C2" hidden="1">'[17]Block Operation'!$B$1:$C$29</definedName>
    <definedName name="unsafe" hidden="1">{"'TOTAL'!$A$1:$AG$20"}</definedName>
    <definedName name="uöuö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uu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üu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üüü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vbx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vfrd" hidden="1">{"'ตัวอย่าง'!$A$1:$O$21"}</definedName>
    <definedName name="vmhk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vssvsvsv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WBOMITRatio">#REF!</definedName>
    <definedName name="WEE" hidden="1">{"'ตัวอย่าง'!$A$1:$O$21"}</definedName>
    <definedName name="wertsw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wetgv3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wqwqw" hidden="1">{"'ตัวอย่าง'!$A$1:$O$21"}</definedName>
    <definedName name="wrn.1_lev." hidden="1">{"level1",#N/A,FALSE,"1_LEV";"LEVEL1",#N/A,FALSE,"1_LEV"}</definedName>
    <definedName name="wrn.1_levbt." hidden="1">{"lev1bt",#N/A,FALSE,"1_LEVB-T"}</definedName>
    <definedName name="wrn.2_levmon." hidden="1">{"lev2mon",#N/A,FALSE,"2_levmon"}</definedName>
    <definedName name="wrn.2_levmonbt." hidden="1">{"lev2monbt",#N/A,FALSE,"2_levmonB-T"}</definedName>
    <definedName name="wrn.2_levytd." hidden="1">{"lev2ytd",#N/A,FALSE,"2_LEVYTD"}</definedName>
    <definedName name="wrn.2_levytdbt." hidden="1">{"lev2tytbt",#N/A,FALSE,"2_LEVYTDB-T"}</definedName>
    <definedName name="wrn.3LEVEL." hidden="1">{#N/A,#N/A,FALSE,"SALE1";#N/A,#N/A,FALSE,"DOMEST1";#N/A,#N/A,FALSE,"PD";#N/A,#N/A,FALSE,"PRODUCT";#N/A,#N/A,FALSE,"PDFAC1";#N/A,#N/A,FALSE,"3LEVEL1";#N/A,#N/A,FALSE,"3LVYTD09"}</definedName>
    <definedName name="wrn.ASSDEPART2." hidden="1">{"ASSP5CC",#N/A,FALSE,"PM5CC_95";"ASS5DB",#N/A,FALSE,"PM5DB_95";"ASSP5WB",#N/A,FALSE,"PM5WB_95";"ASSP5WTK",#N/A,FALSE,"PM5WTK_9";"ASSP6B1",#N/A,FALSE,"PM6B1_95";"ASSP6OT",#N/A,FALSE,"PM6OT_95";"ASSP6EM",#N/A,FALSE,"PM6BEM_9";"ASSP6AC",#N/A,FALSE,"PM6BAC_9";"ASSC1AC",#N/A,FALSE,"C1AC_95";"ASSC11CA",#N/A,FALSE,"C11CA_95";"ASSC1EM",#N/A,FALSE,"C1EM_95"}</definedName>
    <definedName name="wrn.BALANCE." hidden="1">{"balance",#N/A,FALSE,"BALANCE"}</definedName>
    <definedName name="wrn.cashflow." hidden="1">{"cashflow",#N/A,FALSE,"CASHFLOW "}</definedName>
    <definedName name="wrn.CMGREY2." hidden="1">{"PAGE 1",#N/A,FALSE,"หน้า 1,2,3";"PAGE 2",#N/A,FALSE,"หน้า 1,2,3";"PAGE 3",#N/A,FALSE,"หน้า 1,2,3";"PAGE 4",#N/A,FALSE,"หน้า 4";"PAGE 5",#N/A,FALSE,"หน้า 5";"PAGE 6",#N/A,FALSE,"หน้า 6";"PAGE 7",#N/A,FALSE,"หน้า 7";"PAGE 8",#N/A,FALSE,"หน้า 8";"PAGE 9",#N/A,FALSE,"หน้า 9";"PAGE 10",#N/A,FALSE,"หน้า 10";"PAGE 11",#N/A,FALSE,"หน้า 11"}</definedName>
    <definedName name="wrn.dep12." hidden="1">{#N/A,#N/A,FALSE,"PM1";#N/A,#N/A,FALSE,"PM2";#N/A,#N/A,FALSE,"PM3";#N/A,#N/A,FALSE,"PM4";#N/A,#N/A,FALSE,"PM5";#N/A,#N/A,FALSE,"PM6";#N/A,#N/A,FALSE,"CM1"}</definedName>
    <definedName name="wrn.FIX." hidden="1">{#N/A,#N/A,FALSE,"TL";#N/A,#N/A,FALSE,"KK";#N/A,#N/A,FALSE,"TS";#N/A,#N/A,FALSE,"KW";#N/A,#N/A,FALSE,"LP";#N/A,#N/A,FALSE,"DC"}</definedName>
    <definedName name="wrn.FURDEPART2." hidden="1">{"FUR5CC",#N/A,FALSE,"PM5CC_95";"FUR5DB",#N/A,FALSE,"PM5DB_95";"FUR5WB",#N/A,FALSE,"PM5WB_95";"FUR5WTK",#N/A,FALSE,"PM5WTK_9";"FURPM6B1",#N/A,FALSE,"PM6B1_95";"FUR6OT",#N/A,FALSE,"PM6OT_95";"FUR6EM",#N/A,FALSE,"PM6BEM_9";"FUR6AC",#N/A,FALSE,"PM6BAC_9";"FURC1AC",#N/A,FALSE,"C1AC_95";"FURC11CA",#N/A,FALSE,"C11CA_95";"FURC1EM",#N/A,FALSE,"C1EM_95"}</definedName>
    <definedName name="wrn.hilight1." hidden="1">{"hilight1",#N/A,FALSE,"HILIGHT1"}</definedName>
    <definedName name="wrn.hilight2." hidden="1">{"hilight2",#N/A,FALSE,"HILIGHT2"}</definedName>
    <definedName name="wrn.hilight3." hidden="1">{"hilight3",#N/A,FALSE,"HILIGHT3"}</definedName>
    <definedName name="wrn.income." hidden="1">{"income",#N/A,FALSE,"INCOME"}</definedName>
    <definedName name="wrn.index." hidden="1">{"index",#N/A,FALSE,"INDEX"}</definedName>
    <definedName name="wrn.KWG._.Plant." hidden="1">{"KWG Current month TB. &amp; B / T",#N/A,FALSE,"DOMESTIC &amp; EXPORT_KWG";"KWG YTD TB. &amp; B / T",#N/A,FALSE,"DOMESTIC &amp; EXPORT_KWG"}</definedName>
    <definedName name="wrn.MONTHLY." hidden="1">{#N/A,#N/A,FALSE,"4_TOTAL";#N/A,#N/A,FALSE,"3_2TOTAL";#N/A,#N/A,FALSE,"5_INCOME";#N/A,#N/A,FALSE,"2_2LEV";#N/A,#N/A,FALSE,"2_2LEVYTD";#N/A,#N/A,FALSE,"BALANCE";#N/A,#N/A,FALSE,"CASHFLOW";#N/A,#N/A,FALSE,"PRODUCT";#N/A,#N/A,FALSE,"SALES";#N/A,#N/A,FALSE,"AGING"}</definedName>
    <definedName name="wrn.PMDEPAER2." hidden="1">{"PM5CC",#N/A,FALSE,"PM5CC_95";"PM5DB",#N/A,FALSE,"PM5DB_95";"PM5WB",#N/A,FALSE,"PM5WB_95";"PM5WTK",#N/A,FALSE,"PM5WTK_9";"PM6B1",#N/A,FALSE,"PM6B1_95";"PM6OT",#N/A,FALSE,"PM6OT_95";"PM6BEM",#N/A,FALSE,"PM6BEM_9";"PM6AC",#N/A,FALSE,"PM6BAC_9";"PMC1AC",#N/A,FALSE,"C1AC_95";"PMC11CA",#N/A,FALSE,"C11CA_95";"PMC1EM",#N/A,FALSE,"C1EM_95";"PMDEPART2",#N/A,FALSE,"DEPART2";"PMCM1",#N/A,FALSE,"CM1_Q1"}</definedName>
    <definedName name="wrn.REPORT_EST." hidden="1">{"PRINT_EST",#N/A,FALSE,"ESTMON"}</definedName>
    <definedName name="wrn.rev_sale._.report." hidden="1">{"revsale",#N/A,FALSE,"REV-ยุพดี"}</definedName>
    <definedName name="wrn.revable." hidden="1">{"revable",#N/A,FALSE,"REVABLE"}</definedName>
    <definedName name="wrn.RLDEPART2." hidden="1">{"RL5CC",#N/A,FALSE,"PM5CC_95";"RL5DB",#N/A,FALSE,"PM5DB_95";"RL5WB",#N/A,FALSE,"PM5WB_95";"RL5WTK",#N/A,FALSE,"PM5WTK_9";"RL6B1",#N/A,FALSE,"PM6B1_95";"RL6OT",#N/A,FALSE,"PM6OT_95";"RL6EM",#N/A,FALSE,"PM6BEM_9";"RL6AC",#N/A,FALSE,"PM6BAC_9";"RLC1AC",#N/A,FALSE,"C1AC_95";"RLC11CA",#N/A,FALSE,"C11CA_95";"RLC1EM",#N/A,FALSE,"C1EM_95";"RLCM1",#N/A,FALSE,"CM1_Q1";"RLDEPART2",#N/A,FALSE,"DEPART2"}</definedName>
    <definedName name="wrn.RUN1." hidden="1">{"PAGE 1",#N/A,FALSE,"หน้า 1,2,3";"PAGE 2",#N/A,FALSE,"หน้า 1,2,3";"PAGE 3",#N/A,FALSE,"หน้า 1,2,3"}</definedName>
    <definedName name="wrn.SACTG." hidden="1">{"Page 1",#N/A,FALSE,"หน้า 1";"PAGE 2",#N/A,FALSE,"หน้า 2";"PAGE 3",#N/A,FALSE,"หน้า 3";"PAGE4",#N/A,FALSE,"หน้า 4"}</definedName>
    <definedName name="wrn.sales._.report." hidden="1">{"sales",#N/A,FALSE,"SALES"}</definedName>
    <definedName name="wrn.STL." hidden="1">{"STL Current month TB. &amp; B / T",#N/A,FALSE,"DOMESTIC &amp; EXPORT_TL&amp;KWG (SAP)";"STL YTD TB. &amp; B / T",#N/A,FALSE,"DOMESTIC &amp; EXPORT_TL&amp;KWG (SAP)"}</definedName>
    <definedName name="wrn.STL._.all._.FAC." hidden="1">{"STL Current month TB. &amp; B / T",#N/A,FALSE,"DOMESTIC &amp; EXPORT_TL&amp;KWG (SAP)";"STL YTD TB. &amp; B / T",#N/A,FALSE,"DOMESTIC &amp; EXPORT_TL&amp;KWG (SAP)";"TL Current month TB. &amp; B / T",#N/A,FALSE,"DOMESTIC &amp; EXPORT_TL";"TL YTD TB. &amp; B / T",#N/A,FALSE,"DOMESTIC &amp; EXPORT_TL";"KWG Current month TB. &amp; B / T",#N/A,FALSE,"DOMESTIC &amp; EXPORT_KWG";"KWG YTD TB. &amp; B / T",#N/A,FALSE,"DOMESTIC &amp; EXPORT_KWG"}</definedName>
    <definedName name="wrn.TL._.Plant." hidden="1">{"TL Current month TB. &amp; B / T",#N/A,FALSE,"DOMESTIC &amp; EXPORT_TL";"TL YTD TB. &amp; B / T",#N/A,FALSE,"DOMESTIC &amp; EXPORT_TL"}</definedName>
    <definedName name="wuwu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ww" hidden="1">{"'ตัวอย่าง'!$A$1:$O$21"}</definedName>
    <definedName name="www" hidden="1">{"'ตัวอย่าง'!$A$1:$O$21"}</definedName>
    <definedName name="wwwewe" hidden="1">{"'ตัวอย่าง'!$A$1:$O$21"}</definedName>
    <definedName name="xhx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xx" hidden="1">{#N/A,#N/A,FALSE,"TL";#N/A,#N/A,FALSE,"KK";#N/A,#N/A,FALSE,"TS";#N/A,#N/A,FALSE,"KW";#N/A,#N/A,FALSE,"LP";#N/A,#N/A,FALSE,"DC"}</definedName>
    <definedName name="XXXX" hidden="1">{"'ตัวอย่าง'!$A$1:$O$21"}</definedName>
    <definedName name="YTD">#REF!</definedName>
    <definedName name="YTD_Charge_vol">#REF!</definedName>
    <definedName name="YTD_STE_Chg_Vol">#REF!</definedName>
    <definedName name="ytddata">#REF!</definedName>
    <definedName name="yvy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yyyy" hidden="1">{#N/A,#N/A,FALSE,"BBPREP"}</definedName>
    <definedName name="z" hidden="1">{"'ตัวอย่าง'!$A$1:$O$21"}</definedName>
    <definedName name="zezuje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zirtzi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zjz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zjzj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zöz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zözz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zueu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zuiltl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zuk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zzzzzzzz" hidden="1">{"'ตัวอย่าง'!$A$1:$O$21"}</definedName>
    <definedName name="แ" hidden="1">{"'ตัวอย่าง'!$A$1:$O$21"}</definedName>
    <definedName name="แึถ">#REF!</definedName>
    <definedName name="แๅถ">#REF!</definedName>
    <definedName name="ใ" hidden="1">{"'TOTAL'!$A$1:$AG$20"}</definedName>
    <definedName name="ก" hidden="1">{"'ตัวอย่าง'!$A$1:$O$21"}</definedName>
    <definedName name="กดฟหกด" hidden="1">{"'ตัวอย่าง'!$A$1:$O$21"}</definedName>
    <definedName name="กิจกรรม" hidden="1">{"'TOTAL'!$A$1:$AG$20"}</definedName>
    <definedName name="กิจกรรมคปภ.ก.ย.51" hidden="1">{"'TOTAL'!$A$1:$AG$20"}</definedName>
    <definedName name="เก่าSkK" hidden="1">{"'ตัวอย่าง'!$A$1:$O$21"}</definedName>
    <definedName name="คีรี" hidden="1">{"'TOTAL'!$A$1:$AG$20"}</definedName>
    <definedName name="้คึ">#REF!</definedName>
    <definedName name="คึรึ" hidden="1">{"'TOTAL'!$A$1:$AG$20"}</definedName>
    <definedName name="งงงง" hidden="1">{"'ตัวอย่าง'!$A$1:$O$21"}</definedName>
    <definedName name="ญๅตค">#REF!</definedName>
    <definedName name="ด" hidden="1">{"'ตัวอย่าง'!$A$1:$O$21"}</definedName>
    <definedName name="ด49" localSheetId="1">#REF!</definedName>
    <definedName name="ด49">#REF!</definedName>
    <definedName name="ดด" hidden="1">{"'ตัวอย่าง'!$A$1:$O$21"}</definedName>
    <definedName name="ดา" hidden="1">{"'ตัวอย่าง'!$A$1:$O$21"}</definedName>
    <definedName name="ดารา" hidden="1">{"'ตัวอย่าง'!$A$1:$O$21"}</definedName>
    <definedName name="เด่น" hidden="1">{"'TOTAL'!$A$1:$AG$20"}</definedName>
    <definedName name="ปั๊มดูดน้ำมันเก่าเข้า" hidden="1">{"'ตัวอย่าง'!$A$1:$O$21"}</definedName>
    <definedName name="ปั๊มน้ำท้าย" hidden="1">{"'ตัวอย่าง'!$A$1:$O$21"}</definedName>
    <definedName name="ปืน" hidden="1">{"'ตัวอย่าง'!$A$1:$O$21"}</definedName>
    <definedName name="พ" hidden="1">{"'ตัวอย่าง'!$A$1:$O$21"}</definedName>
    <definedName name="พ.ค." hidden="1">{"'ตัวอย่าง'!$A$1:$O$21"}</definedName>
    <definedName name="พด" hidden="1">{"'ตัวอย่าง'!$A$1:$O$21"}</definedName>
    <definedName name="พฤษภาคม" hidden="1">{"'ตัวอย่าง'!$A$1:$O$21"}</definedName>
    <definedName name="ฟ" hidden="1">{"'ตัวอย่าง'!$A$1:$O$21"}</definedName>
    <definedName name="ฟ25" localSheetId="1">'TEP Report'!#REF!</definedName>
    <definedName name="ฟ25">#REF!</definedName>
    <definedName name="ฟฟฟ" localSheetId="1">#REF!</definedName>
    <definedName name="ฟฟฟ" hidden="1">{"'TOTAL'!$A$1:$AG$20"}</definedName>
    <definedName name="ฟฟฟฟฟ" hidden="1">{"'ตัวอย่าง'!$A$1:$O$21"}</definedName>
    <definedName name="ฟหด" hidden="1">{"'ตัวอย่าง'!$A$1:$O$21"}</definedName>
    <definedName name="ฟำ" hidden="1">{"'ตัวอย่าง'!$A$1:$O$21"}</definedName>
    <definedName name="ฟำดฟำ" hidden="1">{"'ตัวอย่าง'!$A$1:$O$21"}</definedName>
    <definedName name="เม.ย" hidden="1">{"'ตัวอย่าง'!$A$1:$O$21"}</definedName>
    <definedName name="เมษายน" hidden="1">{"'ตัวอย่าง'!$A$1:$O$21"}</definedName>
    <definedName name="เมษายน๑" hidden="1">{"'ตัวอย่าง'!$A$1:$O$21"}</definedName>
    <definedName name="ยยยยยยยยยยยย" hidden="1">{"'ตัวอย่าง'!$A$1:$O$21"}</definedName>
    <definedName name="รง." hidden="1">{"'TOTAL'!$A$1:$AG$20"}</definedName>
    <definedName name="รรีร" hidden="1">{"'TOTAL'!$A$1:$AG$20"}</definedName>
    <definedName name="ระบบโฟม" hidden="1">{"'ตัวอย่าง'!$A$1:$O$21"}</definedName>
    <definedName name="รุ">#REF!</definedName>
    <definedName name="ววว" hidden="1">{"'TOTAL'!$A$1:$AG$20"}</definedName>
    <definedName name="ศูนย์พัฒนา" hidden="1">{"RL5CC",#N/A,FALSE,"PM5CC_95";"RL5DB",#N/A,FALSE,"PM5DB_95";"RL5WB",#N/A,FALSE,"PM5WB_95";"RL5WTK",#N/A,FALSE,"PM5WTK_9";"RL6B1",#N/A,FALSE,"PM6B1_95";"RL6OT",#N/A,FALSE,"PM6OT_95";"RL6EM",#N/A,FALSE,"PM6BEM_9";"RL6AC",#N/A,FALSE,"PM6BAC_9";"RLC1AC",#N/A,FALSE,"C1AC_95";"RLC11CA",#N/A,FALSE,"C11CA_95";"RLC1EM",#N/A,FALSE,"C1EM_95";"RLCM1",#N/A,FALSE,"CM1_Q1";"RLDEPART2",#N/A,FALSE,"DEPART2"}</definedName>
    <definedName name="ห" hidden="1">{"'ตัวอย่าง'!$A$1:$O$21"}</definedName>
    <definedName name="หนองคาย" hidden="1">{"'TOTAL'!$A$1:$AG$20"}</definedName>
    <definedName name="เอกสารแนบ4" hidden="1">{"STL Current month TB. &amp; B / T",#N/A,FALSE,"DOMESTIC &amp; EXPORT_TL&amp;KWG (SAP)";"STL YTD TB. &amp; B / T",#N/A,FALSE,"DOMESTIC &amp; EXPORT_TL&amp;KWG (SAP)";"TL Current month TB. &amp; B / T",#N/A,FALSE,"DOMESTIC &amp; EXPORT_TL";"TL YTD TB. &amp; B / T",#N/A,FALSE,"DOMESTIC &amp; EXPORT_TL";"KWG Current month TB. &amp; B / T",#N/A,FALSE,"DOMESTIC &amp; EXPORT_KWG";"KWG YTD TB. &amp; B / T",#N/A,FALSE,"DOMESTIC &amp; EXPORT_KWG"}</definedName>
    <definedName name="เอกสารแนบ7" hidden="1">{"TL Current month TB. &amp; B / T",#N/A,FALSE,"DOMESTIC &amp; EXPORT_TL";"TL YTD TB. &amp; B / T",#N/A,FALSE,"DOMESTIC &amp; EXPORT_TL"}</definedName>
    <definedName name="เอกสารแนบ8" hidden="1">{#N/A,#N/A,FALSE,"TL";#N/A,#N/A,FALSE,"KK";#N/A,#N/A,FALSE,"TS";#N/A,#N/A,FALSE,"KW";#N/A,#N/A,FALSE,"LP";#N/A,#N/A,FALSE,"DC"}</definedName>
    <definedName name="ำ้ึ">#REF!</definedName>
    <definedName name="ๆ20" localSheetId="1">#REF!</definedName>
    <definedName name="ๆ20">#REF!</definedName>
    <definedName name="ๆ58" localSheetId="1">#REF!</definedName>
    <definedName name="ๆ58">#REF!</definedName>
    <definedName name="ๆๆๆๆๆ" hidden="1">{"'ตัวอย่าง'!$A$1:$O$21"}</definedName>
    <definedName name="土建" hidden="1">{"'照明目录'!$A$1:$H$31"}</definedName>
    <definedName name="土建2" hidden="1">{"'照明目录'!$A$1:$H$31"}</definedName>
    <definedName name="好听" hidden="1">{"'照明目录'!$A$1:$H$31"}</definedName>
    <definedName name="才了" hidden="1">{"'照明目录'!$A$1:$H$31"}</definedName>
    <definedName name="春" hidden="1">{"'照明目录'!$A$1:$H$31"}</definedName>
    <definedName name="汇编" hidden="1">{"'照明目录'!$A$1:$H$31"}</definedName>
    <definedName name="汇编1" hidden="1">{"'照明目录'!$A$1:$H$31"}</definedName>
    <definedName name="石膏破碎及输送" hidden="1">{"'照明目录'!$A$1:$H$31"}</definedName>
    <definedName name="自动空气开关" hidden="1">{"'照明目录'!$A$1:$H$31"}</definedName>
    <definedName name="阿嫂" hidden="1">{"'照明目录'!$A$1:$H$31"}</definedName>
    <definedName name="阿瑟" hidden="1">{"'照明目录'!$A$1:$H$31"}</definedName>
    <definedName name="随机配套" hidden="1">{"'照明目录'!$A$1:$H$31"}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25" i="23" l="1" a="1"/>
  <c r="H525" i="23" a="1"/>
  <c r="I636" i="23" a="1"/>
  <c r="H752" i="23" a="1"/>
  <c r="H748" i="23" a="1"/>
  <c r="H98" i="23" a="1"/>
  <c r="H30" i="23" a="1"/>
  <c r="H421" i="23" a="1"/>
  <c r="I617" i="23" a="1"/>
  <c r="H690" i="23" a="1"/>
  <c r="H281" i="23" a="1"/>
  <c r="H595" i="23" a="1"/>
  <c r="H501" i="23" a="1"/>
  <c r="I450" i="23" a="1"/>
  <c r="I583" i="23" a="1"/>
  <c r="I586" i="23" a="1"/>
  <c r="I236" i="23" a="1"/>
  <c r="I569" i="23" a="1"/>
  <c r="H494" i="23" a="1"/>
  <c r="H213" i="23" a="1"/>
  <c r="I634" i="23" a="1"/>
  <c r="I384" i="23" a="1"/>
  <c r="H562" i="23" a="1"/>
  <c r="I378" i="23" a="1"/>
  <c r="H191" i="23" a="1"/>
  <c r="H560" i="23" a="1"/>
  <c r="I573" i="23" a="1"/>
  <c r="H636" i="23" a="1"/>
  <c r="I562" i="23" a="1"/>
  <c r="I281" i="23" a="1"/>
  <c r="H12" i="23" a="1"/>
  <c r="I564" i="23" a="1"/>
  <c r="I390" i="23" a="1"/>
  <c r="H304" i="23" a="1"/>
  <c r="H233" i="23" a="1"/>
  <c r="H756" i="23" a="1"/>
  <c r="I392" i="23" a="1"/>
  <c r="H577" i="23" a="1"/>
  <c r="I252" i="23" a="1"/>
  <c r="I208" i="23" a="1"/>
  <c r="H262" i="23" a="1"/>
  <c r="I487" i="23" a="1"/>
  <c r="I576" i="23" a="1"/>
  <c r="I471" i="23" a="1"/>
  <c r="H569" i="23" a="1"/>
  <c r="H592" i="23" a="1"/>
  <c r="I90" i="23" a="1"/>
  <c r="H775" i="23" a="1"/>
  <c r="I560" i="23" a="1"/>
  <c r="I404" i="23" a="1"/>
  <c r="H405" i="23" a="1"/>
  <c r="H732" i="23" a="1"/>
  <c r="I331" i="23" a="1"/>
  <c r="H584" i="23" a="1"/>
  <c r="I147" i="23" a="1"/>
  <c r="I109" i="23" a="1"/>
  <c r="H361" i="23" a="1"/>
  <c r="H597" i="23" a="1"/>
  <c r="H772" i="23" a="1"/>
  <c r="H499" i="23" a="1"/>
  <c r="H267" i="23" a="1"/>
  <c r="H545" i="23" a="1"/>
  <c r="H258" i="23" a="1"/>
  <c r="H646" i="23" a="1"/>
  <c r="I73" i="23" a="1"/>
  <c r="I668" i="23" a="1"/>
  <c r="H84" i="23" a="1"/>
  <c r="H491" i="23" a="1"/>
  <c r="I639" i="23" a="1"/>
  <c r="I660" i="23" a="1"/>
  <c r="I508" i="23" a="1"/>
  <c r="H476" i="23" a="1"/>
  <c r="H763" i="23" a="1"/>
  <c r="I641" i="23" a="1"/>
  <c r="I686" i="23" a="1"/>
  <c r="H208" i="23" a="1"/>
  <c r="I665" i="23" a="1"/>
  <c r="H373" i="23" a="1"/>
  <c r="I444" i="23" a="1"/>
  <c r="H384" i="23" a="1"/>
  <c r="H65" i="23" a="1"/>
  <c r="I604" i="23" a="1"/>
  <c r="H495" i="23" a="1"/>
  <c r="H513" i="23" a="1"/>
  <c r="H417" i="23" a="1"/>
  <c r="I34" i="23" a="1"/>
  <c r="H337" i="23" a="1"/>
  <c r="H403" i="23" a="1"/>
  <c r="H615" i="23" a="1"/>
  <c r="I596" i="23" a="1"/>
  <c r="I549" i="23" a="1"/>
  <c r="H586" i="23" a="1"/>
  <c r="I5" i="23" a="1"/>
  <c r="I438" i="23" a="1"/>
  <c r="H510" i="23" a="1"/>
  <c r="I264" i="23" a="1"/>
  <c r="H212" i="23" a="1"/>
  <c r="H533" i="23" a="1"/>
  <c r="H364" i="23" a="1"/>
  <c r="I30" i="23" a="1"/>
  <c r="I616" i="23" a="1"/>
  <c r="I426" i="23" a="1"/>
  <c r="I118" i="23" a="1"/>
  <c r="H114" i="23" a="1"/>
  <c r="I202" i="23" a="1"/>
  <c r="H508" i="23" a="1"/>
  <c r="H498" i="23" a="1"/>
  <c r="H517" i="23" a="1"/>
  <c r="H543" i="23" a="1"/>
  <c r="I543" i="23" a="1"/>
  <c r="I592" i="23" a="1"/>
  <c r="I408" i="23" a="1"/>
  <c r="H622" i="23" a="1"/>
  <c r="I61" i="23" a="1"/>
  <c r="H607" i="23" a="1"/>
  <c r="I165" i="23" a="1"/>
  <c r="I760" i="23" a="1"/>
  <c r="H375" i="23" a="1"/>
  <c r="I568" i="23" a="1"/>
  <c r="I257" i="23" a="1"/>
  <c r="H587" i="23" a="1"/>
  <c r="I581" i="23" a="1"/>
  <c r="H580" i="23" a="1"/>
  <c r="I770" i="23" a="1"/>
  <c r="H42" i="23" a="1"/>
  <c r="H51" i="23" a="1"/>
  <c r="H731" i="23" a="1"/>
  <c r="H396" i="23" a="1"/>
  <c r="H180" i="23" a="1"/>
  <c r="I159" i="23" a="1"/>
  <c r="I155" i="23" a="1"/>
  <c r="H231" i="23" a="1"/>
  <c r="I681" i="23" a="1"/>
  <c r="H426" i="23" a="1"/>
  <c r="I85" i="23" a="1"/>
  <c r="I162" i="23" a="1"/>
  <c r="I756" i="23" a="1"/>
  <c r="H243" i="23" a="1"/>
  <c r="I276" i="23" a="1"/>
  <c r="H394" i="23" a="1"/>
  <c r="I631" i="23" a="1"/>
  <c r="I103" i="23" a="1"/>
  <c r="I187" i="23" a="1"/>
  <c r="I67" i="23" a="1"/>
  <c r="I394" i="23" a="1"/>
  <c r="I176" i="23" a="1"/>
  <c r="I591" i="23" a="1"/>
  <c r="I60" i="23" a="1"/>
  <c r="H66" i="23" a="1"/>
  <c r="H439" i="23" a="1"/>
  <c r="H750" i="23" a="1"/>
  <c r="I709" i="23" a="1"/>
  <c r="I225" i="23" a="1"/>
  <c r="H425" i="23" a="1"/>
  <c r="H563" i="23" a="1"/>
  <c r="I24" i="23" a="1"/>
  <c r="H641" i="23" a="1"/>
  <c r="I210" i="23" a="1"/>
  <c r="H349" i="23" a="1"/>
  <c r="H136" i="23" a="1"/>
  <c r="I51" i="23" a="1"/>
  <c r="I173" i="23" a="1"/>
  <c r="I350" i="23" a="1"/>
  <c r="H301" i="23" a="1"/>
  <c r="H631" i="23" a="1"/>
  <c r="H686" i="23" a="1"/>
  <c r="I379" i="23" a="1"/>
  <c r="I84" i="23" a="1"/>
  <c r="I430" i="23" a="1"/>
  <c r="I747" i="23" a="1"/>
  <c r="I349" i="23" a="1"/>
  <c r="H583" i="23" a="1"/>
  <c r="H140" i="23" a="1"/>
  <c r="H271" i="23" a="1"/>
  <c r="H711" i="23" a="1"/>
  <c r="I615" i="23" a="1"/>
  <c r="I514" i="23" a="1"/>
  <c r="I748" i="23" a="1"/>
  <c r="I65" i="23" a="1"/>
  <c r="I754" i="23" a="1"/>
  <c r="H39" i="23" a="1"/>
  <c r="H217" i="23" a="1"/>
  <c r="H456" i="23" a="1"/>
  <c r="H200" i="23" a="1"/>
  <c r="I76" i="23" a="1"/>
  <c r="H564" i="23" a="1"/>
  <c r="I778" i="23" a="1"/>
  <c r="I546" i="23" a="1"/>
  <c r="H484" i="23" a="1"/>
  <c r="H324" i="23" a="1"/>
  <c r="H765" i="23" a="1"/>
  <c r="I397" i="23" a="1"/>
  <c r="H160" i="23" a="1"/>
  <c r="H106" i="23" a="1"/>
  <c r="H639" i="23" a="1"/>
  <c r="I172" i="23" a="1"/>
  <c r="I161" i="23" a="1"/>
  <c r="I357" i="23" a="1"/>
  <c r="H118" i="23" a="1"/>
  <c r="H526" i="23" a="1"/>
  <c r="H283" i="23" a="1"/>
  <c r="H379" i="23" a="1"/>
  <c r="H127" i="23" a="1"/>
  <c r="H193" i="23" a="1"/>
  <c r="I258" i="23" a="1"/>
  <c r="I387" i="23" a="1"/>
  <c r="H69" i="23" a="1"/>
  <c r="H617" i="23" a="1"/>
  <c r="H478" i="23" a="1"/>
  <c r="I513" i="23" a="1"/>
  <c r="I9" i="23" a="1"/>
  <c r="I36" i="23" a="1"/>
  <c r="H472" i="23" a="1"/>
  <c r="I765" i="23" a="1"/>
  <c r="I423" i="23" a="1"/>
  <c r="H285" i="23" a="1"/>
  <c r="H542" i="23" a="1"/>
  <c r="I740" i="23" a="1"/>
  <c r="I190" i="23" a="1"/>
  <c r="I39" i="23" a="1"/>
  <c r="H331" i="23" a="1"/>
  <c r="H487" i="23" a="1"/>
  <c r="I644" i="23" a="1"/>
  <c r="H658" i="23" a="1"/>
  <c r="I503" i="23" a="1"/>
  <c r="H503" i="23" a="1"/>
  <c r="I396" i="23" a="1"/>
  <c r="H328" i="23" a="1"/>
  <c r="I302" i="23" a="1"/>
  <c r="I21" i="23" a="1"/>
  <c r="I274" i="23" a="1"/>
  <c r="I439" i="23" a="1"/>
  <c r="H244" i="23" a="1"/>
  <c r="H414" i="23" a="1"/>
  <c r="H668" i="23" a="1"/>
  <c r="H647" i="23" a="1"/>
  <c r="I708" i="23" a="1"/>
  <c r="H356" i="23" a="1"/>
  <c r="H415" i="23" a="1"/>
  <c r="I417" i="23" a="1"/>
  <c r="I498" i="23" a="1"/>
  <c r="H471" i="23" a="1"/>
  <c r="I428" i="23" a="1"/>
  <c r="I610" i="23" a="1"/>
  <c r="H307" i="23" a="1"/>
  <c r="I710" i="23" a="1"/>
  <c r="H158" i="23" a="1"/>
  <c r="I492" i="23" a="1"/>
  <c r="I646" i="23" a="1"/>
  <c r="H585" i="23" a="1"/>
  <c r="H688" i="23" a="1"/>
  <c r="H603" i="23" a="1"/>
  <c r="I106" i="23" a="1"/>
  <c r="H46" i="23" a="1"/>
  <c r="I72" i="23" a="1"/>
  <c r="H190" i="23" a="1"/>
  <c r="H75" i="23" a="1"/>
  <c r="I485" i="23" a="1"/>
  <c r="I526" i="23" a="1"/>
  <c r="I49" i="23" a="1"/>
  <c r="H45" i="23" a="1"/>
  <c r="H546" i="23" a="1"/>
  <c r="I145" i="23" a="1"/>
  <c r="I595" i="23" a="1"/>
  <c r="H274" i="23" a="1"/>
  <c r="H133" i="23" a="1"/>
  <c r="I98" i="23" a="1"/>
  <c r="H573" i="23" a="1"/>
  <c r="H423" i="23" a="1"/>
  <c r="H145" i="23" a="1"/>
  <c r="H665" i="23" a="1"/>
  <c r="H238" i="23" a="1"/>
  <c r="H778" i="23" a="1"/>
  <c r="I400" i="23" a="1"/>
  <c r="H370" i="23" a="1"/>
  <c r="H681" i="23" a="1"/>
  <c r="H228" i="23" a="1"/>
  <c r="I593" i="23" a="1"/>
  <c r="H302" i="23" a="1"/>
  <c r="I720" i="23" a="1"/>
  <c r="H720" i="23" a="1"/>
  <c r="I267" i="23" a="1"/>
  <c r="I81" i="23" a="1"/>
  <c r="H225" i="23" a="1"/>
  <c r="I584" i="23" a="1"/>
  <c r="I744" i="23" a="1"/>
  <c r="I545" i="23" a="1"/>
  <c r="H95" i="23" a="1"/>
  <c r="I220" i="23" a="1"/>
  <c r="H350" i="23" a="1"/>
  <c r="H183" i="23" a="1"/>
  <c r="H571" i="23" a="1"/>
  <c r="I158" i="23" a="1"/>
  <c r="H36" i="23" a="1"/>
  <c r="H710" i="23" a="1"/>
  <c r="I339" i="23" a="1"/>
  <c r="I324" i="23" a="1"/>
  <c r="H600" i="23" a="1"/>
  <c r="H214" i="23" a="1"/>
  <c r="I127" i="23" a="1"/>
  <c r="I637" i="23" a="1"/>
  <c r="H91" i="23" a="1"/>
  <c r="H54" i="23" a="1"/>
  <c r="H155" i="23" a="1"/>
  <c r="H148" i="23" a="1"/>
  <c r="I223" i="23" a="1"/>
  <c r="H248" i="23" a="1"/>
  <c r="I648" i="23" a="1"/>
  <c r="I690" i="23" a="1"/>
  <c r="H34" i="23" a="1"/>
  <c r="I23" i="23" a="1"/>
  <c r="I567" i="23" a="1"/>
  <c r="I587" i="23" a="1"/>
  <c r="H774" i="23" a="1"/>
  <c r="I771" i="23" a="1"/>
  <c r="I495" i="23" a="1"/>
  <c r="I647" i="23" a="1"/>
  <c r="I414" i="23" a="1"/>
  <c r="H143" i="23" a="1"/>
  <c r="I75" i="23" a="1"/>
  <c r="H334" i="23" a="1"/>
  <c r="I95" i="23" a="1"/>
  <c r="I711" i="23" a="1"/>
  <c r="H576" i="23" a="1"/>
  <c r="I585" i="23" a="1"/>
  <c r="I54" i="23" a="1"/>
  <c r="I358" i="23" a="1"/>
  <c r="H676" i="23" a="1"/>
  <c r="I589" i="23" a="1"/>
  <c r="I531" i="23" a="1"/>
  <c r="H388" i="23" a="1"/>
  <c r="I337" i="23" a="1"/>
  <c r="I301" i="23" a="1"/>
  <c r="H226" i="23" a="1"/>
  <c r="I405" i="23" a="1"/>
  <c r="I140" i="23" a="1"/>
  <c r="H430" i="23" a="1"/>
  <c r="I523" i="23" a="1"/>
  <c r="I262" i="23" a="1"/>
  <c r="I731" i="23" a="1"/>
  <c r="H771" i="23" a="1"/>
  <c r="H444" i="23" a="1"/>
  <c r="H99" i="23" a="1"/>
  <c r="H196" i="23" a="1"/>
  <c r="H390" i="23" a="1"/>
  <c r="I238" i="23" a="1"/>
  <c r="I89" i="23" a="1"/>
  <c r="I484" i="23" a="1"/>
  <c r="H357" i="23" a="1"/>
  <c r="I658" i="23" a="1"/>
  <c r="I571" i="23" a="1"/>
  <c r="I752" i="23" a="1"/>
  <c r="I553" i="23" a="1"/>
  <c r="H72" i="23" a="1"/>
  <c r="I501" i="23" a="1"/>
  <c r="I183" i="23" a="1"/>
  <c r="I45" i="23" a="1"/>
  <c r="I79" i="23" a="1"/>
  <c r="H169" i="23" a="1"/>
  <c r="H747" i="23" a="1"/>
  <c r="I151" i="23" a="1"/>
  <c r="H314" i="23" a="1"/>
  <c r="I226" i="23" a="1"/>
  <c r="H90" i="23" a="1"/>
  <c r="H589" i="23" a="1"/>
  <c r="I772" i="23" a="1"/>
  <c r="I285" i="23" a="1"/>
  <c r="H7" i="23" a="1"/>
  <c r="H634" i="23" a="1"/>
  <c r="I491" i="23" a="1"/>
  <c r="H648" i="23" a="1"/>
  <c r="I733" i="23" a="1"/>
  <c r="I169" i="23" a="1"/>
  <c r="H744" i="23" a="1"/>
  <c r="I534" i="23" a="1"/>
  <c r="H165" i="23" a="1"/>
  <c r="H428" i="23" a="1"/>
  <c r="I579" i="23" a="1"/>
  <c r="I622" i="23" a="1"/>
  <c r="H760" i="23" a="1"/>
  <c r="H422" i="23" a="1"/>
  <c r="H387" i="23" a="1"/>
  <c r="I283" i="23" a="1"/>
  <c r="I323" i="23" a="1"/>
  <c r="I217" i="23" a="1"/>
  <c r="I139" i="23" a="1"/>
  <c r="I328" i="23" a="1"/>
  <c r="I389" i="23" a="1"/>
  <c r="H109" i="23" a="1"/>
  <c r="I607" i="23" a="1"/>
  <c r="I415" i="23" a="1"/>
  <c r="H555" i="23" a="1"/>
  <c r="I517" i="23" a="1"/>
  <c r="I334" i="23" a="1"/>
  <c r="I628" i="23" a="1"/>
  <c r="I458" i="23" a="1"/>
  <c r="H730" i="23" a="1"/>
  <c r="H709" i="23" a="1"/>
  <c r="H138" i="23" a="1"/>
  <c r="H6" i="23" a="1"/>
  <c r="I6" i="23" a="1"/>
  <c r="H724" i="23" a="1"/>
  <c r="I120" i="23" a="1"/>
  <c r="I490" i="23" a="1"/>
  <c r="H521" i="23" a="1"/>
  <c r="I521" i="23" a="1"/>
  <c r="H159" i="23" a="1"/>
  <c r="H404" i="23" a="1"/>
  <c r="I565" i="23" a="1"/>
  <c r="I361" i="23" a="1"/>
  <c r="I451" i="23" a="1"/>
  <c r="I422" i="23" a="1"/>
  <c r="H660" i="23" a="1"/>
  <c r="H565" i="23" a="1"/>
  <c r="I244" i="23" a="1"/>
  <c r="I642" i="23" a="1"/>
  <c r="H323" i="23" a="1"/>
  <c r="H493" i="23" a="1"/>
  <c r="H733" i="23" a="1"/>
  <c r="H9" i="23" a="1"/>
  <c r="H21" i="23" a="1"/>
  <c r="H79" i="23" a="1"/>
  <c r="I555" i="23" a="1"/>
  <c r="H49" i="23" a="1"/>
  <c r="H500" i="23" a="1"/>
  <c r="I500" i="23" a="1"/>
  <c r="H514" i="23" a="1"/>
  <c r="H458" i="23" a="1"/>
  <c r="H272" i="23" a="1"/>
  <c r="H700" i="23" a="1"/>
  <c r="I367" i="23" a="1"/>
  <c r="H485" i="23" a="1"/>
  <c r="I212" i="23" a="1"/>
  <c r="I370" i="23" a="1"/>
  <c r="I447" i="23" a="1"/>
  <c r="H531" i="23" a="1"/>
  <c r="I7" i="23" a="1"/>
  <c r="H628" i="23" a="1"/>
  <c r="I306" i="23" a="1"/>
  <c r="I42" i="23" a="1"/>
  <c r="H85" i="23" a="1"/>
  <c r="H161" i="23" a="1"/>
  <c r="I193" i="23" a="1"/>
  <c r="I773" i="23" a="1"/>
  <c r="H642" i="23" a="1"/>
  <c r="I91" i="23" a="1"/>
  <c r="I124" i="23" a="1"/>
  <c r="I476" i="23" a="1"/>
  <c r="H173" i="23" a="1"/>
  <c r="H60" i="23" a="1"/>
  <c r="I421" i="23" a="1"/>
  <c r="I307" i="23" a="1"/>
  <c r="H172" i="23" a="1"/>
  <c r="I577" i="23" a="1"/>
  <c r="I494" i="23" a="1"/>
  <c r="I403" i="23" a="1"/>
  <c r="I160" i="23" a="1"/>
  <c r="H523" i="23" a="1"/>
  <c r="I685" i="23" a="1"/>
  <c r="H306" i="23" a="1"/>
  <c r="I533" i="23" a="1"/>
  <c r="I388" i="23" a="1"/>
  <c r="H367" i="23" a="1"/>
  <c r="H455" i="23" a="1"/>
  <c r="H616" i="23" a="1"/>
  <c r="H81" i="23" a="1"/>
  <c r="H382" i="23" a="1"/>
  <c r="H490" i="23" a="1"/>
  <c r="H773" i="23" a="1"/>
  <c r="I626" i="23" a="1"/>
  <c r="H202" i="23" a="1"/>
  <c r="H540" i="23" a="1"/>
  <c r="H82" i="23" a="1"/>
  <c r="I676" i="23" a="1"/>
  <c r="I774" i="23" a="1"/>
  <c r="I243" i="23" a="1"/>
  <c r="H162" i="23" a="1"/>
  <c r="I603" i="23" a="1"/>
  <c r="I375" i="23" a="1"/>
  <c r="H626" i="23" a="1"/>
  <c r="H708" i="23" a="1"/>
  <c r="I138" i="23" a="1"/>
  <c r="I542" i="23" a="1"/>
  <c r="I181" i="23" a="1"/>
  <c r="I66" i="23" a="1"/>
  <c r="H392" i="23" a="1"/>
  <c r="H604" i="23" a="1"/>
  <c r="H61" i="23" a="1"/>
  <c r="I228" i="23" a="1"/>
  <c r="H128" i="23" a="1"/>
  <c r="H378" i="23" a="1"/>
  <c r="H408" i="23" a="1"/>
  <c r="I196" i="23" a="1"/>
  <c r="I478" i="23" a="1"/>
  <c r="H103" i="23" a="1"/>
  <c r="I271" i="23" a="1"/>
  <c r="H73" i="23" a="1"/>
  <c r="H24" i="23" a="1"/>
  <c r="H151" i="23" a="1"/>
  <c r="I231" i="23" a="1"/>
  <c r="H67" i="23" a="1"/>
  <c r="H223" i="23" a="1"/>
  <c r="H111" i="23" a="1"/>
  <c r="I111" i="23" a="1"/>
  <c r="I373" i="23" a="1"/>
  <c r="H187" i="23" a="1"/>
  <c r="I191" i="23" a="1"/>
  <c r="H339" i="23" a="1"/>
  <c r="I12" i="23" a="1"/>
  <c r="I213" i="23" a="1"/>
  <c r="I214" i="23" a="1"/>
  <c r="H549" i="23" a="1"/>
  <c r="I600" i="23" a="1"/>
  <c r="I128" i="23" a="1"/>
  <c r="H591" i="23" a="1"/>
  <c r="I580" i="23" a="1"/>
  <c r="I505" i="23" a="1"/>
  <c r="H593" i="23" a="1"/>
  <c r="H210" i="23" a="1"/>
  <c r="I356" i="23" a="1"/>
  <c r="H264" i="23" a="1"/>
  <c r="H236" i="23" a="1"/>
  <c r="I382" i="23" a="1"/>
  <c r="I204" i="23" a="1"/>
  <c r="I456" i="23" a="1"/>
  <c r="H400" i="23" a="1"/>
  <c r="I314" i="23" a="1"/>
  <c r="I425" i="23" a="1"/>
  <c r="H770" i="23" a="1"/>
  <c r="H89" i="23" a="1"/>
  <c r="I136" i="23" a="1"/>
  <c r="H596" i="23" a="1"/>
  <c r="H492" i="23" a="1"/>
  <c r="H176" i="23" a="1"/>
  <c r="I272" i="23" a="1"/>
  <c r="H120" i="23" a="1"/>
  <c r="I69" i="23" a="1"/>
  <c r="H637" i="23" a="1"/>
  <c r="H553" i="23" a="1"/>
  <c r="H23" i="23" a="1"/>
  <c r="H124" i="23" a="1"/>
  <c r="I455" i="23" a="1"/>
  <c r="I82" i="23" a="1"/>
  <c r="H76" i="23" a="1"/>
  <c r="I248" i="23" a="1"/>
  <c r="H581" i="23" a="1"/>
  <c r="H505" i="23" a="1"/>
  <c r="I46" i="23" a="1"/>
  <c r="I364" i="23" a="1"/>
  <c r="I700" i="23" a="1"/>
  <c r="I133" i="23" a="1"/>
  <c r="I143" i="23" a="1"/>
  <c r="I499" i="23" a="1"/>
  <c r="I180" i="23" a="1"/>
  <c r="I114" i="23" a="1"/>
  <c r="H398" i="23" a="1"/>
  <c r="H139" i="23" a="1"/>
  <c r="H450" i="23" a="1"/>
  <c r="H568" i="23" a="1"/>
  <c r="H389" i="23" a="1"/>
  <c r="H358" i="23" a="1"/>
  <c r="H740" i="23" a="1"/>
  <c r="H276" i="23" a="1"/>
  <c r="I99" i="23" a="1"/>
  <c r="I732" i="23" a="1"/>
  <c r="H579" i="23" a="1"/>
  <c r="I775" i="23" a="1"/>
  <c r="H610" i="23" a="1"/>
  <c r="I304" i="23" a="1"/>
  <c r="H644" i="23" a="1"/>
  <c r="I398" i="23" a="1"/>
  <c r="I688" i="23" a="1"/>
  <c r="H567" i="23" a="1"/>
  <c r="H438" i="23" a="1"/>
  <c r="H252" i="23" a="1"/>
  <c r="H204" i="23" a="1"/>
  <c r="H685" i="23" a="1"/>
  <c r="I117" i="23" a="1"/>
  <c r="I597" i="23" a="1"/>
  <c r="I510" i="23" a="1"/>
  <c r="I472" i="23" a="1"/>
  <c r="H147" i="23" a="1"/>
  <c r="I750" i="23" a="1"/>
  <c r="H534" i="23" a="1"/>
  <c r="H257" i="23" a="1"/>
  <c r="I540" i="23" a="1"/>
  <c r="I493" i="23" a="1"/>
  <c r="H451" i="23" a="1"/>
  <c r="I730" i="23" a="1"/>
  <c r="I200" i="23" a="1"/>
  <c r="H220" i="23" a="1"/>
  <c r="H754" i="23" a="1"/>
  <c r="I563" i="23" a="1"/>
  <c r="H447" i="23" a="1"/>
  <c r="H397" i="23" a="1"/>
  <c r="H5" i="23" a="1"/>
  <c r="I233" i="23" a="1"/>
  <c r="I724" i="23" a="1"/>
  <c r="H181" i="23" a="1"/>
  <c r="H117" i="23" a="1"/>
  <c r="I763" i="23" a="1"/>
  <c r="I148" i="23" a="1"/>
  <c r="H525" i="23" l="1"/>
  <c r="I525" i="23"/>
  <c r="I274" i="23"/>
  <c r="H274" i="23"/>
  <c r="H676" i="23"/>
  <c r="I430" i="23"/>
  <c r="H430" i="23"/>
  <c r="I668" i="23"/>
  <c r="I610" i="23"/>
  <c r="I587" i="23"/>
  <c r="I540" i="23"/>
  <c r="I517" i="23"/>
  <c r="I505" i="23"/>
  <c r="I447" i="23"/>
  <c r="I396" i="23"/>
  <c r="I307" i="23"/>
  <c r="I281" i="23"/>
  <c r="I243" i="23"/>
  <c r="I217" i="23"/>
  <c r="I204" i="23"/>
  <c r="I191" i="23"/>
  <c r="I140" i="23"/>
  <c r="I127" i="23"/>
  <c r="I89" i="23"/>
  <c r="I76" i="23"/>
  <c r="I51" i="23"/>
  <c r="I644" i="23"/>
  <c r="I586" i="23"/>
  <c r="I563" i="23"/>
  <c r="I493" i="23"/>
  <c r="I458" i="23"/>
  <c r="I421" i="23"/>
  <c r="I408" i="23"/>
  <c r="I382" i="23"/>
  <c r="I370" i="23"/>
  <c r="I357" i="23"/>
  <c r="I306" i="23"/>
  <c r="I190" i="23"/>
  <c r="I165" i="23"/>
  <c r="I114" i="23"/>
  <c r="I597" i="23"/>
  <c r="I585" i="23"/>
  <c r="I562" i="23"/>
  <c r="I492" i="23"/>
  <c r="I356" i="23"/>
  <c r="I331" i="23"/>
  <c r="I267" i="23"/>
  <c r="I228" i="23"/>
  <c r="I151" i="23"/>
  <c r="I139" i="23"/>
  <c r="I75" i="23"/>
  <c r="I49" i="23"/>
  <c r="I760" i="23"/>
  <c r="I752" i="23"/>
  <c r="I744" i="23"/>
  <c r="I720" i="23"/>
  <c r="I688" i="23"/>
  <c r="I631" i="23"/>
  <c r="J608" i="23"/>
  <c r="I596" i="23"/>
  <c r="I573" i="23"/>
  <c r="I526" i="23"/>
  <c r="I503" i="23"/>
  <c r="I394" i="23"/>
  <c r="I304" i="23"/>
  <c r="I214" i="23"/>
  <c r="I202" i="23"/>
  <c r="I176" i="23"/>
  <c r="I138" i="23"/>
  <c r="I61" i="23"/>
  <c r="I30" i="23"/>
  <c r="I665" i="23"/>
  <c r="I642" i="23"/>
  <c r="I607" i="23"/>
  <c r="I584" i="23"/>
  <c r="I549" i="23"/>
  <c r="I514" i="23"/>
  <c r="I491" i="23"/>
  <c r="I456" i="23"/>
  <c r="I444" i="23"/>
  <c r="I367" i="23"/>
  <c r="I252" i="23"/>
  <c r="I124" i="23"/>
  <c r="I111" i="23"/>
  <c r="I99" i="23"/>
  <c r="I73" i="23"/>
  <c r="I60" i="23"/>
  <c r="I775" i="23"/>
  <c r="I711" i="23"/>
  <c r="I676" i="23"/>
  <c r="I641" i="23"/>
  <c r="I595" i="23"/>
  <c r="I583" i="23"/>
  <c r="I560" i="23"/>
  <c r="I513" i="23"/>
  <c r="I490" i="23"/>
  <c r="I478" i="23"/>
  <c r="I455" i="23"/>
  <c r="I405" i="23"/>
  <c r="I392" i="23"/>
  <c r="I328" i="23"/>
  <c r="I302" i="23"/>
  <c r="I264" i="23"/>
  <c r="I238" i="23"/>
  <c r="I226" i="23"/>
  <c r="I213" i="23"/>
  <c r="I200" i="23"/>
  <c r="I162" i="23"/>
  <c r="I136" i="23"/>
  <c r="I98" i="23"/>
  <c r="I85" i="23"/>
  <c r="I72" i="23"/>
  <c r="I46" i="23"/>
  <c r="I617" i="23"/>
  <c r="I571" i="23"/>
  <c r="I501" i="23"/>
  <c r="J466" i="23"/>
  <c r="K466" i="23" s="1"/>
  <c r="I417" i="23"/>
  <c r="I404" i="23"/>
  <c r="I379" i="23"/>
  <c r="I276" i="23"/>
  <c r="I225" i="23"/>
  <c r="I212" i="23"/>
  <c r="I187" i="23"/>
  <c r="I161" i="23"/>
  <c r="I148" i="23"/>
  <c r="I84" i="23"/>
  <c r="I774" i="23"/>
  <c r="I750" i="23"/>
  <c r="I710" i="23"/>
  <c r="I686" i="23"/>
  <c r="I628" i="23"/>
  <c r="J605" i="23"/>
  <c r="I593" i="23"/>
  <c r="I500" i="23"/>
  <c r="I390" i="23"/>
  <c r="I378" i="23"/>
  <c r="I314" i="23"/>
  <c r="I301" i="23"/>
  <c r="I262" i="23"/>
  <c r="I173" i="23"/>
  <c r="I160" i="23"/>
  <c r="I109" i="23"/>
  <c r="I45" i="23"/>
  <c r="I639" i="23"/>
  <c r="I616" i="23"/>
  <c r="I604" i="23"/>
  <c r="I581" i="23"/>
  <c r="I569" i="23"/>
  <c r="I546" i="23"/>
  <c r="I534" i="23"/>
  <c r="I523" i="23"/>
  <c r="I476" i="23"/>
  <c r="I428" i="23"/>
  <c r="I415" i="23"/>
  <c r="I403" i="23"/>
  <c r="I364" i="23"/>
  <c r="I339" i="23"/>
  <c r="I236" i="23"/>
  <c r="I223" i="23"/>
  <c r="I172" i="23"/>
  <c r="I159" i="23"/>
  <c r="I147" i="23"/>
  <c r="I95" i="23"/>
  <c r="I773" i="23"/>
  <c r="I765" i="23"/>
  <c r="I733" i="23"/>
  <c r="I709" i="23"/>
  <c r="I685" i="23"/>
  <c r="I615" i="23"/>
  <c r="I592" i="23"/>
  <c r="I580" i="23"/>
  <c r="I545" i="23"/>
  <c r="I510" i="23"/>
  <c r="I499" i="23"/>
  <c r="I487" i="23"/>
  <c r="J464" i="23"/>
  <c r="K464" i="23" s="1"/>
  <c r="R465" i="23" s="1"/>
  <c r="I414" i="23"/>
  <c r="I389" i="23"/>
  <c r="I350" i="23"/>
  <c r="I248" i="23"/>
  <c r="I210" i="23"/>
  <c r="I158" i="23"/>
  <c r="I133" i="23"/>
  <c r="I120" i="23"/>
  <c r="I82" i="23"/>
  <c r="I69" i="23"/>
  <c r="I626" i="23"/>
  <c r="I603" i="23"/>
  <c r="I591" i="23"/>
  <c r="I568" i="23"/>
  <c r="I533" i="23"/>
  <c r="I521" i="23"/>
  <c r="I498" i="23"/>
  <c r="J463" i="23"/>
  <c r="I439" i="23"/>
  <c r="I388" i="23"/>
  <c r="I375" i="23"/>
  <c r="I337" i="23"/>
  <c r="I324" i="23"/>
  <c r="I196" i="23"/>
  <c r="I183" i="23"/>
  <c r="I145" i="23"/>
  <c r="I81" i="23"/>
  <c r="I772" i="23"/>
  <c r="I756" i="23"/>
  <c r="I748" i="23"/>
  <c r="I740" i="23"/>
  <c r="I732" i="23"/>
  <c r="I724" i="23"/>
  <c r="I708" i="23"/>
  <c r="I700" i="23"/>
  <c r="I660" i="23"/>
  <c r="I637" i="23"/>
  <c r="I579" i="23"/>
  <c r="I567" i="23"/>
  <c r="I451" i="23"/>
  <c r="I438" i="23"/>
  <c r="I426" i="23"/>
  <c r="I400" i="23"/>
  <c r="I349" i="23"/>
  <c r="I285" i="23"/>
  <c r="I272" i="23"/>
  <c r="I208" i="23"/>
  <c r="I118" i="23"/>
  <c r="I106" i="23"/>
  <c r="I54" i="23"/>
  <c r="I39" i="23"/>
  <c r="I648" i="23"/>
  <c r="I636" i="23"/>
  <c r="I555" i="23"/>
  <c r="I543" i="23"/>
  <c r="I508" i="23"/>
  <c r="I485" i="23"/>
  <c r="I450" i="23"/>
  <c r="I425" i="23"/>
  <c r="J412" i="23"/>
  <c r="K412" i="23" s="1"/>
  <c r="I387" i="23"/>
  <c r="I361" i="23"/>
  <c r="I323" i="23"/>
  <c r="I271" i="23"/>
  <c r="I233" i="23"/>
  <c r="I220" i="23"/>
  <c r="I169" i="23"/>
  <c r="I143" i="23"/>
  <c r="I79" i="23"/>
  <c r="I67" i="23"/>
  <c r="I771" i="23"/>
  <c r="I763" i="23"/>
  <c r="I747" i="23"/>
  <c r="I731" i="23"/>
  <c r="I647" i="23"/>
  <c r="I589" i="23"/>
  <c r="I577" i="23"/>
  <c r="I542" i="23"/>
  <c r="I531" i="23"/>
  <c r="I484" i="23"/>
  <c r="I398" i="23"/>
  <c r="I373" i="23"/>
  <c r="I334" i="23"/>
  <c r="I258" i="23"/>
  <c r="I181" i="23"/>
  <c r="I117" i="23"/>
  <c r="I66" i="23"/>
  <c r="I12" i="23"/>
  <c r="I681" i="23"/>
  <c r="I658" i="23"/>
  <c r="I646" i="23"/>
  <c r="I600" i="23"/>
  <c r="I565" i="23"/>
  <c r="I553" i="23"/>
  <c r="I495" i="23"/>
  <c r="I472" i="23"/>
  <c r="I423" i="23"/>
  <c r="I283" i="23"/>
  <c r="I257" i="23"/>
  <c r="I244" i="23"/>
  <c r="I231" i="23"/>
  <c r="I193" i="23"/>
  <c r="I180" i="23"/>
  <c r="I155" i="23"/>
  <c r="I103" i="23"/>
  <c r="I91" i="23"/>
  <c r="I65" i="23"/>
  <c r="I778" i="23"/>
  <c r="I770" i="23"/>
  <c r="I754" i="23"/>
  <c r="I730" i="23"/>
  <c r="I690" i="23"/>
  <c r="I634" i="23"/>
  <c r="I622" i="23"/>
  <c r="I576" i="23"/>
  <c r="I564" i="23"/>
  <c r="I494" i="23"/>
  <c r="I471" i="23"/>
  <c r="I422" i="23"/>
  <c r="I397" i="23"/>
  <c r="I384" i="23"/>
  <c r="I358" i="23"/>
  <c r="I128" i="23"/>
  <c r="I90" i="23"/>
  <c r="J64" i="23"/>
  <c r="I36" i="23"/>
  <c r="I21" i="23"/>
  <c r="I42" i="23"/>
  <c r="I34" i="23"/>
  <c r="I9" i="23"/>
  <c r="I24" i="23"/>
  <c r="I23" i="23"/>
  <c r="I7" i="23"/>
  <c r="I6" i="23"/>
  <c r="H6" i="23"/>
  <c r="H118" i="23"/>
  <c r="H276" i="23"/>
  <c r="H120" i="23"/>
  <c r="H281" i="23"/>
  <c r="H546" i="23"/>
  <c r="H238" i="23"/>
  <c r="H404" i="23"/>
  <c r="H128" i="23"/>
  <c r="H226" i="23"/>
  <c r="H73" i="23"/>
  <c r="H357" i="23"/>
  <c r="H720" i="23"/>
  <c r="H36" i="23"/>
  <c r="H190" i="23"/>
  <c r="H334" i="23"/>
  <c r="H447" i="23"/>
  <c r="H526" i="23"/>
  <c r="H668" i="23"/>
  <c r="H21" i="23"/>
  <c r="H69" i="23"/>
  <c r="H117" i="23"/>
  <c r="H155" i="23"/>
  <c r="H191" i="23"/>
  <c r="H228" i="23"/>
  <c r="H337" i="23"/>
  <c r="H54" i="23"/>
  <c r="H158" i="23"/>
  <c r="H193" i="23"/>
  <c r="H339" i="23"/>
  <c r="H23" i="23"/>
  <c r="H196" i="23"/>
  <c r="H397" i="23"/>
  <c r="H9" i="23"/>
  <c r="H89" i="23"/>
  <c r="H285" i="23"/>
  <c r="H615" i="23"/>
  <c r="H106" i="23"/>
  <c r="H84" i="23"/>
  <c r="H151" i="23"/>
  <c r="H272" i="23"/>
  <c r="H390" i="23"/>
  <c r="H589" i="23"/>
  <c r="I5" i="23"/>
  <c r="H85" i="23"/>
  <c r="H5" i="23"/>
  <c r="H392" i="23"/>
  <c r="H456" i="23"/>
  <c r="H540" i="23"/>
  <c r="H595" i="23"/>
  <c r="H686" i="23"/>
  <c r="H636" i="23"/>
  <c r="H747" i="23"/>
  <c r="H233" i="23"/>
  <c r="H708" i="23"/>
  <c r="H161" i="23"/>
  <c r="H490" i="23"/>
  <c r="H204" i="23"/>
  <c r="H361" i="23"/>
  <c r="H136" i="23"/>
  <c r="H248" i="23"/>
  <c r="H565" i="23"/>
  <c r="H306" i="23"/>
  <c r="H30" i="23"/>
  <c r="H139" i="23"/>
  <c r="H173" i="23"/>
  <c r="H213" i="23"/>
  <c r="H257" i="23"/>
  <c r="H307" i="23"/>
  <c r="H231" i="23"/>
  <c r="H396" i="23"/>
  <c r="H39" i="23"/>
  <c r="H103" i="23"/>
  <c r="H159" i="23"/>
  <c r="H356" i="23"/>
  <c r="H478" i="23"/>
  <c r="H127" i="23"/>
  <c r="H90" i="23"/>
  <c r="H732" i="23"/>
  <c r="H61" i="23"/>
  <c r="H138" i="23"/>
  <c r="H252" i="23"/>
  <c r="H500" i="23"/>
  <c r="H95" i="23"/>
  <c r="H111" i="23"/>
  <c r="H140" i="23"/>
  <c r="H176" i="23"/>
  <c r="H214" i="23"/>
  <c r="H258" i="23"/>
  <c r="H314" i="23"/>
  <c r="H378" i="23"/>
  <c r="H423" i="23"/>
  <c r="H508" i="23"/>
  <c r="H579" i="23"/>
  <c r="H642" i="23"/>
  <c r="H754" i="23"/>
  <c r="H364" i="23"/>
  <c r="H626" i="23"/>
  <c r="H109" i="23"/>
  <c r="H414" i="23"/>
  <c r="H571" i="23"/>
  <c r="H49" i="23"/>
  <c r="H65" i="23"/>
  <c r="H81" i="23"/>
  <c r="H145" i="23"/>
  <c r="H181" i="23"/>
  <c r="H220" i="23"/>
  <c r="H264" i="23"/>
  <c r="H324" i="23"/>
  <c r="H382" i="23"/>
  <c r="H603" i="23"/>
  <c r="H202" i="23"/>
  <c r="H560" i="23"/>
  <c r="H42" i="23"/>
  <c r="H162" i="23"/>
  <c r="H243" i="23"/>
  <c r="H12" i="23"/>
  <c r="H76" i="23"/>
  <c r="H210" i="23"/>
  <c r="H405" i="23"/>
  <c r="H172" i="23"/>
  <c r="H415" i="23"/>
  <c r="H46" i="23"/>
  <c r="H79" i="23"/>
  <c r="H384" i="23"/>
  <c r="H517" i="23"/>
  <c r="H584" i="23"/>
  <c r="H648" i="23"/>
  <c r="H765" i="23"/>
  <c r="H301" i="23"/>
  <c r="H60" i="23"/>
  <c r="H169" i="23"/>
  <c r="H304" i="23"/>
  <c r="H494" i="23"/>
  <c r="H45" i="23"/>
  <c r="H212" i="23"/>
  <c r="H375" i="23"/>
  <c r="H34" i="23"/>
  <c r="H66" i="23"/>
  <c r="H82" i="23"/>
  <c r="H98" i="23"/>
  <c r="H114" i="23"/>
  <c r="H147" i="23"/>
  <c r="H183" i="23"/>
  <c r="H223" i="23"/>
  <c r="H267" i="23"/>
  <c r="H328" i="23"/>
  <c r="H367" i="23"/>
  <c r="H387" i="23"/>
  <c r="H398" i="23"/>
  <c r="H417" i="23"/>
  <c r="H438" i="23"/>
  <c r="H458" i="23"/>
  <c r="H491" i="23"/>
  <c r="H501" i="23"/>
  <c r="H521" i="23"/>
  <c r="H542" i="23"/>
  <c r="H562" i="23"/>
  <c r="H573" i="23"/>
  <c r="H585" i="23"/>
  <c r="H596" i="23"/>
  <c r="H616" i="23"/>
  <c r="H637" i="23"/>
  <c r="H658" i="23"/>
  <c r="H688" i="23"/>
  <c r="H724" i="23"/>
  <c r="H748" i="23"/>
  <c r="H770" i="23"/>
  <c r="H7" i="23"/>
  <c r="H771" i="23"/>
  <c r="H349" i="23"/>
  <c r="H370" i="23"/>
  <c r="H388" i="23"/>
  <c r="H400" i="23"/>
  <c r="H421" i="23"/>
  <c r="H439" i="23"/>
  <c r="H471" i="23"/>
  <c r="H492" i="23"/>
  <c r="H503" i="23"/>
  <c r="H523" i="23"/>
  <c r="H543" i="23"/>
  <c r="H563" i="23"/>
  <c r="H576" i="23"/>
  <c r="H586" i="23"/>
  <c r="H597" i="23"/>
  <c r="H617" i="23"/>
  <c r="H639" i="23"/>
  <c r="H660" i="23"/>
  <c r="H690" i="23"/>
  <c r="H730" i="23"/>
  <c r="H750" i="23"/>
  <c r="H72" i="23"/>
  <c r="H124" i="23"/>
  <c r="H143" i="23"/>
  <c r="H160" i="23"/>
  <c r="H180" i="23"/>
  <c r="H200" i="23"/>
  <c r="H217" i="23"/>
  <c r="H236" i="23"/>
  <c r="H262" i="23"/>
  <c r="H283" i="23"/>
  <c r="H323" i="23"/>
  <c r="H350" i="23"/>
  <c r="H700" i="23"/>
  <c r="H24" i="23"/>
  <c r="H373" i="23"/>
  <c r="H389" i="23"/>
  <c r="H403" i="23"/>
  <c r="H422" i="23"/>
  <c r="H444" i="23"/>
  <c r="H472" i="23"/>
  <c r="H493" i="23"/>
  <c r="H505" i="23"/>
  <c r="H545" i="23"/>
  <c r="H564" i="23"/>
  <c r="H577" i="23"/>
  <c r="H587" i="23"/>
  <c r="H600" i="23"/>
  <c r="H622" i="23"/>
  <c r="H641" i="23"/>
  <c r="H665" i="23"/>
  <c r="H731" i="23"/>
  <c r="H752" i="23"/>
  <c r="H772" i="23"/>
  <c r="H773" i="23"/>
  <c r="H484" i="23"/>
  <c r="H531" i="23"/>
  <c r="H591" i="23"/>
  <c r="H628" i="23"/>
  <c r="H709" i="23"/>
  <c r="H733" i="23"/>
  <c r="H756" i="23"/>
  <c r="H774" i="23"/>
  <c r="H425" i="23"/>
  <c r="H495" i="23"/>
  <c r="H549" i="23"/>
  <c r="H580" i="23"/>
  <c r="H644" i="23"/>
  <c r="H51" i="23"/>
  <c r="H67" i="23"/>
  <c r="H91" i="23"/>
  <c r="H148" i="23"/>
  <c r="H271" i="23"/>
  <c r="H451" i="23"/>
  <c r="H485" i="23"/>
  <c r="H498" i="23"/>
  <c r="H513" i="23"/>
  <c r="H533" i="23"/>
  <c r="H553" i="23"/>
  <c r="H568" i="23"/>
  <c r="H581" i="23"/>
  <c r="H592" i="23"/>
  <c r="H607" i="23"/>
  <c r="H631" i="23"/>
  <c r="H646" i="23"/>
  <c r="H681" i="23"/>
  <c r="H710" i="23"/>
  <c r="H740" i="23"/>
  <c r="H760" i="23"/>
  <c r="H775" i="23"/>
  <c r="H450" i="23"/>
  <c r="H510" i="23"/>
  <c r="H567" i="23"/>
  <c r="H604" i="23"/>
  <c r="H75" i="23"/>
  <c r="H99" i="23"/>
  <c r="H133" i="23"/>
  <c r="H165" i="23"/>
  <c r="H187" i="23"/>
  <c r="H208" i="23"/>
  <c r="H225" i="23"/>
  <c r="H244" i="23"/>
  <c r="H302" i="23"/>
  <c r="H331" i="23"/>
  <c r="H358" i="23"/>
  <c r="H379" i="23"/>
  <c r="H394" i="23"/>
  <c r="H408" i="23"/>
  <c r="H426" i="23"/>
  <c r="H778" i="23"/>
  <c r="H428" i="23"/>
  <c r="H455" i="23"/>
  <c r="H487" i="23"/>
  <c r="H499" i="23"/>
  <c r="H514" i="23"/>
  <c r="H534" i="23"/>
  <c r="H555" i="23"/>
  <c r="H569" i="23"/>
  <c r="H583" i="23"/>
  <c r="H593" i="23"/>
  <c r="H610" i="23"/>
  <c r="H634" i="23"/>
  <c r="H647" i="23"/>
  <c r="H685" i="23"/>
  <c r="H711" i="23"/>
  <c r="H744" i="23"/>
  <c r="H763" i="23"/>
  <c r="H476" i="23"/>
  <c r="K776" i="23"/>
  <c r="Y245" i="23" s="1"/>
  <c r="M770" i="23"/>
  <c r="P758" i="23"/>
  <c r="P757" i="23"/>
  <c r="P742" i="23"/>
  <c r="P741" i="23"/>
  <c r="P739" i="23"/>
  <c r="P738" i="23"/>
  <c r="P737" i="23"/>
  <c r="P736" i="23"/>
  <c r="P735" i="23"/>
  <c r="P734" i="23"/>
  <c r="C730" i="23"/>
  <c r="P726" i="23"/>
  <c r="P725" i="23"/>
  <c r="Q726" i="23" s="1"/>
  <c r="R726" i="23" s="1"/>
  <c r="K726" i="23" s="1"/>
  <c r="M722" i="23"/>
  <c r="P722" i="23" s="1"/>
  <c r="P721" i="23"/>
  <c r="P717" i="23"/>
  <c r="P716" i="23"/>
  <c r="P715" i="23"/>
  <c r="P714" i="23"/>
  <c r="P706" i="23"/>
  <c r="P705" i="23"/>
  <c r="P704" i="23"/>
  <c r="P703" i="23"/>
  <c r="P702" i="23"/>
  <c r="P699" i="23"/>
  <c r="J699" i="23"/>
  <c r="P698" i="23"/>
  <c r="J698" i="23"/>
  <c r="P697" i="23"/>
  <c r="J697" i="23"/>
  <c r="P696" i="23"/>
  <c r="P695" i="23"/>
  <c r="P694" i="23"/>
  <c r="P693" i="23"/>
  <c r="P692" i="23"/>
  <c r="P691" i="23"/>
  <c r="M678" i="23"/>
  <c r="P678" i="23" s="1"/>
  <c r="M676" i="23"/>
  <c r="P676" i="23" s="1"/>
  <c r="Q676" i="23" s="1"/>
  <c r="P674" i="23"/>
  <c r="P673" i="23"/>
  <c r="P672" i="23"/>
  <c r="P671" i="23"/>
  <c r="P670" i="23"/>
  <c r="P669" i="23"/>
  <c r="M656" i="23"/>
  <c r="P656" i="23" s="1"/>
  <c r="P655" i="23"/>
  <c r="M654" i="23"/>
  <c r="P654" i="23" s="1"/>
  <c r="M653" i="23"/>
  <c r="P653" i="23" s="1"/>
  <c r="Q650" i="23"/>
  <c r="M650" i="23"/>
  <c r="Q649" i="23"/>
  <c r="M649" i="23"/>
  <c r="M640" i="23"/>
  <c r="M624" i="23"/>
  <c r="P624" i="23" s="1"/>
  <c r="M623" i="23"/>
  <c r="P623" i="23" s="1"/>
  <c r="M621" i="23"/>
  <c r="P621" i="23" s="1"/>
  <c r="M620" i="23"/>
  <c r="P620" i="23" s="1"/>
  <c r="Q620" i="23" s="1"/>
  <c r="P619" i="23"/>
  <c r="P618" i="23"/>
  <c r="P608" i="23"/>
  <c r="P605" i="23"/>
  <c r="P601" i="23"/>
  <c r="J598" i="23"/>
  <c r="P582" i="23"/>
  <c r="P575" i="23"/>
  <c r="P574" i="23"/>
  <c r="J570" i="23"/>
  <c r="J566" i="23"/>
  <c r="P557" i="23"/>
  <c r="Q557" i="23" s="1"/>
  <c r="P544" i="23"/>
  <c r="P542" i="23"/>
  <c r="P541" i="23"/>
  <c r="P536" i="23"/>
  <c r="M535" i="23"/>
  <c r="P535" i="23" s="1"/>
  <c r="M530" i="23"/>
  <c r="P530" i="23" s="1"/>
  <c r="P529" i="23"/>
  <c r="P528" i="23"/>
  <c r="M527" i="23"/>
  <c r="P527" i="23" s="1"/>
  <c r="Q527" i="23" s="1"/>
  <c r="P521" i="23"/>
  <c r="P519" i="23"/>
  <c r="P515" i="23"/>
  <c r="Q515" i="23" s="1"/>
  <c r="M514" i="23"/>
  <c r="P506" i="23"/>
  <c r="P493" i="23"/>
  <c r="Q493" i="23" s="1"/>
  <c r="P482" i="23"/>
  <c r="M481" i="23"/>
  <c r="P481" i="23" s="1"/>
  <c r="K481" i="23"/>
  <c r="M480" i="23"/>
  <c r="P480" i="23" s="1"/>
  <c r="Q480" i="23" s="1"/>
  <c r="K480" i="23"/>
  <c r="M467" i="23"/>
  <c r="Q467" i="23" s="1"/>
  <c r="P460" i="23"/>
  <c r="P459" i="23"/>
  <c r="P450" i="23"/>
  <c r="P449" i="23"/>
  <c r="P448" i="23"/>
  <c r="P446" i="23"/>
  <c r="P445" i="23"/>
  <c r="Q446" i="23" s="1"/>
  <c r="P443" i="23"/>
  <c r="K443" i="23"/>
  <c r="P442" i="23"/>
  <c r="K442" i="23"/>
  <c r="P441" i="23"/>
  <c r="K441" i="23"/>
  <c r="M437" i="23"/>
  <c r="P437" i="23" s="1"/>
  <c r="M436" i="23"/>
  <c r="P436" i="23" s="1"/>
  <c r="M435" i="23"/>
  <c r="P435" i="23" s="1"/>
  <c r="P434" i="23"/>
  <c r="R431" i="23"/>
  <c r="M416" i="23"/>
  <c r="R380" i="23"/>
  <c r="X107" i="23" s="1"/>
  <c r="Z107" i="23" s="1"/>
  <c r="P372" i="23"/>
  <c r="P371" i="23"/>
  <c r="K371" i="23"/>
  <c r="P366" i="23"/>
  <c r="P365" i="23"/>
  <c r="P362" i="23"/>
  <c r="P359" i="23"/>
  <c r="Q359" i="23" s="1"/>
  <c r="P357" i="23"/>
  <c r="P356" i="23"/>
  <c r="P352" i="23"/>
  <c r="P351" i="23"/>
  <c r="Q351" i="23" s="1"/>
  <c r="K343" i="23"/>
  <c r="R343" i="23" s="1"/>
  <c r="X101" i="23" s="1"/>
  <c r="P341" i="23"/>
  <c r="J332" i="23"/>
  <c r="M327" i="23"/>
  <c r="P327" i="23" s="1"/>
  <c r="M324" i="23"/>
  <c r="P324" i="23" s="1"/>
  <c r="P313" i="23"/>
  <c r="P312" i="23"/>
  <c r="P311" i="23"/>
  <c r="P309" i="23"/>
  <c r="P308" i="23"/>
  <c r="P304" i="23"/>
  <c r="Q299" i="23"/>
  <c r="Q298" i="23"/>
  <c r="Q297" i="23"/>
  <c r="Q296" i="23"/>
  <c r="Q295" i="23"/>
  <c r="Q294" i="23"/>
  <c r="Q293" i="23"/>
  <c r="Q292" i="23"/>
  <c r="Q291" i="23"/>
  <c r="Q290" i="23"/>
  <c r="Q289" i="23"/>
  <c r="Q288" i="23"/>
  <c r="Q287" i="23"/>
  <c r="M266" i="23"/>
  <c r="P266" i="23" s="1"/>
  <c r="M265" i="23"/>
  <c r="P265" i="23" s="1"/>
  <c r="M263" i="23"/>
  <c r="P263" i="23" s="1"/>
  <c r="Q263" i="23" s="1"/>
  <c r="M261" i="23"/>
  <c r="P261" i="23" s="1"/>
  <c r="M260" i="23"/>
  <c r="P260" i="23" s="1"/>
  <c r="P259" i="23"/>
  <c r="M255" i="23"/>
  <c r="P254" i="23"/>
  <c r="M253" i="23"/>
  <c r="P253" i="23" s="1"/>
  <c r="M250" i="23"/>
  <c r="P250" i="23" s="1"/>
  <c r="Z249" i="23"/>
  <c r="M249" i="23"/>
  <c r="P249" i="23" s="1"/>
  <c r="P246" i="23"/>
  <c r="P245" i="23"/>
  <c r="AC244" i="23"/>
  <c r="BG243" i="23"/>
  <c r="BG241" i="23"/>
  <c r="AC241" i="23"/>
  <c r="BG240" i="23"/>
  <c r="BE237" i="23"/>
  <c r="M237" i="23"/>
  <c r="BG233" i="23"/>
  <c r="AS233" i="23"/>
  <c r="AR233" i="23"/>
  <c r="BG232" i="23"/>
  <c r="AS232" i="23"/>
  <c r="AR232" i="23"/>
  <c r="M232" i="23"/>
  <c r="BG231" i="23"/>
  <c r="AS231" i="23"/>
  <c r="AR231" i="23"/>
  <c r="AS230" i="23"/>
  <c r="AR230" i="23"/>
  <c r="AS229" i="23"/>
  <c r="AR229" i="23"/>
  <c r="X229" i="23"/>
  <c r="AS228" i="23"/>
  <c r="AR228" i="23"/>
  <c r="AS227" i="23"/>
  <c r="AR227" i="23"/>
  <c r="M227" i="23"/>
  <c r="P227" i="23" s="1"/>
  <c r="AS226" i="23"/>
  <c r="AR226" i="23"/>
  <c r="AS225" i="23"/>
  <c r="AR225" i="23"/>
  <c r="AS224" i="23"/>
  <c r="AR224" i="23"/>
  <c r="AS223" i="23"/>
  <c r="AR223" i="23"/>
  <c r="AS222" i="23"/>
  <c r="AR222" i="23"/>
  <c r="AS221" i="23"/>
  <c r="AR221" i="23"/>
  <c r="M221" i="23"/>
  <c r="P221" i="23" s="1"/>
  <c r="Q221" i="23" s="1"/>
  <c r="AS220" i="23"/>
  <c r="AR220" i="23"/>
  <c r="AS219" i="23"/>
  <c r="AR219" i="23"/>
  <c r="AS218" i="23"/>
  <c r="AR218" i="23"/>
  <c r="AS217" i="23"/>
  <c r="AR217" i="23"/>
  <c r="AS216" i="23"/>
  <c r="AR216" i="23"/>
  <c r="P216" i="23"/>
  <c r="AS215" i="23"/>
  <c r="AR215" i="23"/>
  <c r="M215" i="23"/>
  <c r="P215" i="23" s="1"/>
  <c r="AS214" i="23"/>
  <c r="AR214" i="23"/>
  <c r="AS213" i="23"/>
  <c r="AR213" i="23"/>
  <c r="BG212" i="23"/>
  <c r="AS212" i="23"/>
  <c r="AR212" i="23"/>
  <c r="AS211" i="23"/>
  <c r="AR211" i="23"/>
  <c r="AS210" i="23"/>
  <c r="AR210" i="23"/>
  <c r="BG209" i="23"/>
  <c r="AS209" i="23"/>
  <c r="AR209" i="23"/>
  <c r="BG208" i="23"/>
  <c r="AS208" i="23"/>
  <c r="AR208" i="23"/>
  <c r="BG207" i="23"/>
  <c r="AS207" i="23"/>
  <c r="AR207" i="23"/>
  <c r="AS206" i="23"/>
  <c r="AR206" i="23"/>
  <c r="AS205" i="23"/>
  <c r="AR205" i="23"/>
  <c r="AS204" i="23"/>
  <c r="AR204" i="23"/>
  <c r="BE203" i="23"/>
  <c r="AS203" i="23"/>
  <c r="AR203" i="23"/>
  <c r="BG202" i="23"/>
  <c r="AS202" i="23"/>
  <c r="AR202" i="23"/>
  <c r="BG201" i="23"/>
  <c r="AS201" i="23"/>
  <c r="AR201" i="23"/>
  <c r="M201" i="23"/>
  <c r="AR200" i="23"/>
  <c r="AS199" i="23"/>
  <c r="AR199" i="23"/>
  <c r="AS198" i="23"/>
  <c r="AR198" i="23"/>
  <c r="BH197" i="23"/>
  <c r="BG197" i="23"/>
  <c r="BE197" i="23"/>
  <c r="AS197" i="23"/>
  <c r="AR197" i="23"/>
  <c r="P197" i="23"/>
  <c r="Q197" i="23" s="1"/>
  <c r="AS196" i="23"/>
  <c r="AR196" i="23"/>
  <c r="AS195" i="23"/>
  <c r="AR195" i="23"/>
  <c r="P195" i="23"/>
  <c r="AS194" i="23"/>
  <c r="AR194" i="23"/>
  <c r="M194" i="23"/>
  <c r="P194" i="23" s="1"/>
  <c r="AS193" i="23"/>
  <c r="AR193" i="23"/>
  <c r="AS192" i="23"/>
  <c r="AR192" i="23"/>
  <c r="M192" i="23"/>
  <c r="BH191" i="23"/>
  <c r="BG191" i="23"/>
  <c r="BE191" i="23"/>
  <c r="AS191" i="23"/>
  <c r="AR191" i="23"/>
  <c r="AS190" i="23"/>
  <c r="AR190" i="23"/>
  <c r="AS189" i="23"/>
  <c r="AR189" i="23"/>
  <c r="AS188" i="23"/>
  <c r="AR188" i="23"/>
  <c r="AS187" i="23"/>
  <c r="AR187" i="23"/>
  <c r="AS186" i="23"/>
  <c r="AR186" i="23"/>
  <c r="AS185" i="23"/>
  <c r="AR185" i="23"/>
  <c r="Q185" i="23"/>
  <c r="AS184" i="23"/>
  <c r="AR184" i="23"/>
  <c r="Q184" i="23"/>
  <c r="AS183" i="23"/>
  <c r="AR183" i="23"/>
  <c r="AS182" i="23"/>
  <c r="AR182" i="23"/>
  <c r="AS181" i="23"/>
  <c r="AR181" i="23"/>
  <c r="AS180" i="23"/>
  <c r="AR180" i="23"/>
  <c r="AS179" i="23"/>
  <c r="AR179" i="23"/>
  <c r="AS178" i="23"/>
  <c r="AR178" i="23"/>
  <c r="AS177" i="23"/>
  <c r="AR177" i="23"/>
  <c r="P177" i="23"/>
  <c r="Q177" i="23" s="1"/>
  <c r="K177" i="23"/>
  <c r="AS176" i="23"/>
  <c r="AR176" i="23"/>
  <c r="AS175" i="23"/>
  <c r="AR175" i="23"/>
  <c r="BG174" i="23"/>
  <c r="AS174" i="23"/>
  <c r="AR174" i="23"/>
  <c r="AS173" i="23"/>
  <c r="AR173" i="23"/>
  <c r="AS172" i="23"/>
  <c r="AR172" i="23"/>
  <c r="BG171" i="23"/>
  <c r="AS171" i="23"/>
  <c r="AR171" i="23"/>
  <c r="AU170" i="23"/>
  <c r="AR170" i="23"/>
  <c r="AS169" i="23"/>
  <c r="AR169" i="23"/>
  <c r="AS168" i="23"/>
  <c r="AR168" i="23"/>
  <c r="M168" i="23"/>
  <c r="P168" i="23" s="1"/>
  <c r="AS167" i="23"/>
  <c r="AR167" i="23"/>
  <c r="M167" i="23"/>
  <c r="P167" i="23" s="1"/>
  <c r="Q167" i="23" s="1"/>
  <c r="AS166" i="23"/>
  <c r="AR166" i="23"/>
  <c r="P166" i="23"/>
  <c r="AS165" i="23"/>
  <c r="AR165" i="23"/>
  <c r="AS164" i="23"/>
  <c r="AR164" i="23"/>
  <c r="M164" i="23"/>
  <c r="P164" i="23" s="1"/>
  <c r="AS163" i="23"/>
  <c r="AR163" i="23"/>
  <c r="M163" i="23"/>
  <c r="P163" i="23" s="1"/>
  <c r="Q163" i="23" s="1"/>
  <c r="AS162" i="23"/>
  <c r="AR162" i="23"/>
  <c r="AS161" i="23"/>
  <c r="AR161" i="23"/>
  <c r="AS160" i="23"/>
  <c r="AR160" i="23"/>
  <c r="AS159" i="23"/>
  <c r="AR159" i="23"/>
  <c r="AS158" i="23"/>
  <c r="AR158" i="23"/>
  <c r="BE157" i="23"/>
  <c r="AS157" i="23"/>
  <c r="AR157" i="23"/>
  <c r="AS156" i="23"/>
  <c r="AR156" i="23"/>
  <c r="AS155" i="23"/>
  <c r="AR155" i="23"/>
  <c r="AS154" i="23"/>
  <c r="AR154" i="23"/>
  <c r="AS153" i="23"/>
  <c r="AR153" i="23"/>
  <c r="P153" i="23"/>
  <c r="AS152" i="23"/>
  <c r="AR152" i="23"/>
  <c r="M152" i="23"/>
  <c r="P152" i="23" s="1"/>
  <c r="AS151" i="23"/>
  <c r="AR151" i="23"/>
  <c r="AS150" i="23"/>
  <c r="AR150" i="23"/>
  <c r="M150" i="23"/>
  <c r="P150" i="23" s="1"/>
  <c r="AS149" i="23"/>
  <c r="AR149" i="23"/>
  <c r="M149" i="23"/>
  <c r="P149" i="23" s="1"/>
  <c r="AS148" i="23"/>
  <c r="AR148" i="23"/>
  <c r="AS147" i="23"/>
  <c r="AR147" i="23"/>
  <c r="BE146" i="23"/>
  <c r="AS146" i="23"/>
  <c r="AR146" i="23"/>
  <c r="AS145" i="23"/>
  <c r="AR145" i="23"/>
  <c r="AS144" i="23"/>
  <c r="AR144" i="23"/>
  <c r="P144" i="23"/>
  <c r="Q144" i="23" s="1"/>
  <c r="AS143" i="23"/>
  <c r="AR143" i="23"/>
  <c r="P143" i="23"/>
  <c r="AS142" i="23"/>
  <c r="AR142" i="23"/>
  <c r="AS141" i="23"/>
  <c r="AR141" i="23"/>
  <c r="M141" i="23"/>
  <c r="P141" i="23" s="1"/>
  <c r="AS140" i="23"/>
  <c r="AR140" i="23"/>
  <c r="AS139" i="23"/>
  <c r="AR139" i="23"/>
  <c r="AS138" i="23"/>
  <c r="AR138" i="23"/>
  <c r="AS137" i="23"/>
  <c r="AR137" i="23"/>
  <c r="AS136" i="23"/>
  <c r="AR136" i="23"/>
  <c r="AS135" i="23"/>
  <c r="AR135" i="23"/>
  <c r="X135" i="23"/>
  <c r="M135" i="23"/>
  <c r="P135" i="23" s="1"/>
  <c r="AS134" i="23"/>
  <c r="AR134" i="23"/>
  <c r="M134" i="23"/>
  <c r="P134" i="23" s="1"/>
  <c r="AS133" i="23"/>
  <c r="AR133" i="23"/>
  <c r="AS132" i="23"/>
  <c r="AR132" i="23"/>
  <c r="AS131" i="23"/>
  <c r="AR131" i="23"/>
  <c r="P131" i="23"/>
  <c r="M131" i="23"/>
  <c r="AS130" i="23"/>
  <c r="AR130" i="23"/>
  <c r="P130" i="23"/>
  <c r="M130" i="23"/>
  <c r="AS129" i="23"/>
  <c r="AR129" i="23"/>
  <c r="P129" i="23"/>
  <c r="AS128" i="23"/>
  <c r="AR128" i="23"/>
  <c r="AS127" i="23"/>
  <c r="AR127" i="23"/>
  <c r="AS126" i="23"/>
  <c r="AR126" i="23"/>
  <c r="AS125" i="23"/>
  <c r="AR125" i="23"/>
  <c r="Q125" i="23"/>
  <c r="M125" i="23"/>
  <c r="P125" i="23" s="1"/>
  <c r="AS124" i="23"/>
  <c r="AR124" i="23"/>
  <c r="AS123" i="23"/>
  <c r="AR123" i="23"/>
  <c r="AS122" i="23"/>
  <c r="AR122" i="23"/>
  <c r="AS121" i="23"/>
  <c r="AR121" i="23"/>
  <c r="AS120" i="23"/>
  <c r="AR120" i="23"/>
  <c r="AS119" i="23"/>
  <c r="AR119" i="23"/>
  <c r="M119" i="23"/>
  <c r="P119" i="23" s="1"/>
  <c r="Q119" i="23" s="1"/>
  <c r="AS118" i="23"/>
  <c r="AR118" i="23"/>
  <c r="AS117" i="23"/>
  <c r="AR117" i="23"/>
  <c r="AS116" i="23"/>
  <c r="AR116" i="23"/>
  <c r="AS115" i="23"/>
  <c r="AR115" i="23"/>
  <c r="R115" i="23"/>
  <c r="X10" i="23" s="1"/>
  <c r="AS114" i="23"/>
  <c r="AR114" i="23"/>
  <c r="AS113" i="23"/>
  <c r="AR113" i="23"/>
  <c r="AS112" i="23"/>
  <c r="AR112" i="23"/>
  <c r="AS111" i="23"/>
  <c r="AR111" i="23"/>
  <c r="AS110" i="23"/>
  <c r="AR110" i="23"/>
  <c r="M110" i="23"/>
  <c r="AS109" i="23"/>
  <c r="AR109" i="23"/>
  <c r="AS108" i="23"/>
  <c r="AR108" i="23"/>
  <c r="AS107" i="23"/>
  <c r="AR107" i="23"/>
  <c r="AS106" i="23"/>
  <c r="AR106" i="23"/>
  <c r="Z106" i="23"/>
  <c r="AU106" i="23" s="1"/>
  <c r="AS105" i="23"/>
  <c r="AR105" i="23"/>
  <c r="Z105" i="23"/>
  <c r="AS104" i="23"/>
  <c r="AR104" i="23"/>
  <c r="M104" i="23"/>
  <c r="P104" i="23" s="1"/>
  <c r="Q104" i="23" s="1"/>
  <c r="AS103" i="23"/>
  <c r="AR103" i="23"/>
  <c r="Z103" i="23"/>
  <c r="AU103" i="23" s="1"/>
  <c r="AS102" i="23"/>
  <c r="AR102" i="23"/>
  <c r="Z102" i="23"/>
  <c r="M102" i="23"/>
  <c r="P102" i="23" s="1"/>
  <c r="AS101" i="23"/>
  <c r="AR101" i="23"/>
  <c r="M101" i="23"/>
  <c r="P101" i="23" s="1"/>
  <c r="AS100" i="23"/>
  <c r="M100" i="23"/>
  <c r="P100" i="23" s="1"/>
  <c r="AS99" i="23"/>
  <c r="AR99" i="23"/>
  <c r="AS98" i="23"/>
  <c r="AR98" i="23"/>
  <c r="AS97" i="23"/>
  <c r="AR97" i="23"/>
  <c r="AS96" i="23"/>
  <c r="AR96" i="23"/>
  <c r="AS95" i="23"/>
  <c r="AR95" i="23"/>
  <c r="AS94" i="23"/>
  <c r="AR94" i="23"/>
  <c r="AS93" i="23"/>
  <c r="AR93" i="23"/>
  <c r="Q93" i="23"/>
  <c r="AS92" i="23"/>
  <c r="AR92" i="23"/>
  <c r="Q92" i="23"/>
  <c r="K92" i="23"/>
  <c r="AS91" i="23"/>
  <c r="AR91" i="23"/>
  <c r="AS90" i="23"/>
  <c r="AR90" i="23"/>
  <c r="AS89" i="23"/>
  <c r="AR89" i="23"/>
  <c r="AR85" i="23"/>
  <c r="X85" i="23"/>
  <c r="AR84" i="23"/>
  <c r="AS83" i="23"/>
  <c r="AR83" i="23"/>
  <c r="AS82" i="23"/>
  <c r="AR82" i="23"/>
  <c r="AS81" i="23"/>
  <c r="AR81" i="23"/>
  <c r="AS80" i="23"/>
  <c r="AR80" i="23"/>
  <c r="AS79" i="23"/>
  <c r="AR79" i="23"/>
  <c r="X79" i="23"/>
  <c r="BE196" i="23" s="1"/>
  <c r="AS78" i="23"/>
  <c r="AR78" i="23"/>
  <c r="M78" i="23"/>
  <c r="K78" i="23"/>
  <c r="R78" i="23" s="1"/>
  <c r="X23" i="23" s="1"/>
  <c r="BE35" i="23" s="1"/>
  <c r="AS77" i="23"/>
  <c r="AR77" i="23"/>
  <c r="AS76" i="23"/>
  <c r="AR76" i="23"/>
  <c r="AS75" i="23"/>
  <c r="AR75" i="23"/>
  <c r="AS74" i="23"/>
  <c r="AR74" i="23"/>
  <c r="AS73" i="23"/>
  <c r="AR73" i="23"/>
  <c r="AS72" i="23"/>
  <c r="AR72" i="23"/>
  <c r="AS71" i="23"/>
  <c r="AR71" i="23"/>
  <c r="AS70" i="23"/>
  <c r="AR70" i="23"/>
  <c r="AS69" i="23"/>
  <c r="AR69" i="23"/>
  <c r="AS68" i="23"/>
  <c r="AR68" i="23"/>
  <c r="M68" i="23"/>
  <c r="P68" i="23" s="1"/>
  <c r="Q68" i="23" s="1"/>
  <c r="AS67" i="23"/>
  <c r="AR67" i="23"/>
  <c r="AS66" i="23"/>
  <c r="AR66" i="23"/>
  <c r="AS65" i="23"/>
  <c r="AR65" i="23"/>
  <c r="AS64" i="23"/>
  <c r="AR64" i="23"/>
  <c r="AS63" i="23"/>
  <c r="AR63" i="23"/>
  <c r="AS62" i="23"/>
  <c r="AR62" i="23"/>
  <c r="M62" i="23"/>
  <c r="AS61" i="23"/>
  <c r="AR61" i="23"/>
  <c r="AS60" i="23"/>
  <c r="AR60" i="23"/>
  <c r="BE59" i="23"/>
  <c r="AS59" i="23"/>
  <c r="AR59" i="23"/>
  <c r="BE58" i="23"/>
  <c r="AS58" i="23"/>
  <c r="AR58" i="23"/>
  <c r="P58" i="23"/>
  <c r="AS57" i="23"/>
  <c r="AR57" i="23"/>
  <c r="M57" i="23"/>
  <c r="P57" i="23" s="1"/>
  <c r="AS56" i="23"/>
  <c r="AR56" i="23"/>
  <c r="AS55" i="23"/>
  <c r="AR55" i="23"/>
  <c r="M55" i="23"/>
  <c r="P55" i="23" s="1"/>
  <c r="Q55" i="23" s="1"/>
  <c r="AS54" i="23"/>
  <c r="AR54" i="23"/>
  <c r="AS53" i="23"/>
  <c r="AR53" i="23"/>
  <c r="P53" i="23"/>
  <c r="BH52" i="23"/>
  <c r="BG52" i="23"/>
  <c r="BE52" i="23"/>
  <c r="AS52" i="23"/>
  <c r="AR52" i="23"/>
  <c r="P52" i="23"/>
  <c r="AS51" i="23"/>
  <c r="AR51" i="23"/>
  <c r="AS50" i="23"/>
  <c r="AR50" i="23"/>
  <c r="P50" i="23"/>
  <c r="Q50" i="23" s="1"/>
  <c r="AS49" i="23"/>
  <c r="AR49" i="23"/>
  <c r="AS48" i="23"/>
  <c r="AR48" i="23"/>
  <c r="P48" i="23"/>
  <c r="K48" i="23"/>
  <c r="AS47" i="23"/>
  <c r="AR47" i="23"/>
  <c r="M47" i="23"/>
  <c r="P47" i="23" s="1"/>
  <c r="AS46" i="23"/>
  <c r="AR46" i="23"/>
  <c r="AS45" i="23"/>
  <c r="AR45" i="23"/>
  <c r="AR44" i="23"/>
  <c r="AS43" i="23"/>
  <c r="AR43" i="23"/>
  <c r="M43" i="23"/>
  <c r="P43" i="23" s="1"/>
  <c r="Q43" i="23" s="1"/>
  <c r="AS42" i="23"/>
  <c r="AR42" i="23"/>
  <c r="AS41" i="23"/>
  <c r="AR41" i="23"/>
  <c r="M41" i="23"/>
  <c r="P41" i="23" s="1"/>
  <c r="AS40" i="23"/>
  <c r="AR40" i="23"/>
  <c r="M40" i="23"/>
  <c r="P40" i="23" s="1"/>
  <c r="AS39" i="23"/>
  <c r="AR39" i="23"/>
  <c r="AS38" i="23"/>
  <c r="AR38" i="23"/>
  <c r="M38" i="23"/>
  <c r="AS37" i="23"/>
  <c r="AR37" i="23"/>
  <c r="AS36" i="23"/>
  <c r="AR36" i="23"/>
  <c r="AS35" i="23"/>
  <c r="AR35" i="23"/>
  <c r="M35" i="23"/>
  <c r="AS34" i="23"/>
  <c r="AR34" i="23"/>
  <c r="AS33" i="23"/>
  <c r="AR33" i="23"/>
  <c r="AS32" i="23"/>
  <c r="AR32" i="23"/>
  <c r="M32" i="23"/>
  <c r="P32" i="23" s="1"/>
  <c r="AS31" i="23"/>
  <c r="AR31" i="23"/>
  <c r="M31" i="23"/>
  <c r="P31" i="23" s="1"/>
  <c r="AS30" i="23"/>
  <c r="AR30" i="23"/>
  <c r="AS29" i="23"/>
  <c r="AR29" i="23"/>
  <c r="M29" i="23"/>
  <c r="P29" i="23" s="1"/>
  <c r="AS28" i="23"/>
  <c r="AR28" i="23"/>
  <c r="M28" i="23"/>
  <c r="P28" i="23" s="1"/>
  <c r="AS27" i="23"/>
  <c r="AR27" i="23"/>
  <c r="M27" i="23"/>
  <c r="P110" i="23" s="1"/>
  <c r="AS26" i="23"/>
  <c r="AR26" i="23"/>
  <c r="M26" i="23"/>
  <c r="P26" i="23" s="1"/>
  <c r="AS25" i="23"/>
  <c r="AR25" i="23"/>
  <c r="M25" i="23"/>
  <c r="P25" i="23" s="1"/>
  <c r="AS24" i="23"/>
  <c r="AR24" i="23"/>
  <c r="AS23" i="23"/>
  <c r="AR23" i="23"/>
  <c r="AS22" i="23"/>
  <c r="AR22" i="23"/>
  <c r="M22" i="23"/>
  <c r="P22" i="23" s="1"/>
  <c r="Q22" i="23" s="1"/>
  <c r="AS21" i="23"/>
  <c r="AR21" i="23"/>
  <c r="AS20" i="23"/>
  <c r="AR20" i="23"/>
  <c r="AS19" i="23"/>
  <c r="AR19" i="23"/>
  <c r="P19" i="23"/>
  <c r="AS18" i="23"/>
  <c r="AR18" i="23"/>
  <c r="Z18" i="23"/>
  <c r="AU18" i="23" s="1"/>
  <c r="P18" i="23"/>
  <c r="AS17" i="23"/>
  <c r="AR17" i="23"/>
  <c r="P17" i="23"/>
  <c r="AS16" i="23"/>
  <c r="AR16" i="23"/>
  <c r="P16" i="23"/>
  <c r="Q16" i="23" s="1"/>
  <c r="AS15" i="23"/>
  <c r="AR15" i="23"/>
  <c r="P15" i="23"/>
  <c r="AS14" i="23"/>
  <c r="AR14" i="23"/>
  <c r="P14" i="23"/>
  <c r="AS13" i="23"/>
  <c r="AR13" i="23"/>
  <c r="M13" i="23"/>
  <c r="P13" i="23" s="1"/>
  <c r="AS12" i="23"/>
  <c r="AR12" i="23"/>
  <c r="AS11" i="23"/>
  <c r="AR11" i="23"/>
  <c r="AS10" i="23"/>
  <c r="AR10" i="23"/>
  <c r="AS9" i="23"/>
  <c r="AR9" i="23"/>
  <c r="AS8" i="23"/>
  <c r="AR8" i="23"/>
  <c r="P8" i="23"/>
  <c r="Q8" i="23" s="1"/>
  <c r="AS7" i="23"/>
  <c r="AR7" i="23"/>
  <c r="AS6" i="23"/>
  <c r="AR6" i="23"/>
  <c r="J485" i="23" l="1"/>
  <c r="K485" i="23" s="1"/>
  <c r="R485" i="23" s="1"/>
  <c r="X180" i="23" s="1"/>
  <c r="BE57" i="23" s="1"/>
  <c r="Q135" i="23"/>
  <c r="Q48" i="23"/>
  <c r="Q130" i="23"/>
  <c r="Q57" i="23"/>
  <c r="J484" i="23"/>
  <c r="K484" i="23" s="1"/>
  <c r="R484" i="23" s="1"/>
  <c r="X178" i="23" s="1"/>
  <c r="BE56" i="23" s="1"/>
  <c r="Q195" i="23"/>
  <c r="Q194" i="23"/>
  <c r="Q312" i="23"/>
  <c r="Q703" i="23"/>
  <c r="Q129" i="23"/>
  <c r="Q249" i="23"/>
  <c r="Q266" i="23"/>
  <c r="Q714" i="23"/>
  <c r="Q704" i="23"/>
  <c r="Q52" i="23"/>
  <c r="Q443" i="23"/>
  <c r="Q608" i="23"/>
  <c r="Q216" i="23"/>
  <c r="Q31" i="23"/>
  <c r="Q621" i="23"/>
  <c r="Q460" i="23"/>
  <c r="BE211" i="23"/>
  <c r="AI24" i="23"/>
  <c r="Q17" i="23"/>
  <c r="Q459" i="23"/>
  <c r="Q313" i="23"/>
  <c r="Q134" i="23"/>
  <c r="Q530" i="23"/>
  <c r="Q575" i="23"/>
  <c r="Q19" i="23"/>
  <c r="Q653" i="23"/>
  <c r="Q654" i="23"/>
  <c r="Q15" i="23"/>
  <c r="Q311" i="23"/>
  <c r="Q437" i="23"/>
  <c r="Q624" i="23"/>
  <c r="Q705" i="23"/>
  <c r="Q168" i="23"/>
  <c r="Q100" i="23"/>
  <c r="Q246" i="23"/>
  <c r="Q352" i="23"/>
  <c r="Q702" i="23"/>
  <c r="Z23" i="23"/>
  <c r="AU23" i="23" s="1"/>
  <c r="P27" i="23"/>
  <c r="Q27" i="23" s="1"/>
  <c r="Q131" i="23"/>
  <c r="Q149" i="23"/>
  <c r="Q245" i="23"/>
  <c r="Q308" i="23"/>
  <c r="Q309" i="23"/>
  <c r="Q481" i="23"/>
  <c r="Q696" i="23"/>
  <c r="Q758" i="23"/>
  <c r="Q441" i="23"/>
  <c r="Q468" i="23"/>
  <c r="R468" i="23" s="1"/>
  <c r="Q619" i="23"/>
  <c r="Q605" i="23"/>
  <c r="Q250" i="23"/>
  <c r="Q725" i="23"/>
  <c r="R725" i="23" s="1"/>
  <c r="K725" i="23" s="1"/>
  <c r="Q736" i="23"/>
  <c r="Q53" i="23"/>
  <c r="Q41" i="23"/>
  <c r="Q215" i="23"/>
  <c r="Q442" i="23"/>
  <c r="Q261" i="23"/>
  <c r="Q706" i="23"/>
  <c r="Q14" i="23"/>
  <c r="Q47" i="23"/>
  <c r="Q535" i="23"/>
  <c r="Q32" i="23"/>
  <c r="Q13" i="23"/>
  <c r="BE205" i="23"/>
  <c r="Q436" i="23"/>
  <c r="Q101" i="23"/>
  <c r="AU107" i="23"/>
  <c r="Z10" i="23"/>
  <c r="BE8" i="23"/>
  <c r="Q142" i="23"/>
  <c r="Q141" i="23"/>
  <c r="Q58" i="23"/>
  <c r="Q102" i="23"/>
  <c r="Q40" i="23"/>
  <c r="AU102" i="23"/>
  <c r="Q669" i="23"/>
  <c r="Q673" i="23"/>
  <c r="Q670" i="23"/>
  <c r="AU105" i="23"/>
  <c r="Q695" i="23"/>
  <c r="Q18" i="23"/>
  <c r="Q366" i="23"/>
  <c r="Q365" i="23"/>
  <c r="M464" i="23"/>
  <c r="R467" i="23"/>
  <c r="Q265" i="23"/>
  <c r="Q699" i="23"/>
  <c r="Q737" i="23"/>
  <c r="Q671" i="23"/>
  <c r="Q739" i="23"/>
  <c r="Q150" i="23"/>
  <c r="Q435" i="23"/>
  <c r="Q153" i="23"/>
  <c r="Q152" i="23"/>
  <c r="Q164" i="23"/>
  <c r="Q166" i="23"/>
  <c r="Q717" i="23"/>
  <c r="Q716" i="23"/>
  <c r="Q715" i="23"/>
  <c r="Q536" i="23"/>
  <c r="Q655" i="23"/>
  <c r="Q672" i="23"/>
  <c r="Q698" i="23"/>
  <c r="Q482" i="23"/>
  <c r="Q656" i="23"/>
  <c r="Q674" i="23"/>
  <c r="Q260" i="23"/>
  <c r="Q259" i="23"/>
  <c r="Q528" i="23"/>
  <c r="Q742" i="23"/>
  <c r="Q741" i="23"/>
  <c r="Q372" i="23"/>
  <c r="Q371" i="23"/>
  <c r="Q623" i="23"/>
  <c r="Q694" i="23"/>
  <c r="Q697" i="23"/>
  <c r="Q721" i="23"/>
  <c r="Q254" i="23"/>
  <c r="Q253" i="23"/>
  <c r="Q529" i="23"/>
  <c r="Q691" i="23"/>
  <c r="Q722" i="23"/>
  <c r="Q692" i="23"/>
  <c r="Q693" i="23"/>
  <c r="Q735" i="23"/>
  <c r="Q434" i="23"/>
  <c r="Q449" i="23"/>
  <c r="Q448" i="23"/>
  <c r="Q678" i="23"/>
  <c r="Q738" i="23"/>
  <c r="Q734" i="23"/>
  <c r="Q445" i="23"/>
  <c r="Q574" i="23"/>
  <c r="Q618" i="23"/>
  <c r="Q757" i="23"/>
  <c r="J204" i="23" l="1"/>
  <c r="K204" i="23" s="1"/>
  <c r="R204" i="23" s="1"/>
  <c r="J565" i="23"/>
  <c r="J493" i="23"/>
  <c r="K493" i="23" s="1"/>
  <c r="L493" i="23" s="1"/>
  <c r="J750" i="23"/>
  <c r="J646" i="23"/>
  <c r="J622" i="23"/>
  <c r="K622" i="23" s="1"/>
  <c r="R623" i="23" s="1"/>
  <c r="K623" i="23" s="1"/>
  <c r="J517" i="23"/>
  <c r="J688" i="23"/>
  <c r="K688" i="23" s="1"/>
  <c r="R688" i="23" s="1"/>
  <c r="X115" i="23" s="1"/>
  <c r="BE67" i="23" s="1"/>
  <c r="J631" i="23"/>
  <c r="J162" i="23"/>
  <c r="K162" i="23" s="1"/>
  <c r="L162" i="23" s="1"/>
  <c r="J626" i="23"/>
  <c r="J95" i="23"/>
  <c r="K95" i="23" s="1"/>
  <c r="R95" i="23" s="1"/>
  <c r="X7" i="23" s="1"/>
  <c r="BE202" i="23" s="1"/>
  <c r="J455" i="23"/>
  <c r="J169" i="23"/>
  <c r="K169" i="23" s="1"/>
  <c r="R170" i="23" s="1"/>
  <c r="M169" i="23" s="1"/>
  <c r="J90" i="23"/>
  <c r="J155" i="23"/>
  <c r="J685" i="23"/>
  <c r="J202" i="23"/>
  <c r="J540" i="23"/>
  <c r="J563" i="23"/>
  <c r="J176" i="23"/>
  <c r="J414" i="23"/>
  <c r="J560" i="23"/>
  <c r="J569" i="23"/>
  <c r="K569" i="23" s="1"/>
  <c r="L569" i="23" s="1"/>
  <c r="J439" i="23"/>
  <c r="K439" i="23" s="1"/>
  <c r="R439" i="23" s="1"/>
  <c r="X158" i="23" s="1"/>
  <c r="BE232" i="23" s="1"/>
  <c r="J283" i="23"/>
  <c r="K283" i="23" s="1"/>
  <c r="R283" i="23" s="1"/>
  <c r="J76" i="23"/>
  <c r="K76" i="23" s="1"/>
  <c r="L76" i="23" s="1"/>
  <c r="J210" i="23"/>
  <c r="J382" i="23"/>
  <c r="J69" i="23"/>
  <c r="J258" i="23"/>
  <c r="J658" i="23"/>
  <c r="K658" i="23" s="1"/>
  <c r="R658" i="23" s="1"/>
  <c r="J388" i="23"/>
  <c r="J531" i="23"/>
  <c r="K531" i="23" s="1"/>
  <c r="R531" i="23" s="1"/>
  <c r="J373" i="23"/>
  <c r="J128" i="23"/>
  <c r="J585" i="23"/>
  <c r="K585" i="23" s="1"/>
  <c r="L585" i="23" s="1"/>
  <c r="J103" i="23"/>
  <c r="J6" i="23"/>
  <c r="J39" i="23"/>
  <c r="J285" i="23"/>
  <c r="J773" i="23"/>
  <c r="K773" i="23" s="1"/>
  <c r="Y242" i="23" s="1"/>
  <c r="Z242" i="23" s="1"/>
  <c r="J636" i="23"/>
  <c r="K636" i="23" s="1"/>
  <c r="R636" i="23" s="1"/>
  <c r="X202" i="23" s="1"/>
  <c r="BE134" i="23" s="1"/>
  <c r="J118" i="23"/>
  <c r="J451" i="23"/>
  <c r="J180" i="23"/>
  <c r="J231" i="23"/>
  <c r="K231" i="23" s="1"/>
  <c r="R231" i="23" s="1"/>
  <c r="J384" i="23"/>
  <c r="J398" i="23"/>
  <c r="J731" i="23"/>
  <c r="J577" i="23"/>
  <c r="J89" i="23"/>
  <c r="J228" i="23"/>
  <c r="K228" i="23" s="1"/>
  <c r="L228" i="23" s="1"/>
  <c r="J334" i="23"/>
  <c r="J272" i="23"/>
  <c r="J525" i="23"/>
  <c r="K525" i="23" s="1"/>
  <c r="L525" i="23" s="1"/>
  <c r="J81" i="23"/>
  <c r="J513" i="23"/>
  <c r="J542" i="23"/>
  <c r="K542" i="23" s="1"/>
  <c r="R542" i="23" s="1"/>
  <c r="J160" i="23"/>
  <c r="J304" i="23"/>
  <c r="K304" i="23" s="1"/>
  <c r="R304" i="23" s="1"/>
  <c r="X11" i="23" s="1"/>
  <c r="Z11" i="23" s="1"/>
  <c r="BH32" i="23" s="1"/>
  <c r="J422" i="23"/>
  <c r="J404" i="23"/>
  <c r="K404" i="23" s="1"/>
  <c r="L404" i="23" s="1"/>
  <c r="J223" i="23"/>
  <c r="J732" i="23"/>
  <c r="K732" i="23" s="1"/>
  <c r="R732" i="23" s="1"/>
  <c r="J274" i="23"/>
  <c r="K274" i="23" s="1"/>
  <c r="R274" i="23" s="1"/>
  <c r="X130" i="23" s="1"/>
  <c r="BE40" i="23" s="1"/>
  <c r="J763" i="23"/>
  <c r="J243" i="23"/>
  <c r="J747" i="23"/>
  <c r="J581" i="23"/>
  <c r="J494" i="23"/>
  <c r="K494" i="23" s="1"/>
  <c r="R494" i="23" s="1"/>
  <c r="J226" i="23"/>
  <c r="K226" i="23" s="1"/>
  <c r="R227" i="23" s="1"/>
  <c r="M226" i="23" s="1"/>
  <c r="J349" i="23"/>
  <c r="J471" i="23"/>
  <c r="J392" i="23"/>
  <c r="K392" i="23" s="1"/>
  <c r="L392" i="23" s="1"/>
  <c r="J99" i="23"/>
  <c r="J36" i="23"/>
  <c r="J165" i="23"/>
  <c r="K165" i="23" s="1"/>
  <c r="L165" i="23" s="1"/>
  <c r="J196" i="23"/>
  <c r="J686" i="23"/>
  <c r="K686" i="23" s="1"/>
  <c r="L686" i="23" s="1"/>
  <c r="J301" i="23"/>
  <c r="K301" i="23" s="1"/>
  <c r="L301" i="23" s="1"/>
  <c r="J756" i="23"/>
  <c r="J387" i="23"/>
  <c r="J117" i="23"/>
  <c r="J213" i="23"/>
  <c r="J503" i="23"/>
  <c r="J591" i="23"/>
  <c r="K591" i="23" s="1"/>
  <c r="R591" i="23" s="1"/>
  <c r="X192" i="23" s="1"/>
  <c r="BE127" i="23" s="1"/>
  <c r="J438" i="23"/>
  <c r="J133" i="23"/>
  <c r="J370" i="23"/>
  <c r="J281" i="23"/>
  <c r="K281" i="23" s="1"/>
  <c r="R281" i="23" s="1"/>
  <c r="X129" i="23" s="1"/>
  <c r="J421" i="23"/>
  <c r="K421" i="23" s="1"/>
  <c r="L421" i="23" s="1"/>
  <c r="J498" i="23"/>
  <c r="J54" i="23"/>
  <c r="K54" i="23" s="1"/>
  <c r="L54" i="23" s="1"/>
  <c r="J579" i="23"/>
  <c r="K579" i="23" s="1"/>
  <c r="R579" i="23" s="1"/>
  <c r="X201" i="23" s="1"/>
  <c r="BE133" i="23" s="1"/>
  <c r="J490" i="23"/>
  <c r="J576" i="23"/>
  <c r="K576" i="23" s="1"/>
  <c r="R576" i="23" s="1"/>
  <c r="X184" i="23" s="1"/>
  <c r="BE123" i="23" s="1"/>
  <c r="J770" i="23"/>
  <c r="Y238" i="23" s="1"/>
  <c r="Z238" i="23" s="1"/>
  <c r="J358" i="23"/>
  <c r="J748" i="23"/>
  <c r="J79" i="23"/>
  <c r="K79" i="23" s="1"/>
  <c r="J267" i="23"/>
  <c r="J158" i="23"/>
  <c r="J34" i="23"/>
  <c r="J592" i="23"/>
  <c r="K592" i="23" s="1"/>
  <c r="L592" i="23" s="1"/>
  <c r="J46" i="23"/>
  <c r="K46" i="23" s="1"/>
  <c r="L46" i="23" s="1"/>
  <c r="J337" i="23"/>
  <c r="K337" i="23" s="1"/>
  <c r="R337" i="23" s="1"/>
  <c r="J21" i="23"/>
  <c r="J526" i="23"/>
  <c r="J584" i="23"/>
  <c r="K584" i="23" s="1"/>
  <c r="R584" i="23" s="1"/>
  <c r="X181" i="23" s="1"/>
  <c r="BE120" i="23" s="1"/>
  <c r="J549" i="23"/>
  <c r="K549" i="23" s="1"/>
  <c r="L549" i="23" s="1"/>
  <c r="J124" i="23"/>
  <c r="J357" i="23"/>
  <c r="J533" i="23"/>
  <c r="K533" i="23" s="1"/>
  <c r="R533" i="23" s="1"/>
  <c r="J744" i="23"/>
  <c r="K744" i="23" s="1"/>
  <c r="R745" i="23" s="1"/>
  <c r="J426" i="23"/>
  <c r="J257" i="23"/>
  <c r="J200" i="23"/>
  <c r="J82" i="23"/>
  <c r="J151" i="23"/>
  <c r="J580" i="23"/>
  <c r="K580" i="23" s="1"/>
  <c r="R580" i="23" s="1"/>
  <c r="J5" i="23"/>
  <c r="J212" i="23"/>
  <c r="J238" i="23"/>
  <c r="K238" i="23" s="1"/>
  <c r="R239" i="23" s="1"/>
  <c r="J252" i="23"/>
  <c r="K252" i="23" s="1"/>
  <c r="L252" i="23" s="1"/>
  <c r="J568" i="23"/>
  <c r="K568" i="23" s="1"/>
  <c r="J181" i="23"/>
  <c r="J73" i="23"/>
  <c r="K73" i="23" s="1"/>
  <c r="L73" i="23" s="1"/>
  <c r="J396" i="23"/>
  <c r="J98" i="23"/>
  <c r="J350" i="23"/>
  <c r="K350" i="23" s="1"/>
  <c r="R351" i="23" s="1"/>
  <c r="J772" i="23"/>
  <c r="Y240" i="23" s="1"/>
  <c r="Z240" i="23" s="1"/>
  <c r="J45" i="23"/>
  <c r="J147" i="23"/>
  <c r="J617" i="23"/>
  <c r="K617" i="23" s="1"/>
  <c r="R617" i="23" s="1"/>
  <c r="X206" i="23" s="1"/>
  <c r="BE70" i="23" s="1"/>
  <c r="J573" i="23"/>
  <c r="J648" i="23"/>
  <c r="K648" i="23" s="1"/>
  <c r="L648" i="23" s="1"/>
  <c r="J495" i="23"/>
  <c r="K495" i="23" s="1"/>
  <c r="R495" i="23" s="1"/>
  <c r="X176" i="23" s="1"/>
  <c r="BE54" i="23" s="1"/>
  <c r="J730" i="23"/>
  <c r="J140" i="23"/>
  <c r="K140" i="23" s="1"/>
  <c r="L140" i="23" s="1"/>
  <c r="J220" i="23"/>
  <c r="J456" i="23"/>
  <c r="K456" i="23" s="1"/>
  <c r="M456" i="23" s="1"/>
  <c r="J23" i="23"/>
  <c r="J709" i="23"/>
  <c r="J65" i="23"/>
  <c r="J458" i="23"/>
  <c r="J187" i="23"/>
  <c r="J42" i="23"/>
  <c r="J111" i="23"/>
  <c r="J665" i="23"/>
  <c r="K665" i="23" s="1"/>
  <c r="J595" i="23"/>
  <c r="K595" i="23" s="1"/>
  <c r="J634" i="23"/>
  <c r="J754" i="23"/>
  <c r="J444" i="23"/>
  <c r="J193" i="23"/>
  <c r="J740" i="23"/>
  <c r="K740" i="23" s="1"/>
  <c r="R741" i="23" s="1"/>
  <c r="J390" i="23"/>
  <c r="K390" i="23" s="1"/>
  <c r="J430" i="23"/>
  <c r="K430" i="23" s="1"/>
  <c r="K433" i="23" s="1"/>
  <c r="R433" i="23" s="1"/>
  <c r="J30" i="23"/>
  <c r="J681" i="23"/>
  <c r="K681" i="23" s="1"/>
  <c r="R681" i="23" s="1"/>
  <c r="J236" i="23"/>
  <c r="K236" i="23" s="1"/>
  <c r="L236" i="23" s="1"/>
  <c r="J114" i="23"/>
  <c r="K114" i="23" s="1"/>
  <c r="K116" i="23" s="1"/>
  <c r="R116" i="23" s="1"/>
  <c r="J159" i="23"/>
  <c r="J262" i="23"/>
  <c r="J545" i="23"/>
  <c r="J644" i="23"/>
  <c r="K644" i="23" s="1"/>
  <c r="R644" i="23" s="1"/>
  <c r="X183" i="23" s="1"/>
  <c r="BE122" i="23" s="1"/>
  <c r="J514" i="23"/>
  <c r="J271" i="23"/>
  <c r="K271" i="23" s="1"/>
  <c r="R271" i="23" s="1"/>
  <c r="X109" i="23" s="1"/>
  <c r="Z109" i="23" s="1"/>
  <c r="AU109" i="23" s="1"/>
  <c r="J375" i="23"/>
  <c r="J562" i="23"/>
  <c r="J593" i="23"/>
  <c r="K593" i="23" s="1"/>
  <c r="R593" i="23" s="1"/>
  <c r="X182" i="23" s="1"/>
  <c r="BE121" i="23" s="1"/>
  <c r="J668" i="23"/>
  <c r="J173" i="23"/>
  <c r="K173" i="23" s="1"/>
  <c r="R173" i="23" s="1"/>
  <c r="J603" i="23"/>
  <c r="J775" i="23"/>
  <c r="K775" i="23" s="1"/>
  <c r="Y244" i="23" s="1"/>
  <c r="Z244" i="23" s="1"/>
  <c r="J331" i="23"/>
  <c r="K331" i="23" s="1"/>
  <c r="R331" i="23" s="1"/>
  <c r="X157" i="23" s="1"/>
  <c r="BE231" i="23" s="1"/>
  <c r="J428" i="23"/>
  <c r="J339" i="23"/>
  <c r="J91" i="23"/>
  <c r="K91" i="23" s="1"/>
  <c r="R93" i="23" s="1"/>
  <c r="X123" i="23" s="1"/>
  <c r="J415" i="23"/>
  <c r="K415" i="23" s="1"/>
  <c r="L415" i="23" s="1"/>
  <c r="J143" i="23"/>
  <c r="K143" i="23" s="1"/>
  <c r="J597" i="23"/>
  <c r="J604" i="23"/>
  <c r="J510" i="23"/>
  <c r="J660" i="23"/>
  <c r="K660" i="23" s="1"/>
  <c r="R660" i="23" s="1"/>
  <c r="J66" i="23"/>
  <c r="J423" i="23"/>
  <c r="J447" i="23"/>
  <c r="J400" i="23"/>
  <c r="J139" i="23"/>
  <c r="J367" i="23"/>
  <c r="K367" i="23" s="1"/>
  <c r="R367" i="23" s="1"/>
  <c r="J136" i="23"/>
  <c r="J589" i="23"/>
  <c r="J394" i="23"/>
  <c r="K394" i="23" s="1"/>
  <c r="R394" i="23" s="1"/>
  <c r="J450" i="23"/>
  <c r="J364" i="23"/>
  <c r="J138" i="23"/>
  <c r="J190" i="23"/>
  <c r="J553" i="23"/>
  <c r="K553" i="23" s="1"/>
  <c r="L553" i="23" s="1"/>
  <c r="J61" i="23"/>
  <c r="J637" i="23"/>
  <c r="K637" i="23" s="1"/>
  <c r="R637" i="23" s="1"/>
  <c r="J642" i="23"/>
  <c r="K642" i="23" s="1"/>
  <c r="L642" i="23" s="1"/>
  <c r="J607" i="23"/>
  <c r="K607" i="23" s="1"/>
  <c r="R608" i="23" s="1"/>
  <c r="X146" i="23" s="1"/>
  <c r="BE113" i="23" s="1"/>
  <c r="J323" i="23"/>
  <c r="J771" i="23"/>
  <c r="Y239" i="23" s="1"/>
  <c r="Z239" i="23" s="1"/>
  <c r="J397" i="23"/>
  <c r="J501" i="23"/>
  <c r="J615" i="23"/>
  <c r="J641" i="23"/>
  <c r="K641" i="23" s="1"/>
  <c r="R641" i="23" s="1"/>
  <c r="X203" i="23" s="1"/>
  <c r="BE135" i="23" s="1"/>
  <c r="J378" i="23"/>
  <c r="J639" i="23"/>
  <c r="J361" i="23"/>
  <c r="J587" i="23"/>
  <c r="K587" i="23" s="1"/>
  <c r="J106" i="23"/>
  <c r="J492" i="23"/>
  <c r="K492" i="23" s="1"/>
  <c r="J710" i="23"/>
  <c r="J546" i="23"/>
  <c r="K546" i="23" s="1"/>
  <c r="R547" i="23" s="1"/>
  <c r="J127" i="23"/>
  <c r="J233" i="23"/>
  <c r="K233" i="23" s="1"/>
  <c r="J408" i="23"/>
  <c r="J476" i="23"/>
  <c r="K476" i="23" s="1"/>
  <c r="J405" i="23"/>
  <c r="K405" i="23" s="1"/>
  <c r="R405" i="23" s="1"/>
  <c r="X159" i="23" s="1"/>
  <c r="BE233" i="23" s="1"/>
  <c r="J752" i="23"/>
  <c r="J647" i="23"/>
  <c r="J161" i="23"/>
  <c r="J148" i="23"/>
  <c r="J774" i="23"/>
  <c r="K774" i="23" s="1"/>
  <c r="Y243" i="23" s="1"/>
  <c r="Z243" i="23" s="1"/>
  <c r="J724" i="23"/>
  <c r="J720" i="23"/>
  <c r="K720" i="23" s="1"/>
  <c r="J217" i="23"/>
  <c r="J84" i="23"/>
  <c r="K84" i="23" s="1"/>
  <c r="J183" i="23"/>
  <c r="J499" i="23"/>
  <c r="J85" i="23"/>
  <c r="K85" i="23" s="1"/>
  <c r="J356" i="23"/>
  <c r="J417" i="23"/>
  <c r="K417" i="23" s="1"/>
  <c r="R417" i="23" s="1"/>
  <c r="X224" i="23" s="1"/>
  <c r="BE173" i="23" s="1"/>
  <c r="J523" i="23"/>
  <c r="K523" i="23" s="1"/>
  <c r="J711" i="23"/>
  <c r="J521" i="23"/>
  <c r="K521" i="23" s="1"/>
  <c r="J600" i="23"/>
  <c r="K600" i="23" s="1"/>
  <c r="R600" i="23" s="1"/>
  <c r="J733" i="23"/>
  <c r="K733" i="23" s="1"/>
  <c r="J596" i="23"/>
  <c r="J379" i="23"/>
  <c r="J9" i="23"/>
  <c r="J760" i="23"/>
  <c r="J676" i="23"/>
  <c r="K676" i="23" s="1"/>
  <c r="R676" i="23" s="1"/>
  <c r="J534" i="23"/>
  <c r="K534" i="23" s="1"/>
  <c r="R536" i="23" s="1"/>
  <c r="J72" i="23"/>
  <c r="J778" i="23"/>
  <c r="J564" i="23"/>
  <c r="J487" i="23"/>
  <c r="J302" i="23"/>
  <c r="K302" i="23" s="1"/>
  <c r="J306" i="23"/>
  <c r="J276" i="23"/>
  <c r="K276" i="23" s="1"/>
  <c r="J472" i="23"/>
  <c r="J244" i="23"/>
  <c r="K244" i="23" s="1"/>
  <c r="R245" i="23" s="1"/>
  <c r="K245" i="23" s="1"/>
  <c r="J403" i="23"/>
  <c r="K403" i="23" s="1"/>
  <c r="R403" i="23" s="1"/>
  <c r="X100" i="23" s="1"/>
  <c r="J314" i="23"/>
  <c r="J555" i="23"/>
  <c r="K555" i="23" s="1"/>
  <c r="J389" i="23"/>
  <c r="K389" i="23" s="1"/>
  <c r="J567" i="23"/>
  <c r="K567" i="23" s="1"/>
  <c r="J75" i="23"/>
  <c r="K75" i="23" s="1"/>
  <c r="J109" i="23"/>
  <c r="J700" i="23"/>
  <c r="K700" i="23" s="1"/>
  <c r="J628" i="23"/>
  <c r="K628" i="23" s="1"/>
  <c r="R628" i="23" s="1"/>
  <c r="X143" i="23" s="1"/>
  <c r="BE110" i="23" s="1"/>
  <c r="J324" i="23"/>
  <c r="K324" i="23" s="1"/>
  <c r="J708" i="23"/>
  <c r="J500" i="23"/>
  <c r="K500" i="23" s="1"/>
  <c r="J307" i="23"/>
  <c r="J51" i="23"/>
  <c r="K51" i="23" s="1"/>
  <c r="L51" i="23" s="1"/>
  <c r="J12" i="23"/>
  <c r="J765" i="23"/>
  <c r="J425" i="23"/>
  <c r="J225" i="23"/>
  <c r="J508" i="23"/>
  <c r="K508" i="23" s="1"/>
  <c r="R508" i="23" s="1"/>
  <c r="J264" i="23"/>
  <c r="J172" i="23"/>
  <c r="K172" i="23" s="1"/>
  <c r="J571" i="23"/>
  <c r="K571" i="23" s="1"/>
  <c r="J478" i="23"/>
  <c r="J610" i="23"/>
  <c r="J191" i="23"/>
  <c r="J328" i="23"/>
  <c r="K328" i="23" s="1"/>
  <c r="J690" i="23"/>
  <c r="L484" i="23"/>
  <c r="J248" i="23"/>
  <c r="K248" i="23" s="1"/>
  <c r="L248" i="23" s="1"/>
  <c r="J60" i="23"/>
  <c r="J616" i="23"/>
  <c r="K616" i="23" s="1"/>
  <c r="R616" i="23" s="1"/>
  <c r="X212" i="23" s="1"/>
  <c r="BE76" i="23" s="1"/>
  <c r="J120" i="23"/>
  <c r="J583" i="23"/>
  <c r="K583" i="23" s="1"/>
  <c r="J208" i="23"/>
  <c r="J491" i="23"/>
  <c r="K491" i="23" s="1"/>
  <c r="J505" i="23"/>
  <c r="J543" i="23"/>
  <c r="K543" i="23" s="1"/>
  <c r="R544" i="23" s="1"/>
  <c r="J214" i="23"/>
  <c r="J145" i="23"/>
  <c r="K145" i="23" s="1"/>
  <c r="R145" i="23" s="1"/>
  <c r="J67" i="23"/>
  <c r="J49" i="23"/>
  <c r="K49" i="23" s="1"/>
  <c r="J24" i="23"/>
  <c r="J7" i="23"/>
  <c r="BH35" i="23"/>
  <c r="Q25" i="23"/>
  <c r="Q26" i="23"/>
  <c r="Q28" i="23"/>
  <c r="Q29" i="23"/>
  <c r="M463" i="23"/>
  <c r="BH8" i="23"/>
  <c r="AU10" i="23"/>
  <c r="R493" i="23" l="1"/>
  <c r="L688" i="23"/>
  <c r="R624" i="23"/>
  <c r="K624" i="23" s="1"/>
  <c r="R164" i="23"/>
  <c r="X58" i="23" s="1"/>
  <c r="BE169" i="23" s="1"/>
  <c r="R163" i="23"/>
  <c r="Z7" i="23"/>
  <c r="BH202" i="23" s="1"/>
  <c r="L95" i="23"/>
  <c r="L169" i="23"/>
  <c r="L584" i="23"/>
  <c r="R168" i="23"/>
  <c r="X55" i="23" s="1"/>
  <c r="BE166" i="23" s="1"/>
  <c r="R167" i="23"/>
  <c r="K77" i="23"/>
  <c r="R76" i="23" s="1"/>
  <c r="R166" i="23"/>
  <c r="X227" i="23"/>
  <c r="K687" i="23"/>
  <c r="R686" i="23" s="1"/>
  <c r="P278" i="23"/>
  <c r="AU11" i="23"/>
  <c r="K586" i="23"/>
  <c r="R585" i="23" s="1"/>
  <c r="X165" i="23" s="1"/>
  <c r="BE107" i="23" s="1"/>
  <c r="BE32" i="23"/>
  <c r="R55" i="23"/>
  <c r="M54" i="23" s="1"/>
  <c r="L591" i="23"/>
  <c r="L579" i="23"/>
  <c r="R525" i="23"/>
  <c r="L226" i="23"/>
  <c r="X168" i="23"/>
  <c r="BE50" i="23" s="1"/>
  <c r="R301" i="23"/>
  <c r="R142" i="23"/>
  <c r="X28" i="23" s="1"/>
  <c r="BE140" i="23" s="1"/>
  <c r="R229" i="23"/>
  <c r="M228" i="23" s="1"/>
  <c r="L494" i="23"/>
  <c r="X47" i="23"/>
  <c r="BE158" i="23" s="1"/>
  <c r="L304" i="23"/>
  <c r="P89" i="23"/>
  <c r="K594" i="23"/>
  <c r="R594" i="23" s="1"/>
  <c r="X174" i="23" s="1"/>
  <c r="BE117" i="23" s="1"/>
  <c r="R47" i="23"/>
  <c r="X72" i="23" s="1"/>
  <c r="BE188" i="23" s="1"/>
  <c r="R48" i="23"/>
  <c r="X68" i="23" s="1"/>
  <c r="BE184" i="23" s="1"/>
  <c r="L495" i="23"/>
  <c r="R392" i="23"/>
  <c r="X16" i="23" s="1"/>
  <c r="Z16" i="23" s="1"/>
  <c r="AU16" i="23" s="1"/>
  <c r="L79" i="23"/>
  <c r="R79" i="23"/>
  <c r="AC240" i="23"/>
  <c r="K770" i="23"/>
  <c r="Y241" i="23" s="1"/>
  <c r="Z241" i="23" s="1"/>
  <c r="R553" i="23"/>
  <c r="R549" i="23"/>
  <c r="P564" i="23"/>
  <c r="R352" i="23"/>
  <c r="L568" i="23"/>
  <c r="R568" i="23"/>
  <c r="X179" i="23" s="1"/>
  <c r="BE119" i="23" s="1"/>
  <c r="L580" i="23"/>
  <c r="K425" i="23"/>
  <c r="R425" i="23" s="1"/>
  <c r="R744" i="23"/>
  <c r="R141" i="23"/>
  <c r="R254" i="23"/>
  <c r="K82" i="23"/>
  <c r="L82" i="23" s="1"/>
  <c r="R82" i="23"/>
  <c r="X21" i="23" s="1"/>
  <c r="BE13" i="23" s="1"/>
  <c r="J768" i="23"/>
  <c r="R742" i="23"/>
  <c r="L456" i="23"/>
  <c r="L641" i="23"/>
  <c r="L533" i="23"/>
  <c r="R650" i="23"/>
  <c r="R649" i="23"/>
  <c r="L91" i="23"/>
  <c r="R253" i="23"/>
  <c r="BH102" i="23"/>
  <c r="P565" i="23"/>
  <c r="J777" i="23"/>
  <c r="K388" i="23" s="1"/>
  <c r="L388" i="23" s="1"/>
  <c r="L143" i="23"/>
  <c r="R144" i="23"/>
  <c r="R476" i="23"/>
  <c r="L476" i="23"/>
  <c r="R456" i="23"/>
  <c r="BE201" i="23"/>
  <c r="Z123" i="23"/>
  <c r="J309" i="23"/>
  <c r="K237" i="23"/>
  <c r="R237" i="23" s="1"/>
  <c r="X51" i="23" s="1"/>
  <c r="BE162" i="23" s="1"/>
  <c r="K777" i="23"/>
  <c r="L595" i="23"/>
  <c r="R595" i="23"/>
  <c r="K734" i="23"/>
  <c r="BE102" i="23"/>
  <c r="K407" i="23"/>
  <c r="R407" i="23" s="1"/>
  <c r="R234" i="23"/>
  <c r="L233" i="23"/>
  <c r="R92" i="23"/>
  <c r="L644" i="23"/>
  <c r="K423" i="23"/>
  <c r="R423" i="23" s="1"/>
  <c r="R415" i="23"/>
  <c r="L492" i="23"/>
  <c r="R492" i="23"/>
  <c r="L173" i="23"/>
  <c r="K643" i="23"/>
  <c r="R643" i="23" s="1"/>
  <c r="X167" i="23" s="1"/>
  <c r="BE114" i="23" s="1"/>
  <c r="L394" i="23"/>
  <c r="L587" i="23"/>
  <c r="R587" i="23"/>
  <c r="L390" i="23"/>
  <c r="K391" i="23"/>
  <c r="R391" i="23" s="1"/>
  <c r="R523" i="23"/>
  <c r="X177" i="23" s="1"/>
  <c r="BE55" i="23" s="1"/>
  <c r="L523" i="23"/>
  <c r="R521" i="23"/>
  <c r="L521" i="23"/>
  <c r="L324" i="23"/>
  <c r="R324" i="23"/>
  <c r="X95" i="23" s="1"/>
  <c r="BE207" i="23" s="1"/>
  <c r="R52" i="23"/>
  <c r="X87" i="23" s="1"/>
  <c r="R535" i="23"/>
  <c r="M534" i="23" s="1"/>
  <c r="L534" i="23"/>
  <c r="L244" i="23"/>
  <c r="R246" i="23"/>
  <c r="M244" i="23" s="1"/>
  <c r="BE210" i="23"/>
  <c r="Z100" i="23"/>
  <c r="R53" i="23"/>
  <c r="X88" i="23" s="1"/>
  <c r="R678" i="23"/>
  <c r="R172" i="23"/>
  <c r="L172" i="23"/>
  <c r="R50" i="23"/>
  <c r="M49" i="23" s="1"/>
  <c r="L49" i="23"/>
  <c r="R85" i="23"/>
  <c r="X9" i="23" s="1"/>
  <c r="L85" i="23"/>
  <c r="L491" i="23"/>
  <c r="P490" i="23"/>
  <c r="R491" i="23"/>
  <c r="R250" i="23"/>
  <c r="R75" i="23"/>
  <c r="J74" i="23"/>
  <c r="K74" i="23" s="1"/>
  <c r="R74" i="23" s="1"/>
  <c r="R302" i="23"/>
  <c r="L302" i="23"/>
  <c r="K86" i="23"/>
  <c r="R86" i="23" s="1"/>
  <c r="K570" i="23"/>
  <c r="R570" i="23" s="1"/>
  <c r="X173" i="23" s="1"/>
  <c r="BE116" i="23" s="1"/>
  <c r="R571" i="23"/>
  <c r="L571" i="23"/>
  <c r="R249" i="23"/>
  <c r="L567" i="23"/>
  <c r="R567" i="23"/>
  <c r="X194" i="23" s="1"/>
  <c r="BE129" i="23" s="1"/>
  <c r="K426" i="23"/>
  <c r="R500" i="23"/>
  <c r="X93" i="23" s="1"/>
  <c r="Z93" i="23" s="1"/>
  <c r="L500" i="23"/>
  <c r="R583" i="23"/>
  <c r="X193" i="23" s="1"/>
  <c r="BE128" i="23" s="1"/>
  <c r="L583" i="23"/>
  <c r="R389" i="23"/>
  <c r="L389" i="23"/>
  <c r="R555" i="23"/>
  <c r="L555" i="23"/>
  <c r="J56" i="23"/>
  <c r="R700" i="23"/>
  <c r="X112" i="23" s="1"/>
  <c r="L700" i="23"/>
  <c r="P277" i="23"/>
  <c r="K208" i="23"/>
  <c r="R208" i="23" s="1"/>
  <c r="K690" i="23"/>
  <c r="J693" i="23"/>
  <c r="L328" i="23"/>
  <c r="R330" i="23"/>
  <c r="K422" i="23"/>
  <c r="R422" i="23" s="1"/>
  <c r="X189" i="23" l="1"/>
  <c r="BE60" i="23" s="1"/>
  <c r="M162" i="23"/>
  <c r="M622" i="23"/>
  <c r="AU7" i="23"/>
  <c r="X52" i="23"/>
  <c r="BE163" i="23" s="1"/>
  <c r="M165" i="23"/>
  <c r="L425" i="23"/>
  <c r="X12" i="23"/>
  <c r="BE33" i="23" s="1"/>
  <c r="X74" i="23"/>
  <c r="BE190" i="23" s="1"/>
  <c r="M390" i="23"/>
  <c r="BH240" i="23"/>
  <c r="BE240" i="23"/>
  <c r="P568" i="23"/>
  <c r="M46" i="23"/>
  <c r="M777" i="23"/>
  <c r="K396" i="23"/>
  <c r="R396" i="23" s="1"/>
  <c r="K72" i="23"/>
  <c r="L72" i="23" s="1"/>
  <c r="K564" i="23"/>
  <c r="K596" i="23" s="1"/>
  <c r="R596" i="23" s="1"/>
  <c r="K463" i="23"/>
  <c r="K212" i="23"/>
  <c r="K267" i="23" s="1"/>
  <c r="K268" i="23" s="1"/>
  <c r="R268" i="23" s="1"/>
  <c r="M267" i="23" s="1"/>
  <c r="K306" i="23"/>
  <c r="K358" i="23" s="1"/>
  <c r="R359" i="23" s="1"/>
  <c r="X140" i="23" s="1"/>
  <c r="X223" i="23"/>
  <c r="BE172" i="23" s="1"/>
  <c r="K64" i="23"/>
  <c r="Z21" i="23"/>
  <c r="AU21" i="23" s="1"/>
  <c r="K450" i="23"/>
  <c r="K455" i="23" s="1"/>
  <c r="L455" i="23" s="1"/>
  <c r="K81" i="23"/>
  <c r="J87" i="23" s="1"/>
  <c r="K87" i="23" s="1"/>
  <c r="R87" i="23" s="1"/>
  <c r="M81" i="23" s="1"/>
  <c r="X90" i="23"/>
  <c r="BE92" i="23" s="1"/>
  <c r="X220" i="23"/>
  <c r="BE84" i="23" s="1"/>
  <c r="K373" i="23"/>
  <c r="L373" i="23" s="1"/>
  <c r="Z95" i="23"/>
  <c r="AU95" i="23" s="1"/>
  <c r="K603" i="23"/>
  <c r="K285" i="23"/>
  <c r="L285" i="23" s="1"/>
  <c r="M140" i="23"/>
  <c r="X45" i="23"/>
  <c r="BE156" i="23" s="1"/>
  <c r="X53" i="23"/>
  <c r="BE164" i="23" s="1"/>
  <c r="M252" i="23"/>
  <c r="K395" i="23"/>
  <c r="R395" i="23" s="1"/>
  <c r="M388" i="23" s="1"/>
  <c r="M233" i="23"/>
  <c r="X49" i="23"/>
  <c r="BE160" i="23" s="1"/>
  <c r="M236" i="23"/>
  <c r="M404" i="23"/>
  <c r="X155" i="23"/>
  <c r="BE229" i="23" s="1"/>
  <c r="Z5" i="23"/>
  <c r="BH3" i="23" s="1"/>
  <c r="K65" i="23"/>
  <c r="K646" i="23"/>
  <c r="K5" i="23"/>
  <c r="K471" i="23"/>
  <c r="K89" i="23"/>
  <c r="K397" i="23"/>
  <c r="K513" i="23"/>
  <c r="Y257" i="23"/>
  <c r="Z257" i="23" s="1"/>
  <c r="Y246" i="23"/>
  <c r="BH201" i="23"/>
  <c r="AU123" i="23"/>
  <c r="M91" i="23"/>
  <c r="X14" i="23"/>
  <c r="M143" i="23"/>
  <c r="X36" i="23"/>
  <c r="BE148" i="23" s="1"/>
  <c r="K138" i="23"/>
  <c r="K139" i="23" s="1"/>
  <c r="L139" i="23" s="1"/>
  <c r="R735" i="23"/>
  <c r="J735" i="23" s="1"/>
  <c r="R736" i="23"/>
  <c r="J736" i="23" s="1"/>
  <c r="R734" i="23"/>
  <c r="J734" i="23" s="1"/>
  <c r="R739" i="23"/>
  <c r="J739" i="23" s="1"/>
  <c r="R737" i="23"/>
  <c r="J737" i="23" s="1"/>
  <c r="R738" i="23"/>
  <c r="J738" i="23" s="1"/>
  <c r="BH210" i="23"/>
  <c r="AU100" i="23"/>
  <c r="X13" i="23"/>
  <c r="M73" i="23"/>
  <c r="K250" i="23"/>
  <c r="X60" i="23"/>
  <c r="BE175" i="23" s="1"/>
  <c r="K246" i="23"/>
  <c r="X59" i="23"/>
  <c r="BE170" i="23" s="1"/>
  <c r="X97" i="23"/>
  <c r="X91" i="23"/>
  <c r="R426" i="23"/>
  <c r="M421" i="23" s="1"/>
  <c r="L426" i="23"/>
  <c r="BE46" i="23"/>
  <c r="L690" i="23"/>
  <c r="R694" i="23"/>
  <c r="R692" i="23"/>
  <c r="R699" i="23"/>
  <c r="R691" i="23"/>
  <c r="R693" i="23"/>
  <c r="R696" i="23"/>
  <c r="R697" i="23"/>
  <c r="R695" i="23"/>
  <c r="R698" i="23"/>
  <c r="X48" i="23"/>
  <c r="BE159" i="23" s="1"/>
  <c r="M248" i="23"/>
  <c r="K249" i="23"/>
  <c r="M84" i="23"/>
  <c r="Z112" i="23"/>
  <c r="BE66" i="23"/>
  <c r="BE7" i="23"/>
  <c r="Z9" i="23"/>
  <c r="AU93" i="23"/>
  <c r="BH46" i="23"/>
  <c r="BH207" i="23" l="1"/>
  <c r="K202" i="23"/>
  <c r="L202" i="23" s="1"/>
  <c r="Z12" i="23"/>
  <c r="AU12" i="23" s="1"/>
  <c r="K225" i="23"/>
  <c r="L225" i="23" s="1"/>
  <c r="K565" i="23"/>
  <c r="Q570" i="23" s="1"/>
  <c r="K573" i="23"/>
  <c r="R574" i="23" s="1"/>
  <c r="K577" i="23"/>
  <c r="K578" i="23" s="1"/>
  <c r="R578" i="23" s="1"/>
  <c r="M577" i="23" s="1"/>
  <c r="K457" i="23"/>
  <c r="R457" i="23" s="1"/>
  <c r="M455" i="23" s="1"/>
  <c r="K589" i="23"/>
  <c r="K458" i="23"/>
  <c r="L458" i="23" s="1"/>
  <c r="L358" i="23"/>
  <c r="L267" i="23"/>
  <c r="K357" i="23"/>
  <c r="R357" i="23" s="1"/>
  <c r="L396" i="23"/>
  <c r="K370" i="23"/>
  <c r="L370" i="23" s="1"/>
  <c r="K581" i="23"/>
  <c r="K582" i="23" s="1"/>
  <c r="R582" i="23" s="1"/>
  <c r="M581" i="23" s="1"/>
  <c r="L596" i="23"/>
  <c r="K356" i="23"/>
  <c r="L356" i="23" s="1"/>
  <c r="K323" i="23"/>
  <c r="K326" i="23" s="1"/>
  <c r="R327" i="23" s="1"/>
  <c r="M358" i="23"/>
  <c r="K334" i="23"/>
  <c r="L334" i="23" s="1"/>
  <c r="K361" i="23"/>
  <c r="L361" i="23" s="1"/>
  <c r="K314" i="23"/>
  <c r="K316" i="23" s="1"/>
  <c r="R316" i="23" s="1"/>
  <c r="K257" i="23"/>
  <c r="L257" i="23" s="1"/>
  <c r="K243" i="23"/>
  <c r="K255" i="23" s="1"/>
  <c r="R255" i="23" s="1"/>
  <c r="X57" i="23" s="1"/>
  <c r="BE168" i="23" s="1"/>
  <c r="K364" i="23"/>
  <c r="L364" i="23" s="1"/>
  <c r="L306" i="23"/>
  <c r="K213" i="23"/>
  <c r="K214" i="23" s="1"/>
  <c r="R216" i="23" s="1"/>
  <c r="K339" i="23"/>
  <c r="K341" i="23" s="1"/>
  <c r="R341" i="23" s="1"/>
  <c r="K349" i="23"/>
  <c r="K353" i="23" s="1"/>
  <c r="R353" i="23" s="1"/>
  <c r="M349" i="23" s="1"/>
  <c r="L564" i="23"/>
  <c r="K597" i="23"/>
  <c r="K598" i="23" s="1"/>
  <c r="P598" i="23" s="1"/>
  <c r="L81" i="23"/>
  <c r="K307" i="23"/>
  <c r="R311" i="23" s="1"/>
  <c r="L450" i="23"/>
  <c r="K382" i="23"/>
  <c r="R382" i="23" s="1"/>
  <c r="K272" i="23"/>
  <c r="BH13" i="23"/>
  <c r="K378" i="23"/>
  <c r="R379" i="23" s="1"/>
  <c r="K387" i="23"/>
  <c r="L387" i="23" s="1"/>
  <c r="Z90" i="23"/>
  <c r="BH92" i="23" s="1"/>
  <c r="K80" i="23"/>
  <c r="R80" i="23" s="1"/>
  <c r="M72" i="23" s="1"/>
  <c r="L212" i="23"/>
  <c r="K375" i="23"/>
  <c r="L375" i="23" s="1"/>
  <c r="K384" i="23"/>
  <c r="R384" i="23" s="1"/>
  <c r="M384" i="23" s="1"/>
  <c r="K451" i="23"/>
  <c r="L138" i="23"/>
  <c r="K160" i="23"/>
  <c r="K161" i="23" s="1"/>
  <c r="K174" i="23" s="1"/>
  <c r="R174" i="23" s="1"/>
  <c r="K639" i="23"/>
  <c r="K610" i="23"/>
  <c r="K626" i="23"/>
  <c r="K631" i="23"/>
  <c r="K604" i="23"/>
  <c r="K615" i="23"/>
  <c r="L603" i="23"/>
  <c r="K634" i="23"/>
  <c r="K286" i="23"/>
  <c r="R296" i="23" s="1"/>
  <c r="K400" i="23"/>
  <c r="K444" i="23"/>
  <c r="L397" i="23"/>
  <c r="K408" i="23"/>
  <c r="K398" i="23"/>
  <c r="K414" i="23"/>
  <c r="K447" i="23"/>
  <c r="K428" i="23"/>
  <c r="K438" i="23"/>
  <c r="K183" i="23"/>
  <c r="L471" i="23"/>
  <c r="K487" i="23"/>
  <c r="K503" i="23"/>
  <c r="R504" i="23" s="1"/>
  <c r="M503" i="23" s="1"/>
  <c r="K490" i="23"/>
  <c r="K510" i="23"/>
  <c r="K472" i="23"/>
  <c r="K478" i="23"/>
  <c r="K498" i="23"/>
  <c r="K505" i="23"/>
  <c r="K560" i="23"/>
  <c r="K517" i="23"/>
  <c r="K514" i="23"/>
  <c r="L513" i="23"/>
  <c r="K540" i="23"/>
  <c r="K562" i="23"/>
  <c r="K545" i="23"/>
  <c r="K563" i="23"/>
  <c r="K526" i="23"/>
  <c r="K117" i="23"/>
  <c r="K98" i="23"/>
  <c r="K90" i="23"/>
  <c r="K111" i="23"/>
  <c r="K136" i="23"/>
  <c r="L89" i="23"/>
  <c r="K133" i="23"/>
  <c r="K147" i="23"/>
  <c r="K45" i="23"/>
  <c r="K60" i="23"/>
  <c r="K61" i="23"/>
  <c r="K23" i="23"/>
  <c r="L5" i="23"/>
  <c r="K6" i="23"/>
  <c r="K210" i="23"/>
  <c r="K752" i="23"/>
  <c r="K711" i="23"/>
  <c r="K710" i="23"/>
  <c r="K756" i="23"/>
  <c r="K647" i="23"/>
  <c r="K748" i="23"/>
  <c r="K708" i="23"/>
  <c r="K685" i="23"/>
  <c r="K763" i="23"/>
  <c r="K765" i="23"/>
  <c r="K754" i="23"/>
  <c r="K760" i="23"/>
  <c r="K730" i="23"/>
  <c r="K750" i="23"/>
  <c r="L646" i="23"/>
  <c r="K668" i="23"/>
  <c r="K747" i="23"/>
  <c r="K731" i="23"/>
  <c r="K709" i="23"/>
  <c r="K768" i="23"/>
  <c r="L768" i="23" s="1"/>
  <c r="K69" i="23"/>
  <c r="R69" i="23" s="1"/>
  <c r="K66" i="23"/>
  <c r="K67" i="23"/>
  <c r="L65" i="23"/>
  <c r="Z246" i="23"/>
  <c r="Y248" i="23"/>
  <c r="K146" i="23"/>
  <c r="R146" i="23" s="1"/>
  <c r="M139" i="23" s="1"/>
  <c r="K187" i="23"/>
  <c r="Z14" i="23"/>
  <c r="BE9" i="23"/>
  <c r="K190" i="23"/>
  <c r="K196" i="23" s="1"/>
  <c r="L196" i="23" s="1"/>
  <c r="M690" i="23"/>
  <c r="AU112" i="23"/>
  <c r="BH66" i="23"/>
  <c r="BE91" i="23"/>
  <c r="Z97" i="23"/>
  <c r="BE34" i="23"/>
  <c r="Z13" i="23"/>
  <c r="Z91" i="23"/>
  <c r="BE93" i="23"/>
  <c r="AU9" i="23"/>
  <c r="AU240" i="23" s="1"/>
  <c r="BH7" i="23"/>
  <c r="BE218" i="23"/>
  <c r="K566" i="23" l="1"/>
  <c r="L566" i="23" s="1"/>
  <c r="K335" i="23"/>
  <c r="R335" i="23" s="1"/>
  <c r="M334" i="23" s="1"/>
  <c r="L565" i="23"/>
  <c r="K574" i="23"/>
  <c r="R575" i="23" s="1"/>
  <c r="X171" i="23" s="1"/>
  <c r="BE115" i="23" s="1"/>
  <c r="L573" i="23"/>
  <c r="L581" i="23"/>
  <c r="K207" i="23"/>
  <c r="P279" i="23" s="1"/>
  <c r="Q278" i="23" s="1"/>
  <c r="R278" i="23" s="1"/>
  <c r="X118" i="23" s="1"/>
  <c r="BE99" i="23" s="1"/>
  <c r="R459" i="23"/>
  <c r="R460" i="23"/>
  <c r="K460" i="23" s="1"/>
  <c r="K264" i="23"/>
  <c r="R266" i="23" s="1"/>
  <c r="X30" i="23" s="1"/>
  <c r="BE142" i="23" s="1"/>
  <c r="X197" i="23"/>
  <c r="BE130" i="23" s="1"/>
  <c r="L577" i="23"/>
  <c r="K262" i="23"/>
  <c r="L262" i="23" s="1"/>
  <c r="R290" i="23"/>
  <c r="K242" i="23"/>
  <c r="R242" i="23" s="1"/>
  <c r="X108" i="23" s="1"/>
  <c r="BE38" i="23" s="1"/>
  <c r="BH33" i="23"/>
  <c r="L357" i="23"/>
  <c r="K258" i="23"/>
  <c r="R261" i="23" s="1"/>
  <c r="K261" i="23" s="1"/>
  <c r="L384" i="23"/>
  <c r="L349" i="23"/>
  <c r="X186" i="23"/>
  <c r="BE125" i="23" s="1"/>
  <c r="R356" i="23"/>
  <c r="X96" i="23" s="1"/>
  <c r="Z96" i="23" s="1"/>
  <c r="AU96" i="23" s="1"/>
  <c r="X122" i="23"/>
  <c r="BE212" i="23" s="1"/>
  <c r="R288" i="23"/>
  <c r="M341" i="23"/>
  <c r="K333" i="23"/>
  <c r="R333" i="23" s="1"/>
  <c r="X162" i="23" s="1"/>
  <c r="BE236" i="23" s="1"/>
  <c r="L314" i="23"/>
  <c r="X228" i="23"/>
  <c r="L323" i="23"/>
  <c r="R387" i="23"/>
  <c r="X22" i="23" s="1"/>
  <c r="BE24" i="23" s="1"/>
  <c r="R371" i="23"/>
  <c r="X137" i="23" s="1"/>
  <c r="BE215" i="23" s="1"/>
  <c r="K176" i="23"/>
  <c r="L176" i="23" s="1"/>
  <c r="L160" i="23"/>
  <c r="R293" i="23"/>
  <c r="L161" i="23"/>
  <c r="R372" i="23"/>
  <c r="X136" i="23" s="1"/>
  <c r="BE214" i="23" s="1"/>
  <c r="M343" i="23"/>
  <c r="K590" i="23"/>
  <c r="R590" i="23" s="1"/>
  <c r="L589" i="23"/>
  <c r="R309" i="23"/>
  <c r="L339" i="23"/>
  <c r="K365" i="23"/>
  <c r="L214" i="23"/>
  <c r="M243" i="23"/>
  <c r="K217" i="23"/>
  <c r="K223" i="23"/>
  <c r="L223" i="23" s="1"/>
  <c r="L213" i="23"/>
  <c r="R362" i="23"/>
  <c r="M361" i="23" s="1"/>
  <c r="R598" i="23"/>
  <c r="K315" i="23"/>
  <c r="R315" i="23" s="1"/>
  <c r="M314" i="23" s="1"/>
  <c r="R215" i="23"/>
  <c r="M214" i="23" s="1"/>
  <c r="K220" i="23"/>
  <c r="L220" i="23" s="1"/>
  <c r="L243" i="23"/>
  <c r="L597" i="23"/>
  <c r="L272" i="23"/>
  <c r="K273" i="23"/>
  <c r="R272" i="23" s="1"/>
  <c r="X128" i="23" s="1"/>
  <c r="BE39" i="23" s="1"/>
  <c r="L307" i="23"/>
  <c r="R312" i="23"/>
  <c r="L382" i="23"/>
  <c r="R313" i="23"/>
  <c r="R197" i="23"/>
  <c r="M196" i="23" s="1"/>
  <c r="R308" i="23"/>
  <c r="AU90" i="23"/>
  <c r="K180" i="23"/>
  <c r="K181" i="23"/>
  <c r="R181" i="23" s="1"/>
  <c r="R287" i="23"/>
  <c r="R453" i="23"/>
  <c r="X120" i="23" s="1"/>
  <c r="BE242" i="23" s="1"/>
  <c r="L451" i="23"/>
  <c r="R291" i="23"/>
  <c r="R299" i="23"/>
  <c r="R294" i="23"/>
  <c r="R375" i="23"/>
  <c r="X125" i="23" s="1"/>
  <c r="Z125" i="23" s="1"/>
  <c r="AU125" i="23" s="1"/>
  <c r="X110" i="23"/>
  <c r="Z110" i="23" s="1"/>
  <c r="AU110" i="23" s="1"/>
  <c r="L615" i="23"/>
  <c r="J618" i="23"/>
  <c r="K618" i="23" s="1"/>
  <c r="K605" i="23"/>
  <c r="R605" i="23" s="1"/>
  <c r="L604" i="23"/>
  <c r="R631" i="23"/>
  <c r="L631" i="23"/>
  <c r="K627" i="23"/>
  <c r="R627" i="23" s="1"/>
  <c r="L626" i="23"/>
  <c r="K191" i="23"/>
  <c r="R192" i="23" s="1"/>
  <c r="X26" i="23" s="1"/>
  <c r="BE138" i="23" s="1"/>
  <c r="R610" i="23"/>
  <c r="L610" i="23"/>
  <c r="K640" i="23"/>
  <c r="R640" i="23" s="1"/>
  <c r="L639" i="23"/>
  <c r="K635" i="23"/>
  <c r="R635" i="23" s="1"/>
  <c r="L634" i="23"/>
  <c r="R292" i="23"/>
  <c r="R295" i="23"/>
  <c r="R297" i="23"/>
  <c r="R298" i="23"/>
  <c r="R289" i="23"/>
  <c r="L190" i="23"/>
  <c r="K193" i="23"/>
  <c r="L193" i="23" s="1"/>
  <c r="K200" i="23"/>
  <c r="R754" i="23"/>
  <c r="X208" i="23" s="1"/>
  <c r="BE72" i="23" s="1"/>
  <c r="L754" i="23"/>
  <c r="L563" i="23"/>
  <c r="R563" i="23"/>
  <c r="L763" i="23"/>
  <c r="R763" i="23"/>
  <c r="X211" i="23" s="1"/>
  <c r="BE75" i="23" s="1"/>
  <c r="L685" i="23"/>
  <c r="K701" i="23"/>
  <c r="R187" i="23"/>
  <c r="L187" i="23"/>
  <c r="R708" i="23"/>
  <c r="X104" i="23" s="1"/>
  <c r="L708" i="23"/>
  <c r="R748" i="23"/>
  <c r="X205" i="23" s="1"/>
  <c r="BE69" i="23" s="1"/>
  <c r="L748" i="23"/>
  <c r="L710" i="23"/>
  <c r="R710" i="23"/>
  <c r="R758" i="23"/>
  <c r="L756" i="23"/>
  <c r="R757" i="23"/>
  <c r="R709" i="23"/>
  <c r="L709" i="23"/>
  <c r="R747" i="23"/>
  <c r="X114" i="23" s="1"/>
  <c r="BE100" i="23" s="1"/>
  <c r="L747" i="23"/>
  <c r="R752" i="23"/>
  <c r="X207" i="23" s="1"/>
  <c r="BE71" i="23" s="1"/>
  <c r="L752" i="23"/>
  <c r="R112" i="23"/>
  <c r="M111" i="23" s="1"/>
  <c r="L111" i="23"/>
  <c r="K501" i="23"/>
  <c r="R501" i="23" s="1"/>
  <c r="L498" i="23"/>
  <c r="K499" i="23"/>
  <c r="R499" i="23" s="1"/>
  <c r="J502" i="23"/>
  <c r="K502" i="23" s="1"/>
  <c r="R502" i="23" s="1"/>
  <c r="L398" i="23"/>
  <c r="R399" i="23"/>
  <c r="K527" i="23"/>
  <c r="L526" i="23"/>
  <c r="R765" i="23"/>
  <c r="X209" i="23" s="1"/>
  <c r="BE73" i="23" s="1"/>
  <c r="L765" i="23"/>
  <c r="R184" i="23"/>
  <c r="L183" i="23"/>
  <c r="R185" i="23"/>
  <c r="X124" i="23" s="1"/>
  <c r="R562" i="23"/>
  <c r="L562" i="23"/>
  <c r="L45" i="23"/>
  <c r="K56" i="23"/>
  <c r="R58" i="23" s="1"/>
  <c r="L428" i="23"/>
  <c r="K429" i="23"/>
  <c r="R448" i="23"/>
  <c r="L447" i="23"/>
  <c r="R449" i="23"/>
  <c r="X148" i="23" s="1"/>
  <c r="BE222" i="23" s="1"/>
  <c r="K506" i="23"/>
  <c r="R506" i="23" s="1"/>
  <c r="L505" i="23"/>
  <c r="K669" i="23"/>
  <c r="L668" i="23"/>
  <c r="L90" i="23"/>
  <c r="K96" i="23"/>
  <c r="R96" i="23" s="1"/>
  <c r="Z248" i="23"/>
  <c r="Y251" i="23"/>
  <c r="K99" i="23"/>
  <c r="L98" i="23"/>
  <c r="K106" i="23"/>
  <c r="K109" i="23"/>
  <c r="K103" i="23"/>
  <c r="R750" i="23"/>
  <c r="X210" i="23" s="1"/>
  <c r="BE74" i="23" s="1"/>
  <c r="L750" i="23"/>
  <c r="L117" i="23"/>
  <c r="K118" i="23"/>
  <c r="K120" i="23"/>
  <c r="K124" i="23"/>
  <c r="K128" i="23"/>
  <c r="K127" i="23"/>
  <c r="R510" i="23"/>
  <c r="L510" i="23"/>
  <c r="R446" i="23"/>
  <c r="X141" i="23" s="1"/>
  <c r="BE219" i="23" s="1"/>
  <c r="L444" i="23"/>
  <c r="R445" i="23"/>
  <c r="R66" i="23"/>
  <c r="K70" i="23"/>
  <c r="R70" i="23" s="1"/>
  <c r="L66" i="23"/>
  <c r="L61" i="23"/>
  <c r="M61" i="23"/>
  <c r="R62" i="23"/>
  <c r="X71" i="23" s="1"/>
  <c r="BE187" i="23" s="1"/>
  <c r="AU14" i="23"/>
  <c r="BH9" i="23"/>
  <c r="L540" i="23"/>
  <c r="K541" i="23"/>
  <c r="R541" i="23" s="1"/>
  <c r="R134" i="23"/>
  <c r="X75" i="23" s="1"/>
  <c r="BE192" i="23" s="1"/>
  <c r="L133" i="23"/>
  <c r="R135" i="23"/>
  <c r="R560" i="23"/>
  <c r="L560" i="23"/>
  <c r="K712" i="23"/>
  <c r="K714" i="23" s="1"/>
  <c r="L711" i="23"/>
  <c r="R136" i="23"/>
  <c r="L136" i="23"/>
  <c r="L478" i="23"/>
  <c r="K479" i="23"/>
  <c r="K473" i="23"/>
  <c r="R473" i="23" s="1"/>
  <c r="L472" i="23"/>
  <c r="R730" i="23"/>
  <c r="X204" i="23" s="1"/>
  <c r="BE68" i="23" s="1"/>
  <c r="L730" i="23"/>
  <c r="L490" i="23"/>
  <c r="K496" i="23"/>
  <c r="R496" i="23" s="1"/>
  <c r="L400" i="23"/>
  <c r="K401" i="23"/>
  <c r="R402" i="23" s="1"/>
  <c r="R487" i="23"/>
  <c r="X169" i="23" s="1"/>
  <c r="BE51" i="23" s="1"/>
  <c r="M487" i="23"/>
  <c r="L23" i="23"/>
  <c r="K34" i="23"/>
  <c r="K42" i="23"/>
  <c r="R43" i="23" s="1"/>
  <c r="X78" i="23" s="1"/>
  <c r="BE195" i="23" s="1"/>
  <c r="K36" i="23"/>
  <c r="K30" i="23"/>
  <c r="K39" i="23"/>
  <c r="K24" i="23"/>
  <c r="L545" i="23"/>
  <c r="K557" i="23"/>
  <c r="R557" i="23" s="1"/>
  <c r="R60" i="23"/>
  <c r="L60" i="23"/>
  <c r="K151" i="23"/>
  <c r="K148" i="23"/>
  <c r="L147" i="23"/>
  <c r="K159" i="23"/>
  <c r="K158" i="23"/>
  <c r="K155" i="23"/>
  <c r="K653" i="23"/>
  <c r="L647" i="23"/>
  <c r="K440" i="23"/>
  <c r="L438" i="23"/>
  <c r="K519" i="23"/>
  <c r="R519" i="23" s="1"/>
  <c r="L517" i="23"/>
  <c r="L731" i="23"/>
  <c r="K746" i="23"/>
  <c r="R746" i="23" s="1"/>
  <c r="K427" i="23"/>
  <c r="R427" i="23" s="1"/>
  <c r="L414" i="23"/>
  <c r="R211" i="23"/>
  <c r="M210" i="23" s="1"/>
  <c r="L210" i="23"/>
  <c r="K409" i="23"/>
  <c r="R410" i="23" s="1"/>
  <c r="L408" i="23"/>
  <c r="R68" i="23"/>
  <c r="M67" i="23" s="1"/>
  <c r="L67" i="23"/>
  <c r="L760" i="23"/>
  <c r="R760" i="23"/>
  <c r="K21" i="23"/>
  <c r="K12" i="23"/>
  <c r="K9" i="23"/>
  <c r="K7" i="23"/>
  <c r="L6" i="23"/>
  <c r="BH93" i="23"/>
  <c r="AU91" i="23"/>
  <c r="AU97" i="23"/>
  <c r="BH91" i="23"/>
  <c r="BH34" i="23"/>
  <c r="AU13" i="23"/>
  <c r="M339" i="23"/>
  <c r="X56" i="23"/>
  <c r="BE167" i="23" s="1"/>
  <c r="M161" i="23"/>
  <c r="R566" i="23" l="1"/>
  <c r="M565" i="23" s="1"/>
  <c r="M573" i="23"/>
  <c r="X134" i="23"/>
  <c r="BE213" i="23" s="1"/>
  <c r="L258" i="23"/>
  <c r="R265" i="23"/>
  <c r="M264" i="23" s="1"/>
  <c r="M458" i="23"/>
  <c r="Q279" i="23"/>
  <c r="R279" i="23" s="1"/>
  <c r="X116" i="23" s="1"/>
  <c r="BE97" i="23" s="1"/>
  <c r="X126" i="23"/>
  <c r="BE243" i="23" s="1"/>
  <c r="K459" i="23"/>
  <c r="X119" i="23"/>
  <c r="Z119" i="23" s="1"/>
  <c r="L264" i="23"/>
  <c r="Q277" i="23"/>
  <c r="R277" i="23" s="1"/>
  <c r="X117" i="23" s="1"/>
  <c r="R207" i="23"/>
  <c r="X131" i="23" s="1"/>
  <c r="BE41" i="23" s="1"/>
  <c r="R259" i="23"/>
  <c r="X33" i="23" s="1"/>
  <c r="BE145" i="23" s="1"/>
  <c r="R263" i="23"/>
  <c r="M262" i="23" s="1"/>
  <c r="Z108" i="23"/>
  <c r="BH38" i="23" s="1"/>
  <c r="X42" i="23"/>
  <c r="BE154" i="23" s="1"/>
  <c r="M242" i="23"/>
  <c r="M373" i="23"/>
  <c r="L181" i="23"/>
  <c r="BE90" i="23"/>
  <c r="M225" i="23"/>
  <c r="R195" i="23"/>
  <c r="Z122" i="23"/>
  <c r="AU122" i="23" s="1"/>
  <c r="X31" i="23"/>
  <c r="BE143" i="23" s="1"/>
  <c r="Z22" i="23"/>
  <c r="AU22" i="23" s="1"/>
  <c r="M307" i="23"/>
  <c r="R223" i="23"/>
  <c r="X38" i="23" s="1"/>
  <c r="BE150" i="23" s="1"/>
  <c r="R260" i="23"/>
  <c r="X32" i="23" s="1"/>
  <c r="BE144" i="23" s="1"/>
  <c r="R194" i="23"/>
  <c r="R177" i="23"/>
  <c r="M176" i="23" s="1"/>
  <c r="BH90" i="23"/>
  <c r="M589" i="23"/>
  <c r="X185" i="23"/>
  <c r="BE124" i="23" s="1"/>
  <c r="M370" i="23"/>
  <c r="Z228" i="23"/>
  <c r="BE209" i="23"/>
  <c r="X232" i="23"/>
  <c r="BE238" i="23" s="1"/>
  <c r="L191" i="23"/>
  <c r="M323" i="23"/>
  <c r="M285" i="23"/>
  <c r="M756" i="23"/>
  <c r="R221" i="23"/>
  <c r="X39" i="23" s="1"/>
  <c r="BE151" i="23" s="1"/>
  <c r="X142" i="23"/>
  <c r="BE220" i="23" s="1"/>
  <c r="L217" i="23"/>
  <c r="R218" i="23"/>
  <c r="X40" i="23" s="1"/>
  <c r="BE152" i="23" s="1"/>
  <c r="X54" i="23"/>
  <c r="BE165" i="23" s="1"/>
  <c r="M597" i="23"/>
  <c r="X175" i="23"/>
  <c r="BE118" i="23" s="1"/>
  <c r="R365" i="23"/>
  <c r="R366" i="23"/>
  <c r="X151" i="23" s="1"/>
  <c r="BE225" i="23" s="1"/>
  <c r="M450" i="23"/>
  <c r="X6" i="23"/>
  <c r="BE30" i="23" s="1"/>
  <c r="BE20" i="23"/>
  <c r="BF20" i="23" s="1"/>
  <c r="BH20" i="23"/>
  <c r="BI20" i="23" s="1"/>
  <c r="L180" i="23"/>
  <c r="R180" i="23"/>
  <c r="AI5" i="23" s="1"/>
  <c r="M631" i="23"/>
  <c r="X98" i="23"/>
  <c r="M191" i="23"/>
  <c r="M604" i="23"/>
  <c r="X145" i="23"/>
  <c r="BE112" i="23" s="1"/>
  <c r="M634" i="23"/>
  <c r="X198" i="23"/>
  <c r="BE131" i="23" s="1"/>
  <c r="R620" i="23"/>
  <c r="R619" i="23"/>
  <c r="X214" i="23" s="1"/>
  <c r="BE78" i="23" s="1"/>
  <c r="R621" i="23"/>
  <c r="R618" i="23"/>
  <c r="M639" i="23"/>
  <c r="X199" i="23"/>
  <c r="BE132" i="23" s="1"/>
  <c r="X144" i="23"/>
  <c r="BE111" i="23" s="1"/>
  <c r="M626" i="23"/>
  <c r="M133" i="23"/>
  <c r="X113" i="23"/>
  <c r="BE101" i="23" s="1"/>
  <c r="L200" i="23"/>
  <c r="R201" i="23"/>
  <c r="X29" i="23" s="1"/>
  <c r="BE141" i="23" s="1"/>
  <c r="X94" i="23"/>
  <c r="M610" i="23"/>
  <c r="Y254" i="23"/>
  <c r="Z251" i="23"/>
  <c r="X127" i="23"/>
  <c r="BE89" i="23" s="1"/>
  <c r="M414" i="23"/>
  <c r="X172" i="23"/>
  <c r="BE53" i="23" s="1"/>
  <c r="M540" i="23"/>
  <c r="L21" i="23"/>
  <c r="R22" i="23"/>
  <c r="M21" i="23" s="1"/>
  <c r="L39" i="23"/>
  <c r="R41" i="23"/>
  <c r="R40" i="23"/>
  <c r="M472" i="23"/>
  <c r="X166" i="23"/>
  <c r="BE49" i="23" s="1"/>
  <c r="R669" i="23"/>
  <c r="R673" i="23"/>
  <c r="R671" i="23"/>
  <c r="R674" i="23"/>
  <c r="R672" i="23"/>
  <c r="R670" i="23"/>
  <c r="BE174" i="23"/>
  <c r="Z124" i="23"/>
  <c r="R127" i="23"/>
  <c r="X19" i="23" s="1"/>
  <c r="L127" i="23"/>
  <c r="L128" i="23"/>
  <c r="R131" i="23"/>
  <c r="R130" i="23"/>
  <c r="R129" i="23"/>
  <c r="L124" i="23"/>
  <c r="R125" i="23"/>
  <c r="M124" i="23" s="1"/>
  <c r="R120" i="23"/>
  <c r="L120" i="23"/>
  <c r="R25" i="23"/>
  <c r="R28" i="23"/>
  <c r="X65" i="23" s="1"/>
  <c r="BE181" i="23" s="1"/>
  <c r="L24" i="23"/>
  <c r="R27" i="23"/>
  <c r="R29" i="23"/>
  <c r="R26" i="23"/>
  <c r="X63" i="23" s="1"/>
  <c r="BE179" i="23" s="1"/>
  <c r="R442" i="23"/>
  <c r="X153" i="23" s="1"/>
  <c r="BE227" i="23" s="1"/>
  <c r="R441" i="23"/>
  <c r="R443" i="23"/>
  <c r="X156" i="23" s="1"/>
  <c r="BE230" i="23" s="1"/>
  <c r="L30" i="23"/>
  <c r="R32" i="23"/>
  <c r="X62" i="23" s="1"/>
  <c r="BE178" i="23" s="1"/>
  <c r="R31" i="23"/>
  <c r="R480" i="23"/>
  <c r="R481" i="23"/>
  <c r="R482" i="23"/>
  <c r="R706" i="23"/>
  <c r="K706" i="23" s="1"/>
  <c r="R703" i="23"/>
  <c r="K703" i="23" s="1"/>
  <c r="R702" i="23"/>
  <c r="R704" i="23"/>
  <c r="K704" i="23" s="1"/>
  <c r="R705" i="23"/>
  <c r="K705" i="23" s="1"/>
  <c r="M56" i="23"/>
  <c r="M45" i="23"/>
  <c r="X86" i="23"/>
  <c r="X121" i="23"/>
  <c r="M545" i="23"/>
  <c r="R37" i="23"/>
  <c r="L36" i="23"/>
  <c r="X200" i="23"/>
  <c r="M505" i="23"/>
  <c r="M498" i="23"/>
  <c r="X92" i="23"/>
  <c r="L9" i="23"/>
  <c r="R10" i="23"/>
  <c r="X196" i="23"/>
  <c r="BE63" i="23" s="1"/>
  <c r="M517" i="23"/>
  <c r="X8" i="23"/>
  <c r="R653" i="23"/>
  <c r="R654" i="23"/>
  <c r="X218" i="23" s="1"/>
  <c r="BE82" i="23" s="1"/>
  <c r="R655" i="23"/>
  <c r="R656" i="23"/>
  <c r="X219" i="23" s="1"/>
  <c r="BE83" i="23" s="1"/>
  <c r="L155" i="23"/>
  <c r="R155" i="23"/>
  <c r="M155" i="23" s="1"/>
  <c r="R104" i="23"/>
  <c r="M103" i="23" s="1"/>
  <c r="L103" i="23"/>
  <c r="M70" i="23"/>
  <c r="X24" i="23"/>
  <c r="R159" i="23"/>
  <c r="X89" i="23" s="1"/>
  <c r="L159" i="23"/>
  <c r="R717" i="23"/>
  <c r="R716" i="23"/>
  <c r="R715" i="23"/>
  <c r="X215" i="23" s="1"/>
  <c r="BE79" i="23" s="1"/>
  <c r="R721" i="23"/>
  <c r="R722" i="23"/>
  <c r="R714" i="23"/>
  <c r="M444" i="23"/>
  <c r="X149" i="23"/>
  <c r="BE223" i="23" s="1"/>
  <c r="L106" i="23"/>
  <c r="R107" i="23"/>
  <c r="X82" i="23" s="1"/>
  <c r="BE200" i="23" s="1"/>
  <c r="R527" i="23"/>
  <c r="R528" i="23"/>
  <c r="R530" i="23"/>
  <c r="R529" i="23"/>
  <c r="M731" i="23"/>
  <c r="P731" i="23" s="1"/>
  <c r="X111" i="23"/>
  <c r="R8" i="23"/>
  <c r="L7" i="23"/>
  <c r="L12" i="23"/>
  <c r="R18" i="23"/>
  <c r="R15" i="23"/>
  <c r="R14" i="23"/>
  <c r="R19" i="23"/>
  <c r="R13" i="23"/>
  <c r="R16" i="23"/>
  <c r="R17" i="23"/>
  <c r="R119" i="23"/>
  <c r="L118" i="23"/>
  <c r="M65" i="23"/>
  <c r="L158" i="23"/>
  <c r="R158" i="23"/>
  <c r="R110" i="23"/>
  <c r="L109" i="23"/>
  <c r="M408" i="23"/>
  <c r="X139" i="23"/>
  <c r="BE217" i="23" s="1"/>
  <c r="X147" i="23"/>
  <c r="BE221" i="23" s="1"/>
  <c r="M447" i="23"/>
  <c r="R152" i="23"/>
  <c r="L151" i="23"/>
  <c r="R153" i="23"/>
  <c r="X43" i="23" s="1"/>
  <c r="BE155" i="23" s="1"/>
  <c r="M490" i="23"/>
  <c r="X163" i="23"/>
  <c r="M90" i="23"/>
  <c r="BE95" i="23"/>
  <c r="Z104" i="23"/>
  <c r="M183" i="23"/>
  <c r="X15" i="23"/>
  <c r="L34" i="23"/>
  <c r="R35" i="23"/>
  <c r="X73" i="23" s="1"/>
  <c r="BE189" i="23" s="1"/>
  <c r="AI6" i="23"/>
  <c r="L148" i="23"/>
  <c r="R149" i="23"/>
  <c r="R150" i="23"/>
  <c r="X44" i="23" s="1"/>
  <c r="M400" i="23"/>
  <c r="X99" i="23"/>
  <c r="R102" i="23"/>
  <c r="L99" i="23"/>
  <c r="R100" i="23"/>
  <c r="R101" i="23"/>
  <c r="R437" i="23"/>
  <c r="R436" i="23"/>
  <c r="X161" i="23" s="1"/>
  <c r="BE235" i="23" s="1"/>
  <c r="R434" i="23"/>
  <c r="R435" i="23"/>
  <c r="X160" i="23" s="1"/>
  <c r="BE234" i="23" s="1"/>
  <c r="BF38" i="23"/>
  <c r="M306" i="23" l="1"/>
  <c r="M89" i="23"/>
  <c r="M138" i="23"/>
  <c r="R768" i="23"/>
  <c r="P768" i="23" s="1"/>
  <c r="X191" i="23"/>
  <c r="BE126" i="23" s="1"/>
  <c r="X50" i="23"/>
  <c r="BE161" i="23" s="1"/>
  <c r="Q566" i="23"/>
  <c r="M564" i="23"/>
  <c r="M276" i="23"/>
  <c r="M202" i="23"/>
  <c r="AJ37" i="23"/>
  <c r="AU108" i="23"/>
  <c r="Z126" i="23"/>
  <c r="BH243" i="23" s="1"/>
  <c r="BE241" i="23"/>
  <c r="M272" i="23"/>
  <c r="AU119" i="23"/>
  <c r="BH241" i="23"/>
  <c r="BH212" i="23"/>
  <c r="AJ36" i="23"/>
  <c r="M193" i="23"/>
  <c r="M258" i="23"/>
  <c r="M257" i="23"/>
  <c r="Z6" i="23"/>
  <c r="AU6" i="23" s="1"/>
  <c r="BH24" i="23"/>
  <c r="X27" i="23"/>
  <c r="BE139" i="23" s="1"/>
  <c r="X41" i="23"/>
  <c r="BE153" i="23" s="1"/>
  <c r="M220" i="23"/>
  <c r="AU228" i="23"/>
  <c r="BH209" i="23"/>
  <c r="M213" i="23"/>
  <c r="M30" i="23"/>
  <c r="X138" i="23"/>
  <c r="BE216" i="23" s="1"/>
  <c r="M364" i="23"/>
  <c r="X190" i="23"/>
  <c r="BE61" i="23" s="1"/>
  <c r="M160" i="23"/>
  <c r="AI7" i="23"/>
  <c r="Z211" i="23" s="1"/>
  <c r="AU211" i="23" s="1"/>
  <c r="BH25" i="23"/>
  <c r="Z113" i="23"/>
  <c r="BH101" i="23" s="1"/>
  <c r="X213" i="23"/>
  <c r="BE77" i="23" s="1"/>
  <c r="M615" i="23"/>
  <c r="M603" i="23"/>
  <c r="Z94" i="23"/>
  <c r="BE104" i="23"/>
  <c r="M190" i="23"/>
  <c r="Z98" i="23"/>
  <c r="BE105" i="23"/>
  <c r="M513" i="23"/>
  <c r="AI15" i="23"/>
  <c r="Z19" i="23"/>
  <c r="BE11" i="23"/>
  <c r="X76" i="23"/>
  <c r="BE193" i="23" s="1"/>
  <c r="M128" i="23"/>
  <c r="M647" i="23"/>
  <c r="M646" i="23"/>
  <c r="M118" i="23"/>
  <c r="X69" i="23"/>
  <c r="BE185" i="23" s="1"/>
  <c r="X164" i="23"/>
  <c r="BE48" i="23" s="1"/>
  <c r="M478" i="23"/>
  <c r="M471" i="23" s="1"/>
  <c r="X81" i="23"/>
  <c r="BE199" i="23" s="1"/>
  <c r="M39" i="23"/>
  <c r="X35" i="23"/>
  <c r="BE147" i="23" s="1"/>
  <c r="M148" i="23"/>
  <c r="M147" i="23"/>
  <c r="X154" i="23"/>
  <c r="BE228" i="23" s="1"/>
  <c r="M438" i="23"/>
  <c r="K27" i="23"/>
  <c r="X64" i="23"/>
  <c r="BE180" i="23" s="1"/>
  <c r="BH174" i="23"/>
  <c r="AU124" i="23"/>
  <c r="M12" i="23"/>
  <c r="X66" i="23"/>
  <c r="BE182" i="23" s="1"/>
  <c r="M151" i="23"/>
  <c r="X37" i="23"/>
  <c r="BE149" i="23" s="1"/>
  <c r="X67" i="23"/>
  <c r="BE183" i="23" s="1"/>
  <c r="X216" i="23"/>
  <c r="BE80" i="23" s="1"/>
  <c r="M711" i="23"/>
  <c r="M720" i="23"/>
  <c r="BE47" i="23"/>
  <c r="M668" i="23"/>
  <c r="X221" i="23"/>
  <c r="BE85" i="23" s="1"/>
  <c r="M526" i="23"/>
  <c r="X195" i="23"/>
  <c r="BE62" i="23" s="1"/>
  <c r="X217" i="23"/>
  <c r="X17" i="23"/>
  <c r="K437" i="23"/>
  <c r="X152" i="23"/>
  <c r="BE226" i="23" s="1"/>
  <c r="M9" i="23"/>
  <c r="M6" i="23"/>
  <c r="M23" i="23"/>
  <c r="M24" i="23"/>
  <c r="X61" i="23"/>
  <c r="BE208" i="23"/>
  <c r="Z99" i="23"/>
  <c r="X84" i="23"/>
  <c r="BE204" i="23" s="1"/>
  <c r="M36" i="23"/>
  <c r="Z8" i="23"/>
  <c r="BE31" i="23"/>
  <c r="Z15" i="23"/>
  <c r="AA15" i="23"/>
  <c r="BE10" i="23"/>
  <c r="Z111" i="23"/>
  <c r="AJ31" i="23" s="1"/>
  <c r="BE65" i="23"/>
  <c r="X222" i="23"/>
  <c r="BE86" i="23" s="1"/>
  <c r="K702" i="23"/>
  <c r="M685" i="23"/>
  <c r="M701" i="23"/>
  <c r="X70" i="23"/>
  <c r="BE186" i="23" s="1"/>
  <c r="X25" i="23"/>
  <c r="BE171" i="23"/>
  <c r="Z89" i="23"/>
  <c r="Z121" i="23"/>
  <c r="BE44" i="23"/>
  <c r="M7" i="23"/>
  <c r="M5" i="23"/>
  <c r="K434" i="23"/>
  <c r="X150" i="23"/>
  <c r="BE224" i="23" s="1"/>
  <c r="M428" i="23"/>
  <c r="X80" i="23"/>
  <c r="BE198" i="23" s="1"/>
  <c r="M109" i="23"/>
  <c r="BH95" i="23"/>
  <c r="BH96" i="23" s="1"/>
  <c r="AU104" i="23"/>
  <c r="X77" i="23"/>
  <c r="BE194" i="23" s="1"/>
  <c r="M99" i="23"/>
  <c r="M98" i="23"/>
  <c r="Z24" i="23"/>
  <c r="BE36" i="23"/>
  <c r="AI23" i="23"/>
  <c r="Z92" i="23"/>
  <c r="BE43" i="23"/>
  <c r="X20" i="23"/>
  <c r="M117" i="23"/>
  <c r="BE98" i="23"/>
  <c r="AI22" i="23"/>
  <c r="X234" i="23" l="1"/>
  <c r="BE3" i="23" s="1"/>
  <c r="BI3" i="23" s="1"/>
  <c r="BF43" i="23"/>
  <c r="AI17" i="23"/>
  <c r="AI8" i="23"/>
  <c r="BF30" i="23"/>
  <c r="AI20" i="23"/>
  <c r="AU126" i="23"/>
  <c r="AJ33" i="23"/>
  <c r="M212" i="23"/>
  <c r="BH30" i="23"/>
  <c r="Z208" i="23"/>
  <c r="BH72" i="23" s="1"/>
  <c r="Z204" i="23"/>
  <c r="BH68" i="23" s="1"/>
  <c r="Z158" i="23"/>
  <c r="BH232" i="23" s="1"/>
  <c r="Z210" i="23"/>
  <c r="BH74" i="23" s="1"/>
  <c r="Z176" i="23"/>
  <c r="BH54" i="23" s="1"/>
  <c r="Z181" i="23"/>
  <c r="AU181" i="23" s="1"/>
  <c r="Z194" i="23"/>
  <c r="AU194" i="23" s="1"/>
  <c r="Z203" i="23"/>
  <c r="AU203" i="23" s="1"/>
  <c r="Z212" i="23"/>
  <c r="BH76" i="23" s="1"/>
  <c r="Z157" i="23"/>
  <c r="BH231" i="23" s="1"/>
  <c r="AI46" i="23"/>
  <c r="Z209" i="23"/>
  <c r="AU209" i="23" s="1"/>
  <c r="Z183" i="23"/>
  <c r="BH122" i="23" s="1"/>
  <c r="Z193" i="23"/>
  <c r="BH128" i="23" s="1"/>
  <c r="Z192" i="23"/>
  <c r="AU192" i="23" s="1"/>
  <c r="Z115" i="23"/>
  <c r="AU115" i="23" s="1"/>
  <c r="Z159" i="23"/>
  <c r="BH233" i="23" s="1"/>
  <c r="Z180" i="23"/>
  <c r="AU180" i="23" s="1"/>
  <c r="Z182" i="23"/>
  <c r="BH121" i="23" s="1"/>
  <c r="AI9" i="23"/>
  <c r="Z184" i="23"/>
  <c r="AU184" i="23" s="1"/>
  <c r="Z177" i="23"/>
  <c r="BH55" i="23" s="1"/>
  <c r="Z179" i="23"/>
  <c r="AU179" i="23" s="1"/>
  <c r="Z178" i="23"/>
  <c r="AU178" i="23" s="1"/>
  <c r="Z207" i="23"/>
  <c r="BH71" i="23" s="1"/>
  <c r="Z205" i="23"/>
  <c r="BH69" i="23" s="1"/>
  <c r="Z202" i="23"/>
  <c r="Z206" i="23"/>
  <c r="AU206" i="23" s="1"/>
  <c r="AU113" i="23"/>
  <c r="Z201" i="23"/>
  <c r="AU201" i="23" s="1"/>
  <c r="BH104" i="23"/>
  <c r="AJ30" i="23"/>
  <c r="AU94" i="23"/>
  <c r="AU98" i="23"/>
  <c r="BH105" i="23"/>
  <c r="BH75" i="23"/>
  <c r="BH171" i="23"/>
  <c r="AU89" i="23"/>
  <c r="Z25" i="23"/>
  <c r="BE14" i="23"/>
  <c r="AI18" i="23"/>
  <c r="BH11" i="23"/>
  <c r="AU19" i="23"/>
  <c r="BE177" i="23"/>
  <c r="AI16" i="23"/>
  <c r="M397" i="23"/>
  <c r="BH65" i="23"/>
  <c r="AU111" i="23"/>
  <c r="BH10" i="23"/>
  <c r="AU15" i="23"/>
  <c r="AJ27" i="23"/>
  <c r="BH208" i="23"/>
  <c r="AU99" i="23"/>
  <c r="AJ29" i="23"/>
  <c r="Z20" i="23"/>
  <c r="AJ32" i="23" s="1"/>
  <c r="BE12" i="23"/>
  <c r="BH36" i="23"/>
  <c r="AU24" i="23"/>
  <c r="AJ23" i="23"/>
  <c r="BH44" i="23"/>
  <c r="AU121" i="23"/>
  <c r="BE27" i="23"/>
  <c r="BF27" i="23" s="1"/>
  <c r="Z17" i="23"/>
  <c r="AA94" i="23"/>
  <c r="AU92" i="23"/>
  <c r="AJ28" i="23"/>
  <c r="BH43" i="23"/>
  <c r="AI19" i="23"/>
  <c r="AU8" i="23"/>
  <c r="BH31" i="23"/>
  <c r="BE81" i="23"/>
  <c r="AI21" i="23"/>
  <c r="AI10" i="23" l="1"/>
  <c r="Y101" i="23" s="1"/>
  <c r="BG211" i="23" s="1"/>
  <c r="BH37" i="23"/>
  <c r="AU204" i="23"/>
  <c r="AU182" i="23"/>
  <c r="AU158" i="23"/>
  <c r="BH120" i="23"/>
  <c r="AU212" i="23"/>
  <c r="BH56" i="23"/>
  <c r="BI30" i="23"/>
  <c r="BH119" i="23"/>
  <c r="AU208" i="23"/>
  <c r="BH135" i="23"/>
  <c r="AA194" i="23"/>
  <c r="AU210" i="23"/>
  <c r="BH127" i="23"/>
  <c r="BH70" i="23"/>
  <c r="AU193" i="23"/>
  <c r="AU205" i="23"/>
  <c r="BH129" i="23"/>
  <c r="AU176" i="23"/>
  <c r="AU183" i="23"/>
  <c r="BH67" i="23"/>
  <c r="BH123" i="23"/>
  <c r="BH73" i="23"/>
  <c r="AU159" i="23"/>
  <c r="AU207" i="23"/>
  <c r="BH57" i="23"/>
  <c r="AU157" i="23"/>
  <c r="BH133" i="23"/>
  <c r="BH134" i="23"/>
  <c r="AU202" i="23"/>
  <c r="AU177" i="23"/>
  <c r="AJ35" i="23"/>
  <c r="BH27" i="23"/>
  <c r="AU17" i="23"/>
  <c r="BH14" i="23"/>
  <c r="AU25" i="23"/>
  <c r="AJ26" i="23"/>
  <c r="BH12" i="23"/>
  <c r="AU20" i="23"/>
  <c r="Y169" i="23"/>
  <c r="Z169" i="23" s="1"/>
  <c r="AU169" i="23" s="1"/>
  <c r="Y45" i="23" l="1"/>
  <c r="BG156" i="23" s="1"/>
  <c r="Y163" i="23"/>
  <c r="BG47" i="23" s="1"/>
  <c r="Y67" i="23"/>
  <c r="BG183" i="23" s="1"/>
  <c r="Y152" i="23"/>
  <c r="BG226" i="23" s="1"/>
  <c r="Y120" i="23"/>
  <c r="BG242" i="23" s="1"/>
  <c r="Y195" i="23"/>
  <c r="BG62" i="23" s="1"/>
  <c r="Y166" i="23"/>
  <c r="BG49" i="23" s="1"/>
  <c r="Y74" i="23"/>
  <c r="Z74" i="23" s="1"/>
  <c r="AU74" i="23" s="1"/>
  <c r="Y148" i="23"/>
  <c r="BG222" i="23" s="1"/>
  <c r="Y76" i="23"/>
  <c r="Z76" i="23" s="1"/>
  <c r="AU76" i="23" s="1"/>
  <c r="Y217" i="23"/>
  <c r="BG81" i="23" s="1"/>
  <c r="Y130" i="23"/>
  <c r="BG40" i="23" s="1"/>
  <c r="Y230" i="23"/>
  <c r="BG237" i="23" s="1"/>
  <c r="Y215" i="23"/>
  <c r="Z215" i="23" s="1"/>
  <c r="AU215" i="23" s="1"/>
  <c r="Y114" i="23"/>
  <c r="BG100" i="23" s="1"/>
  <c r="Y127" i="23"/>
  <c r="Z127" i="23" s="1"/>
  <c r="BH89" i="23" s="1"/>
  <c r="Y46" i="23"/>
  <c r="Z46" i="23" s="1"/>
  <c r="BH157" i="23" s="1"/>
  <c r="Y82" i="23"/>
  <c r="BG200" i="23" s="1"/>
  <c r="Y42" i="23"/>
  <c r="Z42" i="23" s="1"/>
  <c r="BH154" i="23" s="1"/>
  <c r="Y189" i="23"/>
  <c r="BG60" i="23" s="1"/>
  <c r="Y156" i="23"/>
  <c r="BG230" i="23" s="1"/>
  <c r="Y84" i="23"/>
  <c r="Z84" i="23" s="1"/>
  <c r="BH204" i="23" s="1"/>
  <c r="Y174" i="23"/>
  <c r="BG117" i="23" s="1"/>
  <c r="Y28" i="23"/>
  <c r="BG140" i="23" s="1"/>
  <c r="Y164" i="23"/>
  <c r="BG48" i="23" s="1"/>
  <c r="Y162" i="23"/>
  <c r="Z162" i="23" s="1"/>
  <c r="BH236" i="23" s="1"/>
  <c r="Y66" i="23"/>
  <c r="BG182" i="23" s="1"/>
  <c r="Y35" i="23"/>
  <c r="BG147" i="23" s="1"/>
  <c r="Y196" i="23"/>
  <c r="BG63" i="23" s="1"/>
  <c r="Y57" i="23"/>
  <c r="BG168" i="23" s="1"/>
  <c r="Y58" i="23"/>
  <c r="BG169" i="23" s="1"/>
  <c r="Y191" i="23"/>
  <c r="BG126" i="23" s="1"/>
  <c r="Y117" i="23"/>
  <c r="BG98" i="23" s="1"/>
  <c r="Y146" i="23"/>
  <c r="Z146" i="23" s="1"/>
  <c r="AU146" i="23" s="1"/>
  <c r="Y39" i="23"/>
  <c r="BG151" i="23" s="1"/>
  <c r="Y172" i="23"/>
  <c r="BG53" i="23" s="1"/>
  <c r="Y168" i="23"/>
  <c r="BG50" i="23" s="1"/>
  <c r="Y44" i="23"/>
  <c r="Z44" i="23" s="1"/>
  <c r="AU44" i="23" s="1"/>
  <c r="Y214" i="23"/>
  <c r="Z214" i="23" s="1"/>
  <c r="BH78" i="23" s="1"/>
  <c r="Y65" i="23"/>
  <c r="BG181" i="23" s="1"/>
  <c r="Y72" i="23"/>
  <c r="BG188" i="23" s="1"/>
  <c r="Y27" i="23"/>
  <c r="Z27" i="23" s="1"/>
  <c r="BH139" i="23" s="1"/>
  <c r="Y43" i="23"/>
  <c r="BG155" i="23" s="1"/>
  <c r="Y73" i="23"/>
  <c r="Z73" i="23" s="1"/>
  <c r="AU73" i="23" s="1"/>
  <c r="Y87" i="23"/>
  <c r="Z87" i="23" s="1"/>
  <c r="AU87" i="23" s="1"/>
  <c r="Y153" i="23"/>
  <c r="Z153" i="23" s="1"/>
  <c r="BH227" i="23" s="1"/>
  <c r="Y150" i="23"/>
  <c r="Z150" i="23" s="1"/>
  <c r="BH224" i="23" s="1"/>
  <c r="Y231" i="23"/>
  <c r="Z231" i="23" s="1"/>
  <c r="AU231" i="23" s="1"/>
  <c r="Y85" i="23"/>
  <c r="BG205" i="23" s="1"/>
  <c r="Y186" i="23"/>
  <c r="BG125" i="23" s="1"/>
  <c r="Y199" i="23"/>
  <c r="Z199" i="23" s="1"/>
  <c r="BH132" i="23" s="1"/>
  <c r="Y221" i="23"/>
  <c r="Z221" i="23" s="1"/>
  <c r="AU221" i="23" s="1"/>
  <c r="Y31" i="23"/>
  <c r="BG143" i="23" s="1"/>
  <c r="Y54" i="23"/>
  <c r="BG165" i="23" s="1"/>
  <c r="Y48" i="23"/>
  <c r="BG159" i="23" s="1"/>
  <c r="Y229" i="23"/>
  <c r="Z229" i="23" s="1"/>
  <c r="AU229" i="23" s="1"/>
  <c r="Y188" i="23"/>
  <c r="Z188" i="23" s="1"/>
  <c r="AU188" i="23" s="1"/>
  <c r="Y165" i="23"/>
  <c r="BG107" i="23" s="1"/>
  <c r="Y26" i="23"/>
  <c r="BG138" i="23" s="1"/>
  <c r="Y34" i="23"/>
  <c r="Z34" i="23" s="1"/>
  <c r="BH146" i="23" s="1"/>
  <c r="Y190" i="23"/>
  <c r="BG61" i="23" s="1"/>
  <c r="Y69" i="23"/>
  <c r="BG185" i="23" s="1"/>
  <c r="Y147" i="23"/>
  <c r="BG221" i="23" s="1"/>
  <c r="Y88" i="23"/>
  <c r="Z88" i="23" s="1"/>
  <c r="AU88" i="23" s="1"/>
  <c r="Y155" i="23"/>
  <c r="Z155" i="23" s="1"/>
  <c r="BH229" i="23" s="1"/>
  <c r="Y225" i="23"/>
  <c r="Z225" i="23" s="1"/>
  <c r="AU225" i="23" s="1"/>
  <c r="Y33" i="23"/>
  <c r="Z33" i="23" s="1"/>
  <c r="BH145" i="23" s="1"/>
  <c r="Y160" i="23"/>
  <c r="BG234" i="23" s="1"/>
  <c r="Y161" i="23"/>
  <c r="Z161" i="23" s="1"/>
  <c r="AU161" i="23" s="1"/>
  <c r="Y198" i="23"/>
  <c r="Z198" i="23" s="1"/>
  <c r="BH131" i="23" s="1"/>
  <c r="Z101" i="23"/>
  <c r="BH211" i="23" s="1"/>
  <c r="Y36" i="23"/>
  <c r="BG148" i="23" s="1"/>
  <c r="Y227" i="23"/>
  <c r="Z227" i="23" s="1"/>
  <c r="AU227" i="23" s="1"/>
  <c r="Y129" i="23"/>
  <c r="Z129" i="23" s="1"/>
  <c r="AU129" i="23" s="1"/>
  <c r="Y187" i="23"/>
  <c r="BG58" i="23" s="1"/>
  <c r="Y185" i="23"/>
  <c r="Z185" i="23" s="1"/>
  <c r="AU185" i="23" s="1"/>
  <c r="Y49" i="23"/>
  <c r="Z49" i="23" s="1"/>
  <c r="BH160" i="23" s="1"/>
  <c r="Y60" i="23"/>
  <c r="BG175" i="23" s="1"/>
  <c r="Y81" i="23"/>
  <c r="BG199" i="23" s="1"/>
  <c r="Y144" i="23"/>
  <c r="BG111" i="23" s="1"/>
  <c r="Y216" i="23"/>
  <c r="Z216" i="23" s="1"/>
  <c r="BH80" i="23" s="1"/>
  <c r="Y80" i="23"/>
  <c r="BG198" i="23" s="1"/>
  <c r="Y151" i="23"/>
  <c r="Z151" i="23" s="1"/>
  <c r="BH225" i="23" s="1"/>
  <c r="Y143" i="23"/>
  <c r="BG110" i="23" s="1"/>
  <c r="Y41" i="23"/>
  <c r="BG153" i="23" s="1"/>
  <c r="Y132" i="23"/>
  <c r="Z132" i="23" s="1"/>
  <c r="AU132" i="23" s="1"/>
  <c r="Y71" i="23"/>
  <c r="BG187" i="23" s="1"/>
  <c r="Y77" i="23"/>
  <c r="Z77" i="23" s="1"/>
  <c r="BH194" i="23" s="1"/>
  <c r="Y220" i="23"/>
  <c r="BG84" i="23" s="1"/>
  <c r="Y70" i="23"/>
  <c r="BG186" i="23" s="1"/>
  <c r="Y50" i="23"/>
  <c r="BG161" i="23" s="1"/>
  <c r="Y75" i="23"/>
  <c r="BG192" i="23" s="1"/>
  <c r="Y175" i="23"/>
  <c r="BG118" i="23" s="1"/>
  <c r="Y62" i="23"/>
  <c r="BG178" i="23" s="1"/>
  <c r="Y197" i="23"/>
  <c r="BG130" i="23" s="1"/>
  <c r="Y232" i="23"/>
  <c r="BG238" i="23" s="1"/>
  <c r="Y224" i="23"/>
  <c r="BG173" i="23" s="1"/>
  <c r="Y149" i="23"/>
  <c r="BG223" i="23" s="1"/>
  <c r="Y55" i="23"/>
  <c r="BG166" i="23" s="1"/>
  <c r="Y222" i="23"/>
  <c r="BG86" i="23" s="1"/>
  <c r="Y167" i="23"/>
  <c r="BG114" i="23" s="1"/>
  <c r="Y63" i="23"/>
  <c r="Z63" i="23" s="1"/>
  <c r="BH179" i="23" s="1"/>
  <c r="Y223" i="23"/>
  <c r="Z223" i="23" s="1"/>
  <c r="AU223" i="23" s="1"/>
  <c r="Y30" i="23"/>
  <c r="BG142" i="23" s="1"/>
  <c r="Y137" i="23"/>
  <c r="BG215" i="23" s="1"/>
  <c r="Y32" i="23"/>
  <c r="BG144" i="23" s="1"/>
  <c r="Y128" i="23"/>
  <c r="Z128" i="23" s="1"/>
  <c r="AU128" i="23" s="1"/>
  <c r="Y141" i="23"/>
  <c r="BG219" i="23" s="1"/>
  <c r="Y59" i="23"/>
  <c r="BG170" i="23" s="1"/>
  <c r="Y37" i="23"/>
  <c r="BG149" i="23" s="1"/>
  <c r="Y131" i="23"/>
  <c r="Z131" i="23" s="1"/>
  <c r="AU131" i="23" s="1"/>
  <c r="Y56" i="23"/>
  <c r="Z56" i="23" s="1"/>
  <c r="AU56" i="23" s="1"/>
  <c r="Y61" i="23"/>
  <c r="BG177" i="23" s="1"/>
  <c r="Y136" i="23"/>
  <c r="BG214" i="23" s="1"/>
  <c r="Y40" i="23"/>
  <c r="BG152" i="23" s="1"/>
  <c r="Y139" i="23"/>
  <c r="Z139" i="23" s="1"/>
  <c r="BH217" i="23" s="1"/>
  <c r="Y218" i="23"/>
  <c r="BG82" i="23" s="1"/>
  <c r="Y79" i="23"/>
  <c r="BG196" i="23" s="1"/>
  <c r="Y68" i="23"/>
  <c r="Z68" i="23" s="1"/>
  <c r="BH184" i="23" s="1"/>
  <c r="Y140" i="23"/>
  <c r="Z140" i="23" s="1"/>
  <c r="BH218" i="23" s="1"/>
  <c r="Y47" i="23"/>
  <c r="Z47" i="23" s="1"/>
  <c r="BH158" i="23" s="1"/>
  <c r="Y226" i="23"/>
  <c r="Z226" i="23" s="1"/>
  <c r="AU226" i="23" s="1"/>
  <c r="Y86" i="23"/>
  <c r="Z86" i="23" s="1"/>
  <c r="AU86" i="23" s="1"/>
  <c r="Y200" i="23"/>
  <c r="Z200" i="23" s="1"/>
  <c r="AU200" i="23" s="1"/>
  <c r="Y145" i="23"/>
  <c r="Z145" i="23" s="1"/>
  <c r="BH112" i="23" s="1"/>
  <c r="Y133" i="23"/>
  <c r="Z133" i="23" s="1"/>
  <c r="AU133" i="23" s="1"/>
  <c r="Y154" i="23"/>
  <c r="BG228" i="23" s="1"/>
  <c r="Y64" i="23"/>
  <c r="Z64" i="23" s="1"/>
  <c r="AU64" i="23" s="1"/>
  <c r="Y53" i="23"/>
  <c r="BG164" i="23" s="1"/>
  <c r="Y219" i="23"/>
  <c r="BG83" i="23" s="1"/>
  <c r="Y134" i="23"/>
  <c r="BG213" i="23" s="1"/>
  <c r="Y51" i="23"/>
  <c r="Z51" i="23" s="1"/>
  <c r="AU51" i="23" s="1"/>
  <c r="Y29" i="23"/>
  <c r="Z29" i="23" s="1"/>
  <c r="BH141" i="23" s="1"/>
  <c r="Y118" i="23"/>
  <c r="BG99" i="23" s="1"/>
  <c r="Y171" i="23"/>
  <c r="BG115" i="23" s="1"/>
  <c r="Y116" i="23"/>
  <c r="Z116" i="23" s="1"/>
  <c r="AU116" i="23" s="1"/>
  <c r="Y135" i="23"/>
  <c r="Z135" i="23" s="1"/>
  <c r="AU135" i="23" s="1"/>
  <c r="Y142" i="23"/>
  <c r="BG220" i="23" s="1"/>
  <c r="Y138" i="23"/>
  <c r="BG216" i="23" s="1"/>
  <c r="Y78" i="23"/>
  <c r="BG195" i="23" s="1"/>
  <c r="Y173" i="23"/>
  <c r="BG116" i="23" s="1"/>
  <c r="Y38" i="23"/>
  <c r="BG150" i="23" s="1"/>
  <c r="Y52" i="23"/>
  <c r="BG163" i="23" s="1"/>
  <c r="Y233" i="23"/>
  <c r="Z233" i="23" s="1"/>
  <c r="AU233" i="23" s="1"/>
  <c r="Y83" i="23"/>
  <c r="Z83" i="23" s="1"/>
  <c r="AU83" i="23" s="1"/>
  <c r="Y213" i="23"/>
  <c r="Z213" i="23" s="1"/>
  <c r="BH77" i="23" s="1"/>
  <c r="BG194" i="23"/>
  <c r="Z35" i="23"/>
  <c r="AU35" i="23" s="1"/>
  <c r="Z195" i="23"/>
  <c r="AU195" i="23" s="1"/>
  <c r="BG51" i="23"/>
  <c r="Z152" i="23"/>
  <c r="BH226" i="23" s="1"/>
  <c r="Z43" i="23"/>
  <c r="AU43" i="23" s="1"/>
  <c r="BH51" i="23"/>
  <c r="Z230" i="23"/>
  <c r="AU230" i="23" s="1"/>
  <c r="BG139" i="23"/>
  <c r="BH29" i="23"/>
  <c r="BI27" i="23"/>
  <c r="Z45" i="23"/>
  <c r="BH156" i="23" s="1"/>
  <c r="Z71" i="23"/>
  <c r="BH187" i="23" s="1"/>
  <c r="BH85" i="23"/>
  <c r="Z171" i="23"/>
  <c r="AU171" i="23" s="1"/>
  <c r="BH97" i="23"/>
  <c r="BH124" i="23"/>
  <c r="Z163" i="23"/>
  <c r="AU163" i="23" s="1"/>
  <c r="Z61" i="23"/>
  <c r="AU61" i="23" s="1"/>
  <c r="Z67" i="23"/>
  <c r="BH183" i="23" s="1"/>
  <c r="Z234" i="23"/>
  <c r="Y256" i="23" s="1"/>
  <c r="Z256" i="23" s="1"/>
  <c r="AA114" i="23"/>
  <c r="Z70" i="23" l="1"/>
  <c r="BH186" i="23" s="1"/>
  <c r="BG179" i="23"/>
  <c r="Z75" i="23"/>
  <c r="BH192" i="23" s="1"/>
  <c r="Z166" i="23"/>
  <c r="AU166" i="23" s="1"/>
  <c r="BG172" i="23"/>
  <c r="Z72" i="23"/>
  <c r="BH188" i="23" s="1"/>
  <c r="Z220" i="23"/>
  <c r="AU220" i="23" s="1"/>
  <c r="BG190" i="23"/>
  <c r="AU77" i="23"/>
  <c r="BH190" i="23"/>
  <c r="BG59" i="23"/>
  <c r="Z120" i="23"/>
  <c r="AU120" i="23" s="1"/>
  <c r="BH193" i="23"/>
  <c r="Z174" i="23"/>
  <c r="BH117" i="23" s="1"/>
  <c r="Z175" i="23"/>
  <c r="AU175" i="23" s="1"/>
  <c r="AA133" i="23"/>
  <c r="Z48" i="23"/>
  <c r="AU48" i="23" s="1"/>
  <c r="Z130" i="23"/>
  <c r="AU130" i="23" s="1"/>
  <c r="AU84" i="23"/>
  <c r="Z78" i="23"/>
  <c r="BH195" i="23" s="1"/>
  <c r="BG227" i="23"/>
  <c r="BG184" i="23"/>
  <c r="BG193" i="23"/>
  <c r="Z79" i="23"/>
  <c r="BH196" i="23" s="1"/>
  <c r="BH172" i="23"/>
  <c r="AJ24" i="23"/>
  <c r="AU198" i="23"/>
  <c r="BG146" i="23"/>
  <c r="BG224" i="23"/>
  <c r="BG158" i="23"/>
  <c r="BG97" i="23"/>
  <c r="Z30" i="23"/>
  <c r="BH142" i="23" s="1"/>
  <c r="Z36" i="23"/>
  <c r="BH148" i="23" s="1"/>
  <c r="AU47" i="23"/>
  <c r="BH189" i="23"/>
  <c r="BH59" i="23"/>
  <c r="Z65" i="23"/>
  <c r="BH181" i="23" s="1"/>
  <c r="BG131" i="23"/>
  <c r="Z66" i="23"/>
  <c r="BH182" i="23" s="1"/>
  <c r="Z217" i="23"/>
  <c r="AU217" i="23" s="1"/>
  <c r="Z54" i="23"/>
  <c r="AA54" i="23" s="1"/>
  <c r="Z118" i="23"/>
  <c r="BH99" i="23" s="1"/>
  <c r="AU162" i="23"/>
  <c r="BG204" i="23"/>
  <c r="BG189" i="23"/>
  <c r="AU140" i="23"/>
  <c r="AU63" i="23"/>
  <c r="AU42" i="23"/>
  <c r="BG154" i="23"/>
  <c r="Z224" i="23"/>
  <c r="AU224" i="23" s="1"/>
  <c r="Z38" i="23"/>
  <c r="BH150" i="23" s="1"/>
  <c r="Z148" i="23"/>
  <c r="BH222" i="23" s="1"/>
  <c r="BH79" i="23"/>
  <c r="Z137" i="23"/>
  <c r="AU137" i="23" s="1"/>
  <c r="Z164" i="23"/>
  <c r="AU164" i="23" s="1"/>
  <c r="AU68" i="23"/>
  <c r="AU101" i="23"/>
  <c r="Z138" i="23"/>
  <c r="BH216" i="23" s="1"/>
  <c r="AU214" i="23"/>
  <c r="AU150" i="23"/>
  <c r="Z186" i="23"/>
  <c r="BH125" i="23" s="1"/>
  <c r="AU46" i="23"/>
  <c r="BH113" i="23"/>
  <c r="AU34" i="23"/>
  <c r="BH41" i="23"/>
  <c r="AU213" i="23"/>
  <c r="Z39" i="23"/>
  <c r="BH151" i="23" s="1"/>
  <c r="Z82" i="23"/>
  <c r="AA83" i="23" s="1"/>
  <c r="Z52" i="23"/>
  <c r="AA53" i="23" s="1"/>
  <c r="BG160" i="23"/>
  <c r="Z81" i="23"/>
  <c r="BH199" i="23" s="1"/>
  <c r="Z40" i="23"/>
  <c r="BH152" i="23" s="1"/>
  <c r="BG229" i="23"/>
  <c r="Z59" i="23"/>
  <c r="BH170" i="23" s="1"/>
  <c r="Z172" i="23"/>
  <c r="AU172" i="23" s="1"/>
  <c r="BH235" i="23"/>
  <c r="Z156" i="23"/>
  <c r="AU156" i="23" s="1"/>
  <c r="Z168" i="23"/>
  <c r="BH50" i="23" s="1"/>
  <c r="AU145" i="23"/>
  <c r="Z143" i="23"/>
  <c r="BH110" i="23" s="1"/>
  <c r="Z173" i="23"/>
  <c r="AU173" i="23" s="1"/>
  <c r="Z196" i="23"/>
  <c r="BH63" i="23" s="1"/>
  <c r="BG145" i="23"/>
  <c r="BG236" i="23"/>
  <c r="Z80" i="23"/>
  <c r="AU80" i="23" s="1"/>
  <c r="BG141" i="23"/>
  <c r="BG225" i="23"/>
  <c r="BG162" i="23"/>
  <c r="Z60" i="23"/>
  <c r="BH175" i="23" s="1"/>
  <c r="BG124" i="23"/>
  <c r="BH203" i="23"/>
  <c r="Z141" i="23"/>
  <c r="BH219" i="23" s="1"/>
  <c r="Z189" i="23"/>
  <c r="AU189" i="23" s="1"/>
  <c r="BG235" i="23"/>
  <c r="AA50" i="23"/>
  <c r="BG113" i="23"/>
  <c r="AU33" i="23"/>
  <c r="Z31" i="23"/>
  <c r="BH143" i="23" s="1"/>
  <c r="BG203" i="23"/>
  <c r="Z149" i="23"/>
  <c r="AU149" i="23" s="1"/>
  <c r="Z165" i="23"/>
  <c r="BH107" i="23" s="1"/>
  <c r="AU216" i="23"/>
  <c r="Z187" i="23"/>
  <c r="AU187" i="23" s="1"/>
  <c r="BG218" i="23"/>
  <c r="Z32" i="23"/>
  <c r="AU32" i="23" s="1"/>
  <c r="Z28" i="23"/>
  <c r="BH140" i="23" s="1"/>
  <c r="BH167" i="23"/>
  <c r="Y234" i="23"/>
  <c r="AU153" i="23"/>
  <c r="Z62" i="23"/>
  <c r="BH178" i="23" s="1"/>
  <c r="Z154" i="23"/>
  <c r="AJ38" i="23"/>
  <c r="AJ43" i="23" s="1"/>
  <c r="Z232" i="23"/>
  <c r="BH238" i="23" s="1"/>
  <c r="Z26" i="23"/>
  <c r="AU26" i="23" s="1"/>
  <c r="BG132" i="23"/>
  <c r="Z167" i="23"/>
  <c r="BH114" i="23" s="1"/>
  <c r="AU139" i="23"/>
  <c r="Z219" i="23"/>
  <c r="BH83" i="23" s="1"/>
  <c r="BG180" i="23"/>
  <c r="Z147" i="23"/>
  <c r="BH221" i="23" s="1"/>
  <c r="Z50" i="23"/>
  <c r="BH161" i="23" s="1"/>
  <c r="BG89" i="23"/>
  <c r="Z134" i="23"/>
  <c r="BH213" i="23" s="1"/>
  <c r="Z191" i="23"/>
  <c r="BH126" i="23" s="1"/>
  <c r="Z37" i="23"/>
  <c r="BH149" i="23" s="1"/>
  <c r="Z69" i="23"/>
  <c r="AU69" i="23" s="1"/>
  <c r="BH162" i="23"/>
  <c r="Z222" i="23"/>
  <c r="AU222" i="23" s="1"/>
  <c r="Z114" i="23"/>
  <c r="BH100" i="23" s="1"/>
  <c r="Z58" i="23"/>
  <c r="BH169" i="23" s="1"/>
  <c r="BG41" i="23"/>
  <c r="BH39" i="23"/>
  <c r="BG167" i="23"/>
  <c r="Z53" i="23"/>
  <c r="BH164" i="23" s="1"/>
  <c r="AU127" i="23"/>
  <c r="AU49" i="23"/>
  <c r="Z144" i="23"/>
  <c r="BH111" i="23" s="1"/>
  <c r="BG85" i="23"/>
  <c r="Z57" i="23"/>
  <c r="AU57" i="23" s="1"/>
  <c r="BG217" i="23"/>
  <c r="Z117" i="23"/>
  <c r="AU117" i="23" s="1"/>
  <c r="Z85" i="23"/>
  <c r="AU85" i="23" s="1"/>
  <c r="BG157" i="23"/>
  <c r="Z160" i="23"/>
  <c r="BH234" i="23" s="1"/>
  <c r="AU155" i="23"/>
  <c r="Z136" i="23"/>
  <c r="BH214" i="23" s="1"/>
  <c r="AU27" i="23"/>
  <c r="Z41" i="23"/>
  <c r="BH153" i="23" s="1"/>
  <c r="BG112" i="23"/>
  <c r="Z55" i="23"/>
  <c r="AU55" i="23" s="1"/>
  <c r="BG39" i="23"/>
  <c r="AU151" i="23"/>
  <c r="AU29" i="23"/>
  <c r="Z218" i="23"/>
  <c r="AU218" i="23" s="1"/>
  <c r="BH180" i="23"/>
  <c r="Z197" i="23"/>
  <c r="AU197" i="23" s="1"/>
  <c r="Z142" i="23"/>
  <c r="BH220" i="23" s="1"/>
  <c r="Z190" i="23"/>
  <c r="BH61" i="23" s="1"/>
  <c r="AU199" i="23"/>
  <c r="AA120" i="23"/>
  <c r="AA59" i="23"/>
  <c r="AA45" i="23"/>
  <c r="AU70" i="23"/>
  <c r="BH49" i="23"/>
  <c r="BH147" i="23"/>
  <c r="AA203" i="23"/>
  <c r="BH40" i="23"/>
  <c r="BI38" i="23" s="1"/>
  <c r="AU30" i="23"/>
  <c r="AU152" i="23"/>
  <c r="AU118" i="23"/>
  <c r="BH62" i="23"/>
  <c r="BH47" i="23"/>
  <c r="BH155" i="23"/>
  <c r="BH118" i="23"/>
  <c r="BH237" i="23"/>
  <c r="BH84" i="23"/>
  <c r="AU75" i="23"/>
  <c r="BH115" i="23"/>
  <c r="AU71" i="23"/>
  <c r="AA73" i="23"/>
  <c r="AU67" i="23"/>
  <c r="BH159" i="23"/>
  <c r="AU45" i="23"/>
  <c r="Z317" i="23"/>
  <c r="BH177" i="23"/>
  <c r="AU310" i="23"/>
  <c r="AU236" i="23"/>
  <c r="AU244" i="23" s="1"/>
  <c r="Y255" i="23"/>
  <c r="AB105" i="23" s="1"/>
  <c r="AO105" i="23" s="1"/>
  <c r="AA234" i="23"/>
  <c r="BH116" i="23" l="1"/>
  <c r="AU143" i="23"/>
  <c r="BH242" i="23"/>
  <c r="BH244" i="23" s="1"/>
  <c r="AJ34" i="23"/>
  <c r="AK37" i="23" s="1"/>
  <c r="AJ42" i="23" s="1"/>
  <c r="AU72" i="23"/>
  <c r="AU174" i="23"/>
  <c r="AU168" i="23"/>
  <c r="AU39" i="23"/>
  <c r="AU196" i="23"/>
  <c r="AA162" i="23"/>
  <c r="AU65" i="23"/>
  <c r="BH205" i="23"/>
  <c r="AU78" i="23"/>
  <c r="AU79" i="23"/>
  <c r="AU232" i="23"/>
  <c r="BH173" i="23"/>
  <c r="AU148" i="23"/>
  <c r="BH53" i="23"/>
  <c r="AU52" i="23"/>
  <c r="BH165" i="23"/>
  <c r="AU31" i="23"/>
  <c r="BH48" i="23"/>
  <c r="AU66" i="23"/>
  <c r="AU54" i="23"/>
  <c r="AU36" i="23"/>
  <c r="BH81" i="23"/>
  <c r="AA31" i="23"/>
  <c r="AU138" i="23"/>
  <c r="AU62" i="23"/>
  <c r="AJ22" i="23"/>
  <c r="AU37" i="23"/>
  <c r="BH130" i="23"/>
  <c r="BH230" i="23"/>
  <c r="BH60" i="23"/>
  <c r="AU190" i="23"/>
  <c r="BH185" i="23"/>
  <c r="AU186" i="23"/>
  <c r="BH215" i="23"/>
  <c r="BH98" i="23"/>
  <c r="BH103" i="23" s="1"/>
  <c r="AU38" i="23"/>
  <c r="AU58" i="23"/>
  <c r="BH200" i="23"/>
  <c r="AU141" i="23"/>
  <c r="AA64" i="23"/>
  <c r="AU134" i="23"/>
  <c r="AU53" i="23"/>
  <c r="BH163" i="23"/>
  <c r="AU59" i="23"/>
  <c r="AU81" i="23"/>
  <c r="AU82" i="23"/>
  <c r="AU40" i="23"/>
  <c r="AU167" i="23"/>
  <c r="AA156" i="23"/>
  <c r="BH168" i="23"/>
  <c r="AU142" i="23"/>
  <c r="BH144" i="23"/>
  <c r="AA49" i="23"/>
  <c r="AA58" i="23"/>
  <c r="AA43" i="23"/>
  <c r="BH82" i="23"/>
  <c r="BH88" i="23" s="1"/>
  <c r="AA32" i="23"/>
  <c r="AA33" i="23"/>
  <c r="AU28" i="23"/>
  <c r="AA60" i="23"/>
  <c r="AA34" i="23"/>
  <c r="AJ18" i="23"/>
  <c r="AA81" i="23"/>
  <c r="AU165" i="23"/>
  <c r="AJ21" i="23"/>
  <c r="AU147" i="23"/>
  <c r="BH223" i="23"/>
  <c r="BH239" i="23" s="1"/>
  <c r="AA191" i="23"/>
  <c r="AU41" i="23"/>
  <c r="AA175" i="23"/>
  <c r="AA28" i="23"/>
  <c r="AA137" i="23"/>
  <c r="AU60" i="23"/>
  <c r="AA42" i="23"/>
  <c r="AJ16" i="23"/>
  <c r="BH58" i="23"/>
  <c r="BI43" i="23" s="1"/>
  <c r="AA46" i="23"/>
  <c r="BH198" i="23"/>
  <c r="AU191" i="23"/>
  <c r="AA57" i="23"/>
  <c r="AA48" i="23"/>
  <c r="AJ19" i="23"/>
  <c r="AA82" i="23"/>
  <c r="AU219" i="23"/>
  <c r="AU136" i="23"/>
  <c r="BH138" i="23"/>
  <c r="AU154" i="23"/>
  <c r="AU114" i="23"/>
  <c r="AU144" i="23"/>
  <c r="BH86" i="23"/>
  <c r="AU160" i="23"/>
  <c r="AJ17" i="23"/>
  <c r="AA56" i="23"/>
  <c r="AJ20" i="23"/>
  <c r="AA152" i="23"/>
  <c r="BH228" i="23"/>
  <c r="BH166" i="23"/>
  <c r="AA78" i="23"/>
  <c r="AU50" i="23"/>
  <c r="AW5" i="23" s="1"/>
  <c r="BH137" i="23"/>
  <c r="BH206" i="23"/>
  <c r="BH64" i="23"/>
  <c r="BH42" i="23"/>
  <c r="Z255" i="23"/>
  <c r="AB170" i="23"/>
  <c r="AO170" i="23" s="1"/>
  <c r="AB106" i="23"/>
  <c r="AO106" i="23" s="1"/>
  <c r="AB139" i="23"/>
  <c r="AO139" i="23" s="1"/>
  <c r="AB144" i="23"/>
  <c r="AO144" i="23" s="1"/>
  <c r="AB35" i="23"/>
  <c r="AO35" i="23" s="1"/>
  <c r="AB165" i="23"/>
  <c r="AO165" i="23" s="1"/>
  <c r="AB40" i="23"/>
  <c r="AO40" i="23" s="1"/>
  <c r="AB61" i="23"/>
  <c r="AO61" i="23" s="1"/>
  <c r="AB172" i="23"/>
  <c r="AO172" i="23" s="1"/>
  <c r="AB101" i="23"/>
  <c r="AO101" i="23" s="1"/>
  <c r="AB220" i="23"/>
  <c r="AO220" i="23" s="1"/>
  <c r="AB169" i="23"/>
  <c r="AO169" i="23" s="1"/>
  <c r="AB128" i="23"/>
  <c r="AO128" i="23" s="1"/>
  <c r="AB225" i="23"/>
  <c r="AO225" i="23" s="1"/>
  <c r="AB74" i="23"/>
  <c r="AO74" i="23" s="1"/>
  <c r="AB199" i="23"/>
  <c r="AO199" i="23" s="1"/>
  <c r="AB171" i="23"/>
  <c r="AO171" i="23" s="1"/>
  <c r="AB188" i="23"/>
  <c r="AO188" i="23" s="1"/>
  <c r="AB6" i="23"/>
  <c r="AO6" i="23" s="1"/>
  <c r="AB99" i="23"/>
  <c r="AO99" i="23" s="1"/>
  <c r="AB133" i="23"/>
  <c r="AO133" i="23" s="1"/>
  <c r="AB44" i="23"/>
  <c r="AO44" i="23" s="1"/>
  <c r="AB174" i="23"/>
  <c r="AO174" i="23" s="1"/>
  <c r="AB216" i="23"/>
  <c r="AO216" i="23" s="1"/>
  <c r="AB215" i="23"/>
  <c r="AO215" i="23" s="1"/>
  <c r="AB51" i="23"/>
  <c r="AO51" i="23" s="1"/>
  <c r="AB178" i="23"/>
  <c r="AO178" i="23" s="1"/>
  <c r="AB71" i="23"/>
  <c r="AO71" i="23" s="1"/>
  <c r="AB136" i="23"/>
  <c r="AO136" i="23" s="1"/>
  <c r="AB228" i="23"/>
  <c r="AO228" i="23" s="1"/>
  <c r="AB56" i="23"/>
  <c r="AO56" i="23" s="1"/>
  <c r="AB92" i="23"/>
  <c r="AO92" i="23" s="1"/>
  <c r="AB154" i="23"/>
  <c r="AO154" i="23" s="1"/>
  <c r="AB126" i="23"/>
  <c r="AO126" i="23" s="1"/>
  <c r="AB129" i="23"/>
  <c r="AO129" i="23" s="1"/>
  <c r="AB146" i="23"/>
  <c r="AO146" i="23" s="1"/>
  <c r="AB20" i="23"/>
  <c r="AO20" i="23" s="1"/>
  <c r="AB166" i="23"/>
  <c r="AO166" i="23" s="1"/>
  <c r="AB229" i="23"/>
  <c r="AO229" i="23" s="1"/>
  <c r="AB14" i="23"/>
  <c r="AO14" i="23" s="1"/>
  <c r="AB162" i="23"/>
  <c r="AO162" i="23" s="1"/>
  <c r="AB25" i="23"/>
  <c r="AO25" i="23" s="1"/>
  <c r="AB173" i="23"/>
  <c r="AO173" i="23" s="1"/>
  <c r="AB31" i="23"/>
  <c r="AO31" i="23" s="1"/>
  <c r="AB72" i="23"/>
  <c r="AO72" i="23" s="1"/>
  <c r="AB211" i="23"/>
  <c r="AO211" i="23" s="1"/>
  <c r="AB124" i="23"/>
  <c r="AO124" i="23" s="1"/>
  <c r="AB53" i="23"/>
  <c r="AO53" i="23" s="1"/>
  <c r="AB159" i="23"/>
  <c r="AO159" i="23" s="1"/>
  <c r="AB222" i="23"/>
  <c r="AO222" i="23" s="1"/>
  <c r="AB69" i="23"/>
  <c r="AO69" i="23" s="1"/>
  <c r="AB60" i="23"/>
  <c r="AO60" i="23" s="1"/>
  <c r="AB115" i="23"/>
  <c r="AO115" i="23" s="1"/>
  <c r="AB46" i="23"/>
  <c r="AO46" i="23" s="1"/>
  <c r="AB81" i="23"/>
  <c r="AO81" i="23" s="1"/>
  <c r="AB163" i="23"/>
  <c r="AO163" i="23" s="1"/>
  <c r="AB183" i="23"/>
  <c r="AO183" i="23" s="1"/>
  <c r="AB95" i="23"/>
  <c r="AO95" i="23" s="1"/>
  <c r="AB91" i="23"/>
  <c r="AO91" i="23" s="1"/>
  <c r="AB189" i="23"/>
  <c r="AO189" i="23" s="1"/>
  <c r="AB57" i="23"/>
  <c r="AO57" i="23" s="1"/>
  <c r="AB49" i="23"/>
  <c r="AO49" i="23" s="1"/>
  <c r="AB140" i="23"/>
  <c r="AO140" i="23" s="1"/>
  <c r="AB34" i="23"/>
  <c r="AO34" i="23" s="1"/>
  <c r="AB179" i="23"/>
  <c r="AO179" i="23" s="1"/>
  <c r="AB197" i="23"/>
  <c r="AO197" i="23" s="1"/>
  <c r="AB33" i="23"/>
  <c r="AO33" i="23" s="1"/>
  <c r="AB108" i="23"/>
  <c r="AO108" i="23" s="1"/>
  <c r="AB90" i="23"/>
  <c r="AB26" i="23"/>
  <c r="AO26" i="23" s="1"/>
  <c r="AB118" i="23"/>
  <c r="AO118" i="23" s="1"/>
  <c r="AB9" i="23"/>
  <c r="AO9" i="23" s="1"/>
  <c r="AB41" i="23"/>
  <c r="AO41" i="23" s="1"/>
  <c r="AB168" i="23"/>
  <c r="AO168" i="23" s="1"/>
  <c r="AB52" i="23"/>
  <c r="AO52" i="23" s="1"/>
  <c r="AB180" i="23"/>
  <c r="AO180" i="23" s="1"/>
  <c r="AB112" i="23"/>
  <c r="AO112" i="23" s="1"/>
  <c r="AB152" i="23"/>
  <c r="AO152" i="23" s="1"/>
  <c r="AB116" i="23"/>
  <c r="AO116" i="23" s="1"/>
  <c r="AB187" i="23"/>
  <c r="AO187" i="23" s="1"/>
  <c r="AB207" i="23"/>
  <c r="AO207" i="23" s="1"/>
  <c r="AB103" i="23"/>
  <c r="AO103" i="23" s="1"/>
  <c r="AB59" i="23"/>
  <c r="AO59" i="23" s="1"/>
  <c r="AB7" i="23"/>
  <c r="AO7" i="23" s="1"/>
  <c r="AB89" i="23"/>
  <c r="AO89" i="23" s="1"/>
  <c r="AB224" i="23"/>
  <c r="AO224" i="23" s="1"/>
  <c r="AB24" i="23"/>
  <c r="AO24" i="23" s="1"/>
  <c r="AB29" i="23"/>
  <c r="AO29" i="23" s="1"/>
  <c r="AB86" i="23"/>
  <c r="AO86" i="23" s="1"/>
  <c r="AB198" i="23"/>
  <c r="AO198" i="23" s="1"/>
  <c r="AB100" i="23"/>
  <c r="AO100" i="23" s="1"/>
  <c r="AB155" i="23"/>
  <c r="AO155" i="23" s="1"/>
  <c r="AB219" i="23"/>
  <c r="AO219" i="23" s="1"/>
  <c r="AB192" i="23"/>
  <c r="AO192" i="23" s="1"/>
  <c r="AB104" i="23"/>
  <c r="AO104" i="23" s="1"/>
  <c r="AB130" i="23"/>
  <c r="AO130" i="23" s="1"/>
  <c r="AB209" i="23"/>
  <c r="AO209" i="23" s="1"/>
  <c r="AB76" i="23"/>
  <c r="AO76" i="23" s="1"/>
  <c r="AB110" i="23"/>
  <c r="AO110" i="23" s="1"/>
  <c r="AB12" i="23"/>
  <c r="AO12" i="23" s="1"/>
  <c r="AB190" i="23"/>
  <c r="AO190" i="23" s="1"/>
  <c r="AB30" i="23"/>
  <c r="AO30" i="23" s="1"/>
  <c r="AB201" i="23"/>
  <c r="AO201" i="23" s="1"/>
  <c r="AB230" i="23"/>
  <c r="AO230" i="23" s="1"/>
  <c r="AB75" i="23"/>
  <c r="AO75" i="23" s="1"/>
  <c r="AB167" i="23"/>
  <c r="AO167" i="23" s="1"/>
  <c r="AB150" i="23"/>
  <c r="AO150" i="23" s="1"/>
  <c r="AB227" i="23"/>
  <c r="AO227" i="23" s="1"/>
  <c r="AB181" i="23"/>
  <c r="AO181" i="23" s="1"/>
  <c r="AB182" i="23"/>
  <c r="AO182" i="23" s="1"/>
  <c r="AB111" i="23"/>
  <c r="AO111" i="23" s="1"/>
  <c r="AB195" i="23"/>
  <c r="AO195" i="23" s="1"/>
  <c r="AB153" i="23"/>
  <c r="AO153" i="23" s="1"/>
  <c r="AB156" i="23"/>
  <c r="AO156" i="23" s="1"/>
  <c r="AB85" i="23"/>
  <c r="AO85" i="23" s="1"/>
  <c r="AB120" i="23"/>
  <c r="AO120" i="23" s="1"/>
  <c r="AB82" i="23"/>
  <c r="AO82" i="23" s="1"/>
  <c r="AB87" i="23"/>
  <c r="AO87" i="23" s="1"/>
  <c r="AB208" i="23"/>
  <c r="AO208" i="23" s="1"/>
  <c r="AB176" i="23"/>
  <c r="AO176" i="23" s="1"/>
  <c r="AB123" i="23"/>
  <c r="AO123" i="23" s="1"/>
  <c r="AB143" i="23"/>
  <c r="AO143" i="23" s="1"/>
  <c r="AB151" i="23"/>
  <c r="AO151" i="23" s="1"/>
  <c r="AB50" i="23"/>
  <c r="AO50" i="23" s="1"/>
  <c r="AB38" i="23"/>
  <c r="AO38" i="23" s="1"/>
  <c r="AB148" i="23"/>
  <c r="AO148" i="23" s="1"/>
  <c r="AB145" i="23"/>
  <c r="AO145" i="23" s="1"/>
  <c r="AB214" i="23"/>
  <c r="AO214" i="23" s="1"/>
  <c r="AB210" i="23"/>
  <c r="AO210" i="23" s="1"/>
  <c r="AB125" i="23"/>
  <c r="AO125" i="23" s="1"/>
  <c r="AB19" i="23"/>
  <c r="AO19" i="23" s="1"/>
  <c r="AB48" i="23"/>
  <c r="AO48" i="23" s="1"/>
  <c r="AB114" i="23"/>
  <c r="AO114" i="23" s="1"/>
  <c r="AB78" i="23"/>
  <c r="AO78" i="23" s="1"/>
  <c r="AB117" i="23"/>
  <c r="AO117" i="23" s="1"/>
  <c r="AB32" i="23"/>
  <c r="AO32" i="23" s="1"/>
  <c r="AB213" i="23"/>
  <c r="AO213" i="23" s="1"/>
  <c r="AB193" i="23"/>
  <c r="AO193" i="23" s="1"/>
  <c r="AB8" i="23"/>
  <c r="AO8" i="23" s="1"/>
  <c r="AB96" i="23"/>
  <c r="AO96" i="23" s="1"/>
  <c r="AB107" i="23"/>
  <c r="AO107" i="23" s="1"/>
  <c r="AB217" i="23"/>
  <c r="AO217" i="23" s="1"/>
  <c r="AB186" i="23"/>
  <c r="AO186" i="23" s="1"/>
  <c r="AB10" i="23"/>
  <c r="AO10" i="23" s="1"/>
  <c r="AB73" i="23"/>
  <c r="AO73" i="23" s="1"/>
  <c r="AB185" i="23"/>
  <c r="AB233" i="23"/>
  <c r="AB184" i="23"/>
  <c r="AO184" i="23" s="1"/>
  <c r="AB204" i="23"/>
  <c r="AO204" i="23" s="1"/>
  <c r="AB66" i="23"/>
  <c r="AO66" i="23" s="1"/>
  <c r="AB127" i="23"/>
  <c r="AO127" i="23" s="1"/>
  <c r="AB191" i="23"/>
  <c r="AO191" i="23" s="1"/>
  <c r="AB196" i="23"/>
  <c r="AO196" i="23" s="1"/>
  <c r="AB200" i="23"/>
  <c r="AO200" i="23" s="1"/>
  <c r="AB94" i="23"/>
  <c r="AO94" i="23" s="1"/>
  <c r="AB15" i="23"/>
  <c r="AO15" i="23" s="1"/>
  <c r="AB11" i="23"/>
  <c r="AO11" i="23" s="1"/>
  <c r="AB55" i="23"/>
  <c r="AO55" i="23" s="1"/>
  <c r="AB137" i="23"/>
  <c r="AO137" i="23" s="1"/>
  <c r="AB18" i="23"/>
  <c r="AO18" i="23" s="1"/>
  <c r="AB42" i="23"/>
  <c r="AO42" i="23" s="1"/>
  <c r="AB63" i="23"/>
  <c r="AO63" i="23" s="1"/>
  <c r="AB83" i="23"/>
  <c r="AO83" i="23" s="1"/>
  <c r="AB175" i="23"/>
  <c r="AO175" i="23" s="1"/>
  <c r="AB147" i="23"/>
  <c r="AO147" i="23" s="1"/>
  <c r="AB131" i="23"/>
  <c r="AO131" i="23" s="1"/>
  <c r="AB84" i="23"/>
  <c r="AO84" i="23" s="1"/>
  <c r="AB226" i="23"/>
  <c r="AO226" i="23" s="1"/>
  <c r="AB157" i="23"/>
  <c r="AO157" i="23" s="1"/>
  <c r="AB98" i="23"/>
  <c r="AO98" i="23" s="1"/>
  <c r="AB121" i="23"/>
  <c r="AO121" i="23" s="1"/>
  <c r="AB102" i="23"/>
  <c r="AO102" i="23" s="1"/>
  <c r="AB109" i="23"/>
  <c r="AO109" i="23" s="1"/>
  <c r="AB93" i="23"/>
  <c r="AO93" i="23" s="1"/>
  <c r="AB134" i="23"/>
  <c r="AO134" i="23" s="1"/>
  <c r="AB43" i="23"/>
  <c r="AO43" i="23" s="1"/>
  <c r="AB70" i="23"/>
  <c r="AO70" i="23" s="1"/>
  <c r="AB80" i="23"/>
  <c r="AO80" i="23" s="1"/>
  <c r="AB194" i="23"/>
  <c r="AO194" i="23" s="1"/>
  <c r="AB119" i="23"/>
  <c r="AO119" i="23" s="1"/>
  <c r="AB54" i="23"/>
  <c r="AO54" i="23" s="1"/>
  <c r="AB65" i="23"/>
  <c r="AO65" i="23" s="1"/>
  <c r="AB64" i="23"/>
  <c r="AO64" i="23" s="1"/>
  <c r="AB141" i="23"/>
  <c r="AO141" i="23" s="1"/>
  <c r="AB37" i="23"/>
  <c r="AO37" i="23" s="1"/>
  <c r="AB28" i="23"/>
  <c r="AO28" i="23" s="1"/>
  <c r="AB161" i="23"/>
  <c r="AO161" i="23" s="1"/>
  <c r="AB149" i="23"/>
  <c r="AO149" i="23" s="1"/>
  <c r="AB231" i="23"/>
  <c r="AO231" i="23" s="1"/>
  <c r="AB177" i="23"/>
  <c r="AO177" i="23" s="1"/>
  <c r="AB158" i="23"/>
  <c r="AO158" i="23" s="1"/>
  <c r="AB122" i="23"/>
  <c r="AO122" i="23" s="1"/>
  <c r="AB97" i="23"/>
  <c r="AO97" i="23" s="1"/>
  <c r="AB23" i="23"/>
  <c r="AO23" i="23" s="1"/>
  <c r="AB221" i="23"/>
  <c r="AO221" i="23" s="1"/>
  <c r="AB16" i="23"/>
  <c r="AO16" i="23" s="1"/>
  <c r="AB160" i="23"/>
  <c r="AO160" i="23" s="1"/>
  <c r="AB138" i="23"/>
  <c r="AB218" i="23"/>
  <c r="AO218" i="23" s="1"/>
  <c r="AB132" i="23"/>
  <c r="AB202" i="23"/>
  <c r="AO202" i="23" s="1"/>
  <c r="AB13" i="23"/>
  <c r="AO13" i="23" s="1"/>
  <c r="AB39" i="23"/>
  <c r="AO39" i="23" s="1"/>
  <c r="AB62" i="23"/>
  <c r="AO62" i="23" s="1"/>
  <c r="AB68" i="23"/>
  <c r="AO68" i="23" s="1"/>
  <c r="AB58" i="23"/>
  <c r="AO58" i="23" s="1"/>
  <c r="AB77" i="23"/>
  <c r="AO77" i="23" s="1"/>
  <c r="AB79" i="23"/>
  <c r="AO79" i="23" s="1"/>
  <c r="AB36" i="23"/>
  <c r="AO36" i="23" s="1"/>
  <c r="AB88" i="23"/>
  <c r="AO88" i="23" s="1"/>
  <c r="AB205" i="23"/>
  <c r="AO205" i="23" s="1"/>
  <c r="AB203" i="23"/>
  <c r="AO203" i="23" s="1"/>
  <c r="AB22" i="23"/>
  <c r="AO22" i="23" s="1"/>
  <c r="AB113" i="23"/>
  <c r="AO113" i="23" s="1"/>
  <c r="AB5" i="23"/>
  <c r="AC5" i="23" s="1"/>
  <c r="AB164" i="23"/>
  <c r="AO164" i="23" s="1"/>
  <c r="AB27" i="23"/>
  <c r="AO27" i="23" s="1"/>
  <c r="AB47" i="23"/>
  <c r="AO47" i="23" s="1"/>
  <c r="AB67" i="23"/>
  <c r="AO67" i="23" s="1"/>
  <c r="AB223" i="23"/>
  <c r="AO223" i="23" s="1"/>
  <c r="AB142" i="23"/>
  <c r="AO142" i="23" s="1"/>
  <c r="AB45" i="23"/>
  <c r="AO45" i="23" s="1"/>
  <c r="AB232" i="23"/>
  <c r="AO232" i="23" s="1"/>
  <c r="AB135" i="23"/>
  <c r="AO135" i="23" s="1"/>
  <c r="AB212" i="23"/>
  <c r="AO212" i="23" s="1"/>
  <c r="AB206" i="23"/>
  <c r="AO206" i="23" s="1"/>
  <c r="AB17" i="23"/>
  <c r="AO17" i="23" s="1"/>
  <c r="AB21" i="23"/>
  <c r="AO21" i="23" s="1"/>
  <c r="BH176" i="23" l="1"/>
  <c r="AJ25" i="23"/>
  <c r="AJ41" i="23" s="1"/>
  <c r="AJ39" i="23"/>
  <c r="AK39" i="23" s="1"/>
  <c r="BK3" i="23"/>
  <c r="BL3" i="23" s="1"/>
  <c r="AC94" i="23"/>
  <c r="AC133" i="23"/>
  <c r="AO90" i="23"/>
  <c r="AC218" i="23"/>
  <c r="AC194" i="23"/>
  <c r="AO240" i="23"/>
  <c r="AC162" i="23"/>
  <c r="AC191" i="23"/>
  <c r="AO185" i="23"/>
  <c r="AC15" i="23"/>
  <c r="AC156" i="23"/>
  <c r="AC152" i="23"/>
  <c r="AC131" i="23"/>
  <c r="AC114" i="23"/>
  <c r="AC175" i="23"/>
  <c r="AO132" i="23"/>
  <c r="AC120" i="23"/>
  <c r="AB234" i="23"/>
  <c r="AD236" i="23" s="1"/>
  <c r="AC203" i="23"/>
  <c r="AO138" i="23"/>
  <c r="AC137" i="23"/>
  <c r="AI47" i="23" l="1"/>
  <c r="AJ44" i="23"/>
  <c r="AK43" i="23" s="1"/>
  <c r="AK42" i="23"/>
  <c r="AI48" i="23"/>
  <c r="AO236" i="23"/>
  <c r="AO238" i="23" s="1"/>
  <c r="AK41" i="23" l="1"/>
  <c r="AK44" i="23" s="1"/>
  <c r="AU242" i="23"/>
  <c r="AU1356" i="23" s="1"/>
  <c r="AH231" i="23"/>
  <c r="AO244" i="23"/>
  <c r="AO239" i="2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sudchaip</author>
    <author>Khatthaleeya Prayjumpol</author>
    <author>khatthaleeya.p</author>
    <author>Auttawapun Punchak</author>
    <author>TEP</author>
  </authors>
  <commentList>
    <comment ref="Y3" authorId="0" shapeId="0" xr:uid="{AD8C39B4-86C7-463D-8281-0B53159EC7C5}">
      <text>
        <r>
          <rPr>
            <b/>
            <sz val="8"/>
            <color indexed="81"/>
            <rFont val="Tahoma"/>
            <family val="2"/>
          </rPr>
          <t xml:space="preserve">
</t>
        </r>
      </text>
    </comment>
    <comment ref="J78" authorId="1" shapeId="0" xr:uid="{9736C96D-A560-480E-9F67-98BAC64EAB26}">
      <text>
        <r>
          <rPr>
            <b/>
            <sz val="9"/>
            <color indexed="81"/>
            <rFont val="Tahoma"/>
            <family val="2"/>
          </rPr>
          <t>Khatthaleeya Prayjumpol:</t>
        </r>
        <r>
          <rPr>
            <sz val="9"/>
            <color indexed="81"/>
            <rFont val="Tahoma"/>
            <family val="2"/>
          </rPr>
          <t xml:space="preserve">
ประมาณ</t>
        </r>
      </text>
    </comment>
    <comment ref="X99" authorId="2" shapeId="0" xr:uid="{D046E189-C194-46C5-8B8A-C95D8BB34886}">
      <text>
        <r>
          <rPr>
            <b/>
            <sz val="9"/>
            <color indexed="81"/>
            <rFont val="Tahoma"/>
            <family val="2"/>
          </rPr>
          <t>khatthaleeya.p:</t>
        </r>
        <r>
          <rPr>
            <sz val="9"/>
            <color indexed="81"/>
            <rFont val="Tahoma"/>
            <family val="2"/>
          </rPr>
          <t xml:space="preserve">
แก้ไขสูตรใหม่</t>
        </r>
      </text>
    </comment>
    <comment ref="A142" authorId="3" shapeId="0" xr:uid="{40D80D67-BF67-4979-87D7-A6DDF56E0221}">
      <text>
        <r>
          <rPr>
            <b/>
            <sz val="9"/>
            <color indexed="81"/>
            <rFont val="Tahoma"/>
            <family val="2"/>
          </rPr>
          <t>Auttawapun Punchak:</t>
        </r>
        <r>
          <rPr>
            <sz val="9"/>
            <color indexed="81"/>
            <rFont val="Tahoma"/>
            <family val="2"/>
          </rPr>
          <t xml:space="preserve">
ย้ายเข้า 20/10/65</t>
        </r>
      </text>
    </comment>
    <comment ref="R167" authorId="4" shapeId="0" xr:uid="{BB393A7D-EAF7-408C-94CE-2543EA09B9C9}">
      <text>
        <r>
          <rPr>
            <b/>
            <sz val="9"/>
            <color indexed="81"/>
            <rFont val="Tahoma"/>
            <family val="2"/>
          </rPr>
          <t>TEP:</t>
        </r>
        <r>
          <rPr>
            <sz val="9"/>
            <color indexed="81"/>
            <rFont val="Tahoma"/>
            <family val="2"/>
          </rPr>
          <t xml:space="preserve">
kwh/กะ 176</t>
        </r>
      </text>
    </comment>
    <comment ref="M218" authorId="2" shapeId="0" xr:uid="{065FB856-C516-4E7E-A6E7-D57892C464C8}">
      <text>
        <r>
          <rPr>
            <b/>
            <sz val="9"/>
            <color indexed="81"/>
            <rFont val="Tahoma"/>
            <family val="2"/>
          </rPr>
          <t>khatthaleeya.p:</t>
        </r>
        <r>
          <rPr>
            <sz val="9"/>
            <color indexed="81"/>
            <rFont val="Tahoma"/>
            <family val="2"/>
          </rPr>
          <t xml:space="preserve">
ค้าง leak test</t>
        </r>
      </text>
    </comment>
    <comment ref="M245" authorId="2" shapeId="0" xr:uid="{422D151A-1CC2-474F-B3DD-D9F756FBD8DE}">
      <text>
        <r>
          <rPr>
            <b/>
            <sz val="9"/>
            <color indexed="81"/>
            <rFont val="Tahoma"/>
            <family val="2"/>
          </rPr>
          <t>khatthaleeya.p:</t>
        </r>
        <r>
          <rPr>
            <sz val="9"/>
            <color indexed="81"/>
            <rFont val="Tahoma"/>
            <family val="2"/>
          </rPr>
          <t xml:space="preserve">
leak test + op.40 ยังไม่รู้ KW</t>
        </r>
      </text>
    </comment>
    <comment ref="K326" authorId="2" shapeId="0" xr:uid="{695CBE23-191C-4EF3-8418-99AF854A8102}">
      <text>
        <r>
          <rPr>
            <b/>
            <sz val="9"/>
            <color indexed="81"/>
            <rFont val="Tahoma"/>
            <family val="2"/>
          </rPr>
          <t>khatthaleeya.p:</t>
        </r>
        <r>
          <rPr>
            <sz val="9"/>
            <color indexed="81"/>
            <rFont val="Tahoma"/>
            <family val="2"/>
          </rPr>
          <t xml:space="preserve">
ปกติประมาณ3000</t>
        </r>
      </text>
    </comment>
    <comment ref="A576" authorId="3" shapeId="0" xr:uid="{F7C006A2-E586-4B3C-8625-1235399810FA}">
      <text>
        <r>
          <rPr>
            <b/>
            <sz val="9"/>
            <color indexed="81"/>
            <rFont val="Tahoma"/>
            <family val="2"/>
          </rPr>
          <t>Auttawapun เตาไฟฟ้าย้ายเข้า 22/05/65</t>
        </r>
      </text>
    </comment>
    <comment ref="M618" authorId="1" shapeId="0" xr:uid="{D0F1B5DD-C935-4D6A-A1C6-4BC144EB0C12}">
      <text>
        <r>
          <rPr>
            <b/>
            <sz val="9"/>
            <color indexed="81"/>
            <rFont val="Tahoma"/>
            <family val="2"/>
          </rPr>
          <t>Khatthaleeya Prayjumpol:</t>
        </r>
        <r>
          <rPr>
            <sz val="9"/>
            <color indexed="81"/>
            <rFont val="Tahoma"/>
            <family val="2"/>
          </rPr>
          <t xml:space="preserve">
ประมาณ</t>
        </r>
      </text>
    </comment>
    <comment ref="M619" authorId="1" shapeId="0" xr:uid="{C841B2FB-CB42-41E4-AF50-4B3588535B0C}">
      <text>
        <r>
          <rPr>
            <b/>
            <sz val="9"/>
            <color indexed="81"/>
            <rFont val="Tahoma"/>
            <family val="2"/>
          </rPr>
          <t>Khatthaleeya Prayjumpol:</t>
        </r>
        <r>
          <rPr>
            <sz val="9"/>
            <color indexed="81"/>
            <rFont val="Tahoma"/>
            <family val="2"/>
          </rPr>
          <t xml:space="preserve">
ประมาณ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<sst xmlns="http://schemas.openxmlformats.org/spreadsheetml/2006/main" count="5469" uniqueCount="1278">
  <si>
    <t>DateTime</t>
  </si>
  <si>
    <t>KWH</t>
  </si>
  <si>
    <t>รายงานค่าไฟโรงงานเครื่องมือกล-อลูมิเนียม ประจำเดือนพฤษภาคม 2567</t>
  </si>
  <si>
    <t>GL</t>
  </si>
  <si>
    <t>Vendor</t>
  </si>
  <si>
    <t>COST CENTER</t>
  </si>
  <si>
    <t>LINE</t>
  </si>
  <si>
    <t>Group</t>
  </si>
  <si>
    <t>อาคาร</t>
  </si>
  <si>
    <t>UNIT (KWH)</t>
  </si>
  <si>
    <t>รวม</t>
  </si>
  <si>
    <t xml:space="preserve">%Allocate unit  </t>
  </si>
  <si>
    <t>ค่าไฟปั๊มลม</t>
  </si>
  <si>
    <t>.</t>
  </si>
  <si>
    <t>ก่อนรวม Unit ปั๊มลม</t>
  </si>
  <si>
    <t>AIR COMP</t>
  </si>
  <si>
    <t>หลังรวม Unit ปั๊มลม</t>
  </si>
  <si>
    <t>ตู้ไฟ</t>
  </si>
  <si>
    <t>CT RATIO</t>
  </si>
  <si>
    <t>ตัวคูณ</t>
  </si>
  <si>
    <t>Type meter</t>
  </si>
  <si>
    <t>หมายเหตุ</t>
  </si>
  <si>
    <t>ข้อมูลที่ได้มาจาก</t>
  </si>
  <si>
    <t>ผู้จด</t>
  </si>
  <si>
    <t xml:space="preserve">KWH </t>
  </si>
  <si>
    <t>KWH จริง</t>
  </si>
  <si>
    <t>KWH ปรับค่า</t>
  </si>
  <si>
    <t>RATIO</t>
  </si>
  <si>
    <t>KW ของ LINE</t>
  </si>
  <si>
    <t>จำนวนกะ</t>
  </si>
  <si>
    <t>KW ของ LINE x จำนวนกะ</t>
  </si>
  <si>
    <t>KWH ของ LINE</t>
  </si>
  <si>
    <t xml:space="preserve">GROUPTOTAL </t>
  </si>
  <si>
    <t>ค่าไฟฟ้า (บาท)</t>
  </si>
  <si>
    <t xml:space="preserve">SUPTOTAL </t>
  </si>
  <si>
    <t>% เปรียบเทียบ</t>
  </si>
  <si>
    <t>Total</t>
  </si>
  <si>
    <t>เดือนที่แล้ว</t>
  </si>
  <si>
    <t>เดือนนี้</t>
  </si>
  <si>
    <t>เดือนนื้</t>
  </si>
  <si>
    <t>( KWH )</t>
  </si>
  <si>
    <t>(BATH)</t>
  </si>
  <si>
    <t>กับเดือนก่อน</t>
  </si>
  <si>
    <t>ข้อมูลสำคัญเพิ่มเติมในการคำนวณค่าไฟของปั๊มลม ที่เฉลี่ยเข้าแต่ละ Line</t>
  </si>
  <si>
    <t>เว้น</t>
  </si>
  <si>
    <t xml:space="preserve"> 1. MDB1</t>
  </si>
  <si>
    <t>3000/5</t>
  </si>
  <si>
    <t>Digital meter</t>
  </si>
  <si>
    <t>link meter</t>
  </si>
  <si>
    <t>Kaizen</t>
  </si>
  <si>
    <t>KWH PEA</t>
  </si>
  <si>
    <t>ปั๊มลม คก.</t>
  </si>
  <si>
    <t>หน่วย</t>
  </si>
  <si>
    <t>TYPE</t>
  </si>
  <si>
    <t>S</t>
  </si>
  <si>
    <t xml:space="preserve">Amount </t>
  </si>
  <si>
    <t>TAX C</t>
  </si>
  <si>
    <t>ASS.NO.</t>
  </si>
  <si>
    <t>TEXT</t>
  </si>
  <si>
    <t>CCTR</t>
  </si>
  <si>
    <t>IO</t>
  </si>
  <si>
    <t>QTY</t>
  </si>
  <si>
    <t>UNIT</t>
  </si>
  <si>
    <t xml:space="preserve">   1.1. 0101</t>
  </si>
  <si>
    <t>600/5</t>
  </si>
  <si>
    <t>0450-90000</t>
  </si>
  <si>
    <t xml:space="preserve"> ออฟฟิศใหม่ชั้นบน(Admin)+ชั้นล่าง</t>
  </si>
  <si>
    <t>ADM</t>
  </si>
  <si>
    <t>OFFICE</t>
  </si>
  <si>
    <t>ปั๊มลม อล.</t>
  </si>
  <si>
    <t>Others</t>
  </si>
  <si>
    <t xml:space="preserve">     1.1.1. 0101-03 </t>
  </si>
  <si>
    <t>200/5</t>
  </si>
  <si>
    <t>0451-03500</t>
  </si>
  <si>
    <t xml:space="preserve"> ออฟฟิศ Quality Innovation room</t>
  </si>
  <si>
    <t>FOH/Utility</t>
  </si>
  <si>
    <t>FOH</t>
  </si>
  <si>
    <t>MC1</t>
  </si>
  <si>
    <t>TOTAL</t>
  </si>
  <si>
    <t>0450-40031</t>
  </si>
  <si>
    <t xml:space="preserve"> ตู้ ATM กสิกร</t>
  </si>
  <si>
    <t>Cost</t>
  </si>
  <si>
    <t xml:space="preserve">            - HO/P/FR1-1</t>
  </si>
  <si>
    <t>0451-75100</t>
  </si>
  <si>
    <t xml:space="preserve"> LINE HO/P/FR 1-1,1-2,1-3,1-5</t>
  </si>
  <si>
    <t>0450-40054</t>
  </si>
  <si>
    <r>
      <t xml:space="preserve"> UTILITY</t>
    </r>
    <r>
      <rPr>
        <sz val="9"/>
        <color indexed="20"/>
        <rFont val="BrowalliaUPC"/>
        <family val="2"/>
      </rPr>
      <t xml:space="preserve"> (โรงจอดรถ, โรงอาหาร คก.,โรงอาหาร อล.,สนามกีฬา)</t>
    </r>
  </si>
  <si>
    <t>HR</t>
  </si>
  <si>
    <t>UNIT รวมของ Line ZONE คก.</t>
  </si>
  <si>
    <t>หน่วย ก่อนรวม UNIT ปั๊มลม</t>
  </si>
  <si>
    <t xml:space="preserve"> ตู้ ATM กรุงศรี</t>
  </si>
  <si>
    <t xml:space="preserve">     1.1.2. 0101-04 </t>
  </si>
  <si>
    <t>Other</t>
  </si>
  <si>
    <t>UNIT รวมของ Line ZONE อล.</t>
  </si>
  <si>
    <t xml:space="preserve"> ไฟแสงจันทร์ อาคารเครื่องมือกล 1</t>
  </si>
  <si>
    <t xml:space="preserve">            - HO/P/FR 1-3</t>
  </si>
  <si>
    <t xml:space="preserve"> ระบบไฟฟ้าอาคาร คก.2</t>
  </si>
  <si>
    <t xml:space="preserve"> โรงซักผ้า</t>
  </si>
  <si>
    <t>0451-01200</t>
  </si>
  <si>
    <t xml:space="preserve"> ส.จส.</t>
  </si>
  <si>
    <t xml:space="preserve">     1.1.3. 0101-01</t>
  </si>
  <si>
    <t>400/5</t>
  </si>
  <si>
    <t xml:space="preserve"> อาคาร LOCKER</t>
  </si>
  <si>
    <t xml:space="preserve"> พัสดุ 1</t>
  </si>
  <si>
    <t xml:space="preserve">            - E 1-2</t>
  </si>
  <si>
    <t>0451-64500</t>
  </si>
  <si>
    <t xml:space="preserve"> LINE E1-1,1-2,1-3</t>
  </si>
  <si>
    <t xml:space="preserve"> ห้องประชุม,ห้องแม่บ้าน อาคาร ME</t>
  </si>
  <si>
    <t xml:space="preserve"> พัสดุ 2, ลานขยะ</t>
  </si>
  <si>
    <t xml:space="preserve">            - E 2-1</t>
  </si>
  <si>
    <t>0451-66100</t>
  </si>
  <si>
    <t xml:space="preserve"> LINE E2-1,2-2,2-3,2-4,2-5,2-6</t>
  </si>
  <si>
    <t xml:space="preserve"> ส.กอ.</t>
  </si>
  <si>
    <t xml:space="preserve">            - E 2-2</t>
  </si>
  <si>
    <t>MC2</t>
  </si>
  <si>
    <t>ปั๊มลม</t>
  </si>
  <si>
    <t>Allocate Air comp.</t>
  </si>
  <si>
    <t>0451-03400</t>
  </si>
  <si>
    <t xml:space="preserve"> ระบบดูดควัน คก.3 (ผ.ทล.2)</t>
  </si>
  <si>
    <t xml:space="preserve">            - E 2-3</t>
  </si>
  <si>
    <t>0451-02300</t>
  </si>
  <si>
    <t xml:space="preserve"> ส.Maint&amp;Kaizen (WORK SHOP KAIZEN)</t>
  </si>
  <si>
    <t>MT</t>
  </si>
  <si>
    <t>VC MC1</t>
  </si>
  <si>
    <t xml:space="preserve"> ระบบดูดควัน คก.3 (ผ.ทล.1)</t>
  </si>
  <si>
    <t xml:space="preserve">            - E 2-4</t>
  </si>
  <si>
    <t>0451-01100</t>
  </si>
  <si>
    <t xml:space="preserve"> ส.ปค. (QA CENTER)</t>
  </si>
  <si>
    <t>QA</t>
  </si>
  <si>
    <t>VC MC2</t>
  </si>
  <si>
    <t>0451-63000</t>
  </si>
  <si>
    <t xml:space="preserve"> TRIMMING OUTSOURCE บ.298</t>
  </si>
  <si>
    <t xml:space="preserve">            - E 2-5</t>
  </si>
  <si>
    <t>0451-11500</t>
  </si>
  <si>
    <t xml:space="preserve"> ห้อง Q-Gate AW EXPORT DC1</t>
  </si>
  <si>
    <t>DC1</t>
  </si>
  <si>
    <t>VC</t>
  </si>
  <si>
    <t>VC DC1</t>
  </si>
  <si>
    <t xml:space="preserve"> TRIMMING OUTSOURCE บ.CNC</t>
  </si>
  <si>
    <t xml:space="preserve">            - E 2-6</t>
  </si>
  <si>
    <t>PC</t>
  </si>
  <si>
    <t>VC DC2</t>
  </si>
  <si>
    <t xml:space="preserve"> SHOT BLAST M/C </t>
  </si>
  <si>
    <t>VC DC3</t>
  </si>
  <si>
    <t xml:space="preserve"> ระบบไฟฟ้าอาคาร GC1 ฝั่ง PC STORE</t>
  </si>
  <si>
    <t xml:space="preserve">     1.1.4. 0101-02</t>
  </si>
  <si>
    <t>VC GC2</t>
  </si>
  <si>
    <t xml:space="preserve"> ออฟฟิศ GC1</t>
  </si>
  <si>
    <t xml:space="preserve">            - HO/P/FR 1-5 </t>
  </si>
  <si>
    <t xml:space="preserve"> อาคาร GC1 (พัสดุดูแล)</t>
  </si>
  <si>
    <t>GC1</t>
  </si>
  <si>
    <t>VC MEL</t>
  </si>
  <si>
    <t xml:space="preserve"> ระบบไฟฟ้าอาคาร GC 1</t>
  </si>
  <si>
    <t xml:space="preserve">   1.2. 0103</t>
  </si>
  <si>
    <t xml:space="preserve"> ห้องสหภาพ TEP</t>
  </si>
  <si>
    <t>VC ME</t>
  </si>
  <si>
    <t xml:space="preserve"> พัดลมระบายอากาศหลังคาอาคาร GC1</t>
  </si>
  <si>
    <t>0451-31100</t>
  </si>
  <si>
    <t xml:space="preserve"> ส.คจ. (อาคาร ME)</t>
  </si>
  <si>
    <t>ME</t>
  </si>
  <si>
    <t>VC DM</t>
  </si>
  <si>
    <t xml:space="preserve">            - BR/RA1 4x4</t>
  </si>
  <si>
    <t>0451-63200</t>
  </si>
  <si>
    <t xml:space="preserve"> LINE BR/RA 1 4*2</t>
  </si>
  <si>
    <t>0451-76500</t>
  </si>
  <si>
    <t xml:space="preserve"> LINE COMP/G 1</t>
  </si>
  <si>
    <t>FOH MC1</t>
  </si>
  <si>
    <t xml:space="preserve">            - TU/A/I</t>
  </si>
  <si>
    <t>0451-75200</t>
  </si>
  <si>
    <t xml:space="preserve"> LINE TU/A/I</t>
  </si>
  <si>
    <t>0451-72200</t>
  </si>
  <si>
    <t xml:space="preserve"> LINE SERVICE PART</t>
  </si>
  <si>
    <t>FOH MC2</t>
  </si>
  <si>
    <t>VC-MC</t>
  </si>
  <si>
    <t xml:space="preserve">            - BR/O/F1 </t>
  </si>
  <si>
    <t>0451-73500</t>
  </si>
  <si>
    <t xml:space="preserve"> LINE BR/O/F1</t>
  </si>
  <si>
    <t>0451-76400</t>
  </si>
  <si>
    <t xml:space="preserve"> LINE I/M 10</t>
  </si>
  <si>
    <t>FOH DC1</t>
  </si>
  <si>
    <t xml:space="preserve">            - HO/P/FR 1-2</t>
  </si>
  <si>
    <t>0451-71600</t>
  </si>
  <si>
    <t xml:space="preserve"> LINE CON/I/A 1</t>
  </si>
  <si>
    <t>FOH DC2</t>
  </si>
  <si>
    <t xml:space="preserve">     1.2.2. 0103-05</t>
  </si>
  <si>
    <t>250/5</t>
  </si>
  <si>
    <t>0451-71400</t>
  </si>
  <si>
    <t xml:space="preserve"> LINE BR/O/F 3</t>
  </si>
  <si>
    <t>FOH DC3</t>
  </si>
  <si>
    <t xml:space="preserve">            - HO/P/FR 1-2 </t>
  </si>
  <si>
    <t>0451-64900</t>
  </si>
  <si>
    <t xml:space="preserve"> LINE G</t>
  </si>
  <si>
    <t>FOH GC2</t>
  </si>
  <si>
    <t xml:space="preserve"> UTILITY (โรงจอดรถ, โรงอาหาร คก.,โรงอาหาร อล.,สนามกีฬา)</t>
  </si>
  <si>
    <t xml:space="preserve">            - BR/EN </t>
  </si>
  <si>
    <t>0451-76700</t>
  </si>
  <si>
    <t xml:space="preserve"> LINE BR/EN</t>
  </si>
  <si>
    <t>0451-72400</t>
  </si>
  <si>
    <t xml:space="preserve"> LINE C/VEN</t>
  </si>
  <si>
    <t>FOH PC</t>
  </si>
  <si>
    <t>0451-72600</t>
  </si>
  <si>
    <t xml:space="preserve"> LINE BR/F/P</t>
  </si>
  <si>
    <t>FOH MT</t>
  </si>
  <si>
    <t xml:space="preserve">     1.2.3. 0103-02</t>
  </si>
  <si>
    <t xml:space="preserve"> LINE O/W 2</t>
  </si>
  <si>
    <t>FOH DM</t>
  </si>
  <si>
    <t xml:space="preserve">            - I/M 4</t>
  </si>
  <si>
    <t xml:space="preserve"> LINE I/M 4</t>
  </si>
  <si>
    <t>0451-63900</t>
  </si>
  <si>
    <t xml:space="preserve"> LINE CO/G 2-2</t>
  </si>
  <si>
    <t>FOH QA</t>
  </si>
  <si>
    <t xml:space="preserve">     1.2.4. 0103-04</t>
  </si>
  <si>
    <t>0451-66400</t>
  </si>
  <si>
    <t xml:space="preserve"> LINE PA/O2-1</t>
  </si>
  <si>
    <t>FOH GC1</t>
  </si>
  <si>
    <t xml:space="preserve">            - TANK INLET </t>
  </si>
  <si>
    <t>0451-72800</t>
  </si>
  <si>
    <t xml:space="preserve"> LINE HO/CON 1</t>
  </si>
  <si>
    <t>FOH MEL</t>
  </si>
  <si>
    <t xml:space="preserve">            - A</t>
  </si>
  <si>
    <t>0451-64100</t>
  </si>
  <si>
    <t xml:space="preserve"> LINE A</t>
  </si>
  <si>
    <t xml:space="preserve"> LINE HO/CON 2</t>
  </si>
  <si>
    <t>0451-03100</t>
  </si>
  <si>
    <t xml:space="preserve"> ระบบไฟฟ้าอาคาร MELTING + ออฟฟิศ </t>
  </si>
  <si>
    <t xml:space="preserve">     1.2.5. 0103-03</t>
  </si>
  <si>
    <t>0451-75800</t>
  </si>
  <si>
    <t xml:space="preserve"> LINE HO/CON 3</t>
  </si>
  <si>
    <t>0451-61000</t>
  </si>
  <si>
    <t xml:space="preserve"> MELTING C,D,F,G,H,J,K,L,M</t>
  </si>
  <si>
    <t>Melting</t>
  </si>
  <si>
    <t xml:space="preserve">            - C/C 2</t>
  </si>
  <si>
    <t>0451-76100</t>
  </si>
  <si>
    <t xml:space="preserve"> LINE C/C 2,3</t>
  </si>
  <si>
    <t>0451-72500</t>
  </si>
  <si>
    <t xml:space="preserve"> LINE HO/EX1</t>
  </si>
  <si>
    <t>0451-61500</t>
  </si>
  <si>
    <t xml:space="preserve"> MELTING E (AC2BSB)</t>
  </si>
  <si>
    <t xml:space="preserve">            - C/C 3</t>
  </si>
  <si>
    <t xml:space="preserve"> LINE HO/EX2</t>
  </si>
  <si>
    <t>0451-61100</t>
  </si>
  <si>
    <t xml:space="preserve"> MELTING I (NH 41)</t>
  </si>
  <si>
    <t xml:space="preserve">     1.2.6. 0103-06 (NEW)</t>
  </si>
  <si>
    <t>เดินจด</t>
  </si>
  <si>
    <t>0451-71300</t>
  </si>
  <si>
    <t xml:space="preserve"> LINE A/TRM</t>
  </si>
  <si>
    <t xml:space="preserve">            - HO/C/V1</t>
  </si>
  <si>
    <t>0451-76200</t>
  </si>
  <si>
    <t xml:space="preserve"> LINE HO/C/V</t>
  </si>
  <si>
    <t>0451-73100</t>
  </si>
  <si>
    <t xml:space="preserve"> LINE A/EGR/V</t>
  </si>
  <si>
    <t xml:space="preserve"> ระบบไฟฟ้าอาคาร DC1 ฝั่ง DC</t>
  </si>
  <si>
    <t xml:space="preserve"> LINE A/EGR/V2</t>
  </si>
  <si>
    <t xml:space="preserve"> ระบบไฟฟ้าอาคาร DC1 ฝั่ง PC STORE</t>
  </si>
  <si>
    <t xml:space="preserve">   1.3. 0104</t>
  </si>
  <si>
    <t>0451-71500</t>
  </si>
  <si>
    <t xml:space="preserve"> LINE PL/TRM</t>
  </si>
  <si>
    <t xml:space="preserve"> TRIMMING OUTSOURCE บ.TRIMMING 2552 (DC1)</t>
  </si>
  <si>
    <t xml:space="preserve">     1.3.1. 0104-02</t>
  </si>
  <si>
    <t>0451-64700</t>
  </si>
  <si>
    <t xml:space="preserve"> LINE PALLET</t>
  </si>
  <si>
    <t>AIR COMP.</t>
  </si>
  <si>
    <t xml:space="preserve"> ออฟฟิศอาคาร DC1</t>
  </si>
  <si>
    <t xml:space="preserve">            - I/M 3 </t>
  </si>
  <si>
    <t>0451-71800</t>
  </si>
  <si>
    <t xml:space="preserve"> LINE I/M 3</t>
  </si>
  <si>
    <t>0451-75700</t>
  </si>
  <si>
    <t xml:space="preserve"> LINE I/M 6</t>
  </si>
  <si>
    <t>% ของ VC</t>
  </si>
  <si>
    <t>0451-626C0</t>
  </si>
  <si>
    <t xml:space="preserve"> DC 800T#1</t>
  </si>
  <si>
    <t xml:space="preserve">            - HO/CA1</t>
  </si>
  <si>
    <t>0451-76800</t>
  </si>
  <si>
    <t xml:space="preserve"> LINE HO/CA 1 </t>
  </si>
  <si>
    <t xml:space="preserve"> LINE I/M 9</t>
  </si>
  <si>
    <t>% ของ Total</t>
  </si>
  <si>
    <t>0451-626F0</t>
  </si>
  <si>
    <t xml:space="preserve"> DC 800T#2</t>
  </si>
  <si>
    <t xml:space="preserve">     1.3.2. 0104-04</t>
  </si>
  <si>
    <t>0451-65300</t>
  </si>
  <si>
    <t xml:space="preserve"> LINE I/M 11</t>
  </si>
  <si>
    <t xml:space="preserve"> DC 800T#6</t>
  </si>
  <si>
    <t xml:space="preserve">            - CLASSIS (FWS , M/C)</t>
  </si>
  <si>
    <t xml:space="preserve"> LINE I/M 12</t>
  </si>
  <si>
    <t>0451-626B0</t>
  </si>
  <si>
    <t xml:space="preserve"> DC 800T#8</t>
  </si>
  <si>
    <t xml:space="preserve">     1.3.3. 0104-05 </t>
  </si>
  <si>
    <t>0451-72000</t>
  </si>
  <si>
    <t xml:space="preserve"> LINE ROD VALVE</t>
  </si>
  <si>
    <t>0451-626H0</t>
  </si>
  <si>
    <t xml:space="preserve"> DC 800T#9</t>
  </si>
  <si>
    <t xml:space="preserve">            - COVER</t>
  </si>
  <si>
    <t>0451-63600</t>
  </si>
  <si>
    <t xml:space="preserve"> LINE CO/O1</t>
  </si>
  <si>
    <t xml:space="preserve"> DC 800T#10</t>
  </si>
  <si>
    <t xml:space="preserve">            - FLANGE</t>
  </si>
  <si>
    <t>0451-71900</t>
  </si>
  <si>
    <t xml:space="preserve"> LINE I/M 2</t>
  </si>
  <si>
    <t xml:space="preserve"> DC 800T#12</t>
  </si>
  <si>
    <t xml:space="preserve">     1.3.4. 0104-01</t>
  </si>
  <si>
    <t>0451-66700</t>
  </si>
  <si>
    <t xml:space="preserve"> LINE B/T1-2</t>
  </si>
  <si>
    <t xml:space="preserve"> ELETRIC HOLDING FURNACE DC800T#1</t>
  </si>
  <si>
    <t xml:space="preserve">            - I/M 7</t>
  </si>
  <si>
    <t>0451-75900</t>
  </si>
  <si>
    <t xml:space="preserve"> LINE I/M 7</t>
  </si>
  <si>
    <t xml:space="preserve"> LINE ASSY CO/O</t>
  </si>
  <si>
    <t xml:space="preserve"> ELETRIC HOLDING FURNACE DC800T#6</t>
  </si>
  <si>
    <t xml:space="preserve">     1.3.5. LINE</t>
  </si>
  <si>
    <t>0451-74400</t>
  </si>
  <si>
    <t xml:space="preserve"> LINE ELB/COMP/I 1-1,1-2</t>
  </si>
  <si>
    <t xml:space="preserve"> ELETRIC HOLDING FURNACE DC800T#2</t>
  </si>
  <si>
    <t xml:space="preserve"> LINE ELB/COMP/I 1-3</t>
  </si>
  <si>
    <t xml:space="preserve"> ELETRIC HOLDING FURNACE DC850T#9</t>
  </si>
  <si>
    <t>0451-73800</t>
  </si>
  <si>
    <t xml:space="preserve"> LINE ELB/COMP/O</t>
  </si>
  <si>
    <t>0451-627A0</t>
  </si>
  <si>
    <t xml:space="preserve"> DC 1250T#5</t>
  </si>
  <si>
    <t xml:space="preserve"> LINE ELB/COMP/O2</t>
  </si>
  <si>
    <t xml:space="preserve"> DC 1250T#6</t>
  </si>
  <si>
    <t>800/5</t>
  </si>
  <si>
    <t>0451-64400</t>
  </si>
  <si>
    <t xml:space="preserve"> LINE ELB/COMP/O3</t>
  </si>
  <si>
    <t xml:space="preserve"> DC 1250T#7</t>
  </si>
  <si>
    <t xml:space="preserve">   1.5. 0107 </t>
  </si>
  <si>
    <t xml:space="preserve"> DC 1250T#8</t>
  </si>
  <si>
    <t xml:space="preserve">            - I/M 8</t>
  </si>
  <si>
    <t>0451-76000</t>
  </si>
  <si>
    <t xml:space="preserve"> LINE I/M 8</t>
  </si>
  <si>
    <t>0451-628A0</t>
  </si>
  <si>
    <t xml:space="preserve"> DC 1650T#1</t>
  </si>
  <si>
    <t xml:space="preserve"> DC 1650T#2</t>
  </si>
  <si>
    <t xml:space="preserve"> 2. 0108 </t>
  </si>
  <si>
    <t>1600/5</t>
  </si>
  <si>
    <t xml:space="preserve">  2.1. 0108-01</t>
  </si>
  <si>
    <t>KWH METER</t>
  </si>
  <si>
    <t>ต้องปรับค่าโดยใช้ตัวคูณ</t>
  </si>
  <si>
    <t xml:space="preserve"> ระบบไฟฟ้าอาคาร GC 2</t>
  </si>
  <si>
    <t xml:space="preserve">     2.1.1. 0108-01/04 ( ฝ.คจ. )</t>
  </si>
  <si>
    <t xml:space="preserve"> ออฟฟิศ GC 2</t>
  </si>
  <si>
    <t xml:space="preserve">     2.1.2. 0108-01/01 </t>
  </si>
  <si>
    <t>0451-670D0</t>
  </si>
  <si>
    <t xml:space="preserve"> DIE MAINTENANCE GC2</t>
  </si>
  <si>
    <t>GC</t>
  </si>
  <si>
    <t xml:space="preserve">           - ออฟฟิศ ฝ.คจ.</t>
  </si>
  <si>
    <t>0451-67000</t>
  </si>
  <si>
    <t xml:space="preserve"> ELETRIC HOLDING FURNACE G/C1-1,1-11</t>
  </si>
  <si>
    <t xml:space="preserve">     2.1.3. 0108-01/02 ( ฝ.คจ. )</t>
  </si>
  <si>
    <t>0451-74100</t>
  </si>
  <si>
    <t xml:space="preserve"> LINE B3</t>
  </si>
  <si>
    <t xml:space="preserve"> ELETRIC HOLDING FURNACE G/C1-7,1-13</t>
  </si>
  <si>
    <t xml:space="preserve">     2.1.4. 0108-01/05 ( ไฟฟ้าอาคาร. )</t>
  </si>
  <si>
    <t>0451-66300</t>
  </si>
  <si>
    <t xml:space="preserve"> LINE CAP3-2, 3-3</t>
  </si>
  <si>
    <t xml:space="preserve"> ELETRIC HOLDING FURNACE G/C1-19,1-20</t>
  </si>
  <si>
    <t xml:space="preserve"> ELETRIC HOLDING FURNACE G/C1-16,1-17</t>
  </si>
  <si>
    <t xml:space="preserve">   2.2. 0108-02</t>
  </si>
  <si>
    <t xml:space="preserve"> ELETRIC HOLDING FURNACE G/C2-6,1-10</t>
  </si>
  <si>
    <t xml:space="preserve">     2.2.1. 0108-02/01A,B</t>
  </si>
  <si>
    <t>0451-72900</t>
  </si>
  <si>
    <t xml:space="preserve"> ELETRIC HOLDING FURNACE G/C1-6,1-18</t>
  </si>
  <si>
    <t xml:space="preserve">           - ออฟฟิศ TPS (ล่าง)</t>
  </si>
  <si>
    <t xml:space="preserve"> ELETRIC HOLDING FURNACE G/C1-5,1-12</t>
  </si>
  <si>
    <t xml:space="preserve">               - 0108-02/01B TPS CENTER</t>
  </si>
  <si>
    <t>คิดแบบไม่ปรับค่า</t>
  </si>
  <si>
    <t>0451-65700</t>
  </si>
  <si>
    <t xml:space="preserve"> LINE Q</t>
  </si>
  <si>
    <t xml:space="preserve"> ELETRIC HOLDING FURNACE G/C1-3,1-21</t>
  </si>
  <si>
    <t xml:space="preserve">     2.2.2. 0108-02/07</t>
  </si>
  <si>
    <t>0451-65400</t>
  </si>
  <si>
    <t xml:space="preserve"> LINE P</t>
  </si>
  <si>
    <t xml:space="preserve"> ELETRIC HOLDING FURNACE G/C1-24,1-25</t>
  </si>
  <si>
    <t xml:space="preserve">           - ออฟฟิศ TPS (บน)</t>
  </si>
  <si>
    <t>0451-72700</t>
  </si>
  <si>
    <t xml:space="preserve"> LINE A2</t>
  </si>
  <si>
    <t>0451-67A22</t>
  </si>
  <si>
    <t xml:space="preserve"> LINE GRAVITY 1-22</t>
  </si>
  <si>
    <t xml:space="preserve">           - ห้องสหภาพ TEP</t>
  </si>
  <si>
    <t>Air 2.7 KW X 2 unit</t>
  </si>
  <si>
    <t>0451-67A23</t>
  </si>
  <si>
    <t xml:space="preserve"> LINE GRAVITY 1-23</t>
  </si>
  <si>
    <t xml:space="preserve">     2.2.3. 0108-02/05A (PTS)</t>
  </si>
  <si>
    <t>100/5</t>
  </si>
  <si>
    <t>0451-67A03</t>
  </si>
  <si>
    <t xml:space="preserve"> LINE GRAVITY 1-3</t>
  </si>
  <si>
    <t xml:space="preserve">     2.2.4. ฝ.คจ.</t>
  </si>
  <si>
    <t>0451-72300</t>
  </si>
  <si>
    <t xml:space="preserve"> LINE C/C 1</t>
  </si>
  <si>
    <t>0451-67A21</t>
  </si>
  <si>
    <t xml:space="preserve"> LINE GRAVITY 1-21</t>
  </si>
  <si>
    <t xml:space="preserve">   2.3. 0108-03</t>
  </si>
  <si>
    <t xml:space="preserve"> LINE GRAVITY 1</t>
  </si>
  <si>
    <t>0451-73300</t>
  </si>
  <si>
    <t xml:space="preserve"> LINE CO/ASM/IN NEW LINE</t>
  </si>
  <si>
    <t xml:space="preserve"> LINE GRAVITY 2</t>
  </si>
  <si>
    <t>0451-71100</t>
  </si>
  <si>
    <t xml:space="preserve"> LINE AL CO/FR HONDA</t>
  </si>
  <si>
    <t xml:space="preserve"> LINE GRAVITY 9</t>
  </si>
  <si>
    <t xml:space="preserve">     2.3.3 0108-03/03</t>
  </si>
  <si>
    <t>0451-65500</t>
  </si>
  <si>
    <t xml:space="preserve"> LINE TANK INLET</t>
  </si>
  <si>
    <t>0451-670N0</t>
  </si>
  <si>
    <t xml:space="preserve"> Knocking, Cutting, S/B</t>
  </si>
  <si>
    <t xml:space="preserve">            - ตู้ ATM ยกเลิก</t>
  </si>
  <si>
    <t>0451-64800</t>
  </si>
  <si>
    <t xml:space="preserve"> LINE GRAVITY 7-3</t>
  </si>
  <si>
    <t xml:space="preserve">            - โรงจอดรถยนต์</t>
  </si>
  <si>
    <t>NEW LINE</t>
  </si>
  <si>
    <t xml:space="preserve"> LINE CLASSIS ( FSW , M/C )</t>
  </si>
  <si>
    <t>0451-66800</t>
  </si>
  <si>
    <t>0451-670S0</t>
  </si>
  <si>
    <t xml:space="preserve"> SHELL CORE</t>
  </si>
  <si>
    <t xml:space="preserve">     2.3.3. ปั๊มลม PC. No. 3</t>
  </si>
  <si>
    <t xml:space="preserve"> LINE COVER</t>
  </si>
  <si>
    <t>0451-75400</t>
  </si>
  <si>
    <t>0451-67300</t>
  </si>
  <si>
    <t xml:space="preserve"> LINE TRIMMING TEP GC 2</t>
  </si>
  <si>
    <t xml:space="preserve"> LINE FLANGE</t>
  </si>
  <si>
    <t>0451-63800</t>
  </si>
  <si>
    <t xml:space="preserve"> 3. MDB 2</t>
  </si>
  <si>
    <t>0451-35100</t>
  </si>
  <si>
    <t xml:space="preserve"> ห้อง Set tool</t>
  </si>
  <si>
    <t>0450-90032</t>
  </si>
  <si>
    <t xml:space="preserve"> บ่อบำบัดน้ำเสีย</t>
  </si>
  <si>
    <t xml:space="preserve">   3.1. 0202</t>
  </si>
  <si>
    <t xml:space="preserve"> Cooling tower zone 9,10 อาคาร DC1</t>
  </si>
  <si>
    <t>0451-03200</t>
  </si>
  <si>
    <t xml:space="preserve"> Cooling tower อาคาร DC2</t>
  </si>
  <si>
    <t xml:space="preserve"> Cooling tower zone DC3 Zone เครื่องใหญ่</t>
  </si>
  <si>
    <t>DC3</t>
  </si>
  <si>
    <t xml:space="preserve"> Cooling tower zone DC3 Zone เครื่องเล็ก</t>
  </si>
  <si>
    <t xml:space="preserve">           - MC 1</t>
  </si>
  <si>
    <t>highbay</t>
  </si>
  <si>
    <t xml:space="preserve">           - PC STORE</t>
  </si>
  <si>
    <t xml:space="preserve"> ระบบไฟฟ้าอาคาร MC1 ฝั่ง PC STORE</t>
  </si>
  <si>
    <t xml:space="preserve">            - ประตูม้วน, ห้องน้ำฝั่ง ME, ซุ้มพักผ่อนฝั่ง ME</t>
  </si>
  <si>
    <t xml:space="preserve"> ระบบไฟฟ้าอาคาร DC3</t>
  </si>
  <si>
    <t xml:space="preserve"> Cooling tower GC 1</t>
  </si>
  <si>
    <t xml:space="preserve">     3.1.2. 0202-02 ออฟฟิศชั้นล่าง</t>
  </si>
  <si>
    <t xml:space="preserve"> ออฟฟิศ DC2</t>
  </si>
  <si>
    <t>DC2</t>
  </si>
  <si>
    <t xml:space="preserve"> Cooling tower GC 2</t>
  </si>
  <si>
    <t xml:space="preserve">     3.1.3. ห้องพักกะชั้นบน</t>
  </si>
  <si>
    <r>
      <t xml:space="preserve"> Cooling tower zone DC3</t>
    </r>
    <r>
      <rPr>
        <sz val="8"/>
        <color indexed="20"/>
        <rFont val="BrowalliaUPC"/>
        <family val="2"/>
      </rPr>
      <t xml:space="preserve"> Zone เครื่องเล็ก</t>
    </r>
  </si>
  <si>
    <t xml:space="preserve"> BAG FILTER MEL C, D, F, G, H, J, K, L</t>
  </si>
  <si>
    <t xml:space="preserve"> BAG FILTER MEL I</t>
  </si>
  <si>
    <t xml:space="preserve">     3.2.1. 0205-04</t>
  </si>
  <si>
    <t>300/5</t>
  </si>
  <si>
    <t xml:space="preserve"> ระบบไฟฟ้าอาคาร DC 2 zone DC</t>
  </si>
  <si>
    <t xml:space="preserve"> BAG FILTER MEL E</t>
  </si>
  <si>
    <t xml:space="preserve">            - A2</t>
  </si>
  <si>
    <t>0451-14100</t>
  </si>
  <si>
    <t xml:space="preserve"> เตาอบ ผ. Die Maintenance (Small Parts)</t>
  </si>
  <si>
    <t xml:space="preserve"> BAG FILTER FOR Gravity line (GC2)</t>
  </si>
  <si>
    <t xml:space="preserve">            - CAP 3-2</t>
  </si>
  <si>
    <t>0451-32300</t>
  </si>
  <si>
    <t xml:space="preserve"> ระบบไฟฟ้า ผ. Die Maintenance (Small Parts)</t>
  </si>
  <si>
    <t>DM</t>
  </si>
  <si>
    <t xml:space="preserve"> เครื่องดูดควัน Shell core (GC2)</t>
  </si>
  <si>
    <t xml:space="preserve">            - CAP 3-3 </t>
  </si>
  <si>
    <t xml:space="preserve"> WET SCREBBER MEL M</t>
  </si>
  <si>
    <t xml:space="preserve">     3.2.2. 0205-01</t>
  </si>
  <si>
    <t xml:space="preserve">            - A2 </t>
  </si>
  <si>
    <t>GC2</t>
  </si>
  <si>
    <t xml:space="preserve">     3.2.3. 0205-02 </t>
  </si>
  <si>
    <t>0451-622A0</t>
  </si>
  <si>
    <t xml:space="preserve"> DC 250T#3</t>
  </si>
  <si>
    <t xml:space="preserve">            - CO/ASM/IN NEW LINE</t>
  </si>
  <si>
    <t>0451-626N0</t>
  </si>
  <si>
    <t xml:space="preserve"> DC 800T#5</t>
  </si>
  <si>
    <t>MEL</t>
  </si>
  <si>
    <t>0451-62100</t>
  </si>
  <si>
    <t xml:space="preserve"> DC 135T#1</t>
  </si>
  <si>
    <t xml:space="preserve">     3.2.4. 0205-03</t>
  </si>
  <si>
    <t xml:space="preserve"> DC 135T#3</t>
  </si>
  <si>
    <t xml:space="preserve">            - C/C 1</t>
  </si>
  <si>
    <t>0451-623A0</t>
  </si>
  <si>
    <t xml:space="preserve"> DC 350T HVSC NO.1</t>
  </si>
  <si>
    <t xml:space="preserve">   3.3. 0209 </t>
  </si>
  <si>
    <t xml:space="preserve"> DC 350T HVSC NO.2</t>
  </si>
  <si>
    <t xml:space="preserve">     3.3.1. โรงอาหาร,ห้องพยาบาล,ปั๊มน้ำ</t>
  </si>
  <si>
    <t xml:space="preserve"> DC 350T HVSC NO.3</t>
  </si>
  <si>
    <t xml:space="preserve">     3.3.2. ไฟแสงสว่างลานจอดรถ 2</t>
  </si>
  <si>
    <t xml:space="preserve"> DC 350T HVSC NO.5</t>
  </si>
  <si>
    <t xml:space="preserve">     3.3.2. ATM กรุงศรี</t>
  </si>
  <si>
    <t>0451-626A0</t>
  </si>
  <si>
    <t xml:space="preserve"> DC 850T#7</t>
  </si>
  <si>
    <t xml:space="preserve">            - ATM กรุงศรี</t>
  </si>
  <si>
    <t>ค่าประมาณ</t>
  </si>
  <si>
    <t>มีโหลดโรงอาหารไปต่อพ่วง</t>
  </si>
  <si>
    <t xml:space="preserve"> DC 850T#11</t>
  </si>
  <si>
    <t xml:space="preserve">            - โรงอาหาร คก.</t>
  </si>
  <si>
    <t>0451-626D0</t>
  </si>
  <si>
    <t xml:space="preserve"> DC 850T#13</t>
  </si>
  <si>
    <t xml:space="preserve">   3.4. 0208</t>
  </si>
  <si>
    <t xml:space="preserve"> DC 850T#15</t>
  </si>
  <si>
    <t xml:space="preserve"> DC 850T#16</t>
  </si>
  <si>
    <t xml:space="preserve">            - B3 </t>
  </si>
  <si>
    <t xml:space="preserve"> ระบบไฟฟ้า DIE PM</t>
  </si>
  <si>
    <t xml:space="preserve"> ELETRIC HOLDING FURNACE DC850T#13</t>
  </si>
  <si>
    <t xml:space="preserve">     3.4.2. 0208-04</t>
  </si>
  <si>
    <t xml:space="preserve"> ผ.ซ่อมบำรุงแม่พิมพ์</t>
  </si>
  <si>
    <t xml:space="preserve"> ELETRIC HOLDING FURNACE DC 800T#5</t>
  </si>
  <si>
    <t xml:space="preserve">       3.4.2.1. 0208-04/01 (ออฟฟิศ)</t>
  </si>
  <si>
    <t xml:space="preserve"> ELETRIC HOLDING FURNACE DC 850T#15</t>
  </si>
  <si>
    <t xml:space="preserve">            - พัสดุทั่วไป</t>
  </si>
  <si>
    <t xml:space="preserve"> ระบบไฟฟ้าอาคาร DC2 ฝั่ง PC STORE</t>
  </si>
  <si>
    <t>VC-DC&amp;GC</t>
  </si>
  <si>
    <t xml:space="preserve"> ELETRIC HOLDING FURNACE DC 850T#7</t>
  </si>
  <si>
    <t xml:space="preserve">            - ผ.คผ. ( OUTSOURCE )</t>
  </si>
  <si>
    <t xml:space="preserve"> ELETRIC HOLDING FURNACE DC 850T#11</t>
  </si>
  <si>
    <t xml:space="preserve">     3.4.3. 0208-01 </t>
  </si>
  <si>
    <t>150/5</t>
  </si>
  <si>
    <t xml:space="preserve"> ระบบไฟฟ้าอาคาร MC2 ฝั่ง PC STORE</t>
  </si>
  <si>
    <t>0451-627B0</t>
  </si>
  <si>
    <t xml:space="preserve"> DC 1250T#1</t>
  </si>
  <si>
    <t xml:space="preserve">            - ทีม Jig ผ.ซก.</t>
  </si>
  <si>
    <t xml:space="preserve"> DC 1250T#3</t>
  </si>
  <si>
    <t xml:space="preserve"> ส่วนซ่อมและบำรุงรักษา</t>
  </si>
  <si>
    <t xml:space="preserve"> DC 1250T#9</t>
  </si>
  <si>
    <t xml:space="preserve"> ELETRIC HOLDING FURNACE DC1250T#1</t>
  </si>
  <si>
    <t xml:space="preserve"> MELTING D,F,G,J,K,L,M</t>
  </si>
  <si>
    <t xml:space="preserve"> ELETRIC HOLDING FURNACE DC1250T#3</t>
  </si>
  <si>
    <t xml:space="preserve">            - P</t>
  </si>
  <si>
    <t xml:space="preserve"> MELTING H</t>
  </si>
  <si>
    <t xml:space="preserve"> ELETRIC HOLDING FURNACE DC1250T#9</t>
  </si>
  <si>
    <t xml:space="preserve">            - E 1-1</t>
  </si>
  <si>
    <t>0451-628B0</t>
  </si>
  <si>
    <t xml:space="preserve"> DC 1650T#3</t>
  </si>
  <si>
    <t xml:space="preserve">            - E 1-3 </t>
  </si>
  <si>
    <t xml:space="preserve"> MELTING I,C (NH 41)</t>
  </si>
  <si>
    <t xml:space="preserve"> DC 1650T#5</t>
  </si>
  <si>
    <t>non</t>
  </si>
  <si>
    <t xml:space="preserve"> DC 1650T#6</t>
  </si>
  <si>
    <t xml:space="preserve">   3.5. 0207 </t>
  </si>
  <si>
    <t xml:space="preserve"> ELETRIC HOLDING FURNACE DC1650T#3</t>
  </si>
  <si>
    <t xml:space="preserve">            - Q MC</t>
  </si>
  <si>
    <t>0451-622B0</t>
  </si>
  <si>
    <t xml:space="preserve"> DC 250T#1</t>
  </si>
  <si>
    <t xml:space="preserve"> ELETRIC HOLDING FURNACE DC1650T#5</t>
  </si>
  <si>
    <t xml:space="preserve"> ELETRIC HOLDING FURNACE DC1650T#6</t>
  </si>
  <si>
    <t xml:space="preserve"> DC 250T#5</t>
  </si>
  <si>
    <t>0451-65000</t>
  </si>
  <si>
    <t xml:space="preserve"> LINE TRIMMING TEP DC 3 </t>
  </si>
  <si>
    <t xml:space="preserve"> DC 250T#6</t>
  </si>
  <si>
    <t>2500/5</t>
  </si>
  <si>
    <t>0451-623B0</t>
  </si>
  <si>
    <t xml:space="preserve"> DC 350T#1</t>
  </si>
  <si>
    <t xml:space="preserve">   4.1. 0902</t>
  </si>
  <si>
    <t xml:space="preserve"> DC 350T#2</t>
  </si>
  <si>
    <t>0451-76600</t>
  </si>
  <si>
    <t xml:space="preserve"> LINE COMP/G 2</t>
  </si>
  <si>
    <t xml:space="preserve">     4.1.1. 0902-01 </t>
  </si>
  <si>
    <t xml:space="preserve"> DC 350T#3</t>
  </si>
  <si>
    <t xml:space="preserve">            - PL/TRM</t>
  </si>
  <si>
    <t xml:space="preserve"> DC 350T#5</t>
  </si>
  <si>
    <t xml:space="preserve">            - I/M10</t>
  </si>
  <si>
    <t xml:space="preserve"> DC 350T#6</t>
  </si>
  <si>
    <t xml:space="preserve">     4.1.2. 0902-02</t>
  </si>
  <si>
    <t xml:space="preserve">            - PA/O2-1</t>
  </si>
  <si>
    <t xml:space="preserve">     4.1.4. 0902-04 ระบบไฟฟ้าอาคาร คก.2</t>
  </si>
  <si>
    <t>สูตร</t>
  </si>
  <si>
    <t xml:space="preserve">   4.2. 0903</t>
  </si>
  <si>
    <t xml:space="preserve"> DC 350T#7</t>
  </si>
  <si>
    <t xml:space="preserve">     4.2.1. 0903-02 </t>
  </si>
  <si>
    <t xml:space="preserve"> DC 350T#8</t>
  </si>
  <si>
    <t xml:space="preserve">            - CO/G 2-2</t>
  </si>
  <si>
    <t>0451-623B9</t>
  </si>
  <si>
    <t xml:space="preserve"> DC 350T#9</t>
  </si>
  <si>
    <t xml:space="preserve"> LINE HO/CON1</t>
  </si>
  <si>
    <t xml:space="preserve">            - A/EGR/V2</t>
  </si>
  <si>
    <t xml:space="preserve"> DC 350T#10</t>
  </si>
  <si>
    <t xml:space="preserve"> LINE HO/CON2</t>
  </si>
  <si>
    <t xml:space="preserve">     4.2.2. 0903-01</t>
  </si>
  <si>
    <t xml:space="preserve"> DC 350T#11</t>
  </si>
  <si>
    <t>0451-75802</t>
  </si>
  <si>
    <t xml:space="preserve"> LINE HO/CON3</t>
  </si>
  <si>
    <t xml:space="preserve">            - HO/CON 1</t>
  </si>
  <si>
    <t xml:space="preserve"> LINE HO/CON</t>
  </si>
  <si>
    <t xml:space="preserve"> DC 350T#12</t>
  </si>
  <si>
    <t xml:space="preserve">            - A/EGR/V</t>
  </si>
  <si>
    <t>0451-62401</t>
  </si>
  <si>
    <t xml:space="preserve"> DC 500T#1</t>
  </si>
  <si>
    <t>0451-62400</t>
  </si>
  <si>
    <t xml:space="preserve"> DC 500T#2</t>
  </si>
  <si>
    <t xml:space="preserve">     4.2.3. 0903-05</t>
  </si>
  <si>
    <t xml:space="preserve"> DC 500T#3</t>
  </si>
  <si>
    <t xml:space="preserve">            - CMM ROOM MC2</t>
  </si>
  <si>
    <t xml:space="preserve"> DC 500T#5</t>
  </si>
  <si>
    <t xml:space="preserve"> ELETRIC HOLDING FURNACE DC500T#2</t>
  </si>
  <si>
    <t xml:space="preserve"> ELETRIC HOLDING FURNACE DC500T#1</t>
  </si>
  <si>
    <t xml:space="preserve"> ELETRIC HOLDING FURNACE DC500T#3</t>
  </si>
  <si>
    <t xml:space="preserve">   4.3. 0904</t>
  </si>
  <si>
    <t>0451-62500</t>
  </si>
  <si>
    <t xml:space="preserve"> DC 650T#1</t>
  </si>
  <si>
    <t xml:space="preserve">     4.3.1. 0904-01 </t>
  </si>
  <si>
    <t xml:space="preserve"> DC 650T#2</t>
  </si>
  <si>
    <t xml:space="preserve"> DC 650T#5</t>
  </si>
  <si>
    <t xml:space="preserve">            - ELB/COMP/I1-1</t>
  </si>
  <si>
    <t xml:space="preserve">            - ELB/COMP/O1</t>
  </si>
  <si>
    <t xml:space="preserve">            - ELB/COMP/I1-5 ติดตั้ง มิ.ย.66 </t>
  </si>
  <si>
    <t xml:space="preserve">            - ELB/COMP/I1-2</t>
  </si>
  <si>
    <t xml:space="preserve">            - Assy CO/O2 ย้ายเข้า 20/3/64</t>
  </si>
  <si>
    <t>0451-626B8</t>
  </si>
  <si>
    <t xml:space="preserve">            - ออฟฟิศ MC2</t>
  </si>
  <si>
    <t>0451-626AK</t>
  </si>
  <si>
    <t>0451-626BL</t>
  </si>
  <si>
    <t>0451-63100</t>
  </si>
  <si>
    <t xml:space="preserve"> IMPRGE</t>
  </si>
  <si>
    <t>MC2-AL5</t>
  </si>
  <si>
    <t xml:space="preserve"> PRE MACHINE</t>
  </si>
  <si>
    <t>AL5</t>
  </si>
  <si>
    <t xml:space="preserve">       4.3.1.7. ELB/COMP/I1-2</t>
  </si>
  <si>
    <t xml:space="preserve">     4.3.2. 0904-02 </t>
  </si>
  <si>
    <t xml:space="preserve">            - HO/EX2</t>
  </si>
  <si>
    <t>บร</t>
  </si>
  <si>
    <t xml:space="preserve">   4.4. 0908 ( UTILITY )</t>
  </si>
  <si>
    <t xml:space="preserve">            - ไฟแสงจันทร์ คก.2 </t>
  </si>
  <si>
    <t xml:space="preserve">            - ไฟแสงจันทร์ PC STORE</t>
  </si>
  <si>
    <t>0451-627B1</t>
  </si>
  <si>
    <t xml:space="preserve">            - ประตูม้วน, ไฟถนน</t>
  </si>
  <si>
    <t xml:space="preserve">            - 0908-02 </t>
  </si>
  <si>
    <t xml:space="preserve">            - PC STORE</t>
  </si>
  <si>
    <t xml:space="preserve">   4.5. 0905 </t>
  </si>
  <si>
    <t>0451-627A8</t>
  </si>
  <si>
    <t xml:space="preserve">     4.5.1. 0905-01 </t>
  </si>
  <si>
    <t>0451-65200</t>
  </si>
  <si>
    <t xml:space="preserve"> LINE K</t>
  </si>
  <si>
    <t xml:space="preserve">            - COMP/G/C1</t>
  </si>
  <si>
    <t>เช็ค load</t>
  </si>
  <si>
    <t xml:space="preserve">            - SERVICE PART</t>
  </si>
  <si>
    <t xml:space="preserve">            - COMP/G/C2</t>
  </si>
  <si>
    <t xml:space="preserve">     4.5.3. 0905-05 </t>
  </si>
  <si>
    <t xml:space="preserve">            - B/T 1-2 </t>
  </si>
  <si>
    <t>0451-628B3</t>
  </si>
  <si>
    <t>0451-75600</t>
  </si>
  <si>
    <t xml:space="preserve"> LINE I/M 5</t>
  </si>
  <si>
    <t>0451-628B5</t>
  </si>
  <si>
    <t xml:space="preserve">     4.5.4. 0905-06 </t>
  </si>
  <si>
    <t xml:space="preserve"> DC 1650T#7</t>
  </si>
  <si>
    <t xml:space="preserve">            - CON/I/A 1</t>
  </si>
  <si>
    <t xml:space="preserve">   4.6. 0901</t>
  </si>
  <si>
    <t xml:space="preserve">     4.6.2. 0901-02</t>
  </si>
  <si>
    <t xml:space="preserve">            - POWER PLUG อาคาร Melting</t>
  </si>
  <si>
    <t xml:space="preserve">            - Melting C</t>
  </si>
  <si>
    <t>KWH Meter</t>
  </si>
  <si>
    <t xml:space="preserve"> ระบบไฟฟ้าอาคาร DC 2 zone TRIMMING</t>
  </si>
  <si>
    <t xml:space="preserve">   4.7. 0906 </t>
  </si>
  <si>
    <t xml:space="preserve"> ELETRIC HOLDING FURNACE G/C1-15,1-2</t>
  </si>
  <si>
    <t>`เตาอบ</t>
  </si>
  <si>
    <t xml:space="preserve">            - QA CENTER</t>
  </si>
  <si>
    <t xml:space="preserve">   5.1. 0807</t>
  </si>
  <si>
    <t xml:space="preserve">       5.1.1. 0807-01</t>
  </si>
  <si>
    <t xml:space="preserve">            - A/TRM 1</t>
  </si>
  <si>
    <t xml:space="preserve">            - A/TRM 2</t>
  </si>
  <si>
    <t xml:space="preserve">       5.1.2. 0807-04</t>
  </si>
  <si>
    <t xml:space="preserve">            - HO/EX 1</t>
  </si>
  <si>
    <t xml:space="preserve"> LINE HO/EX</t>
  </si>
  <si>
    <t xml:space="preserve">       5.1.3. 0807-02</t>
  </si>
  <si>
    <t xml:space="preserve">            - HO/CON 3</t>
  </si>
  <si>
    <t>MC2,AL5</t>
  </si>
  <si>
    <t xml:space="preserve">            - HO/CON 2 </t>
  </si>
  <si>
    <t xml:space="preserve">            - I/M 6</t>
  </si>
  <si>
    <t xml:space="preserve">            -I/M 11 </t>
  </si>
  <si>
    <t>0451-64000</t>
  </si>
  <si>
    <t xml:space="preserve"> LINE TRIMMING NEW DC1</t>
  </si>
  <si>
    <t xml:space="preserve">            - ASSY I/M2</t>
  </si>
  <si>
    <t>0451-75000</t>
  </si>
  <si>
    <t xml:space="preserve"> LINE TRIMMING DC 2 OUTSOURCE</t>
  </si>
  <si>
    <t>รหัสเครื่องวัด 21501222 รหัสลูกค้า C1-T00001</t>
  </si>
  <si>
    <t>ก่อน Vat</t>
  </si>
  <si>
    <t>Total KWH</t>
  </si>
  <si>
    <t xml:space="preserve">            - ROD/V</t>
  </si>
  <si>
    <t>เดือนก่อน</t>
  </si>
  <si>
    <t xml:space="preserve">เดือนนี้ </t>
  </si>
  <si>
    <t>Demand ON PEAK Rate A (KW)</t>
  </si>
  <si>
    <t>ถ้าเกินให้ปัดเป็น 1</t>
  </si>
  <si>
    <t>vat 7%</t>
  </si>
  <si>
    <t xml:space="preserve">            - ASSY I/M6 ย้ายเข้า 20/3/64</t>
  </si>
  <si>
    <t>Demand OFF PEAK Rate B (KW)</t>
  </si>
  <si>
    <t>หมายเหตุ : ค่าปรับ PF = KVAR - ( KW สูงสุด * 61.97%)</t>
  </si>
  <si>
    <t>หมายเหตุ ถ้าทศนิยมไม่เกิน 5 ให้ปัดทิ้ง</t>
  </si>
  <si>
    <t>รวม Vat</t>
  </si>
  <si>
    <t>Demand OFF PEAK Rate C (KW)</t>
  </si>
  <si>
    <t xml:space="preserve">                   ถ้าค่าติดลบจะไม่เสียค่าปรับ PF </t>
  </si>
  <si>
    <t>Sub-con</t>
  </si>
  <si>
    <t>sub-con</t>
  </si>
  <si>
    <t>Demand ON PEAK Rate A (74.14 BAHT/KW)</t>
  </si>
  <si>
    <t xml:space="preserve">                   เพราะฉะนั้นค่าปรับ PF =</t>
  </si>
  <si>
    <t xml:space="preserve">            - ออฟฟิศ MEL</t>
  </si>
  <si>
    <t>KWH ON PEAK Rate A  ( 4.1025 BAHT/Unit )</t>
  </si>
  <si>
    <t xml:space="preserve">   5.3.  0804-01</t>
  </si>
  <si>
    <t>KWH OFF PEAK Rate B  ( 2.5849 BAHT/Unit )</t>
  </si>
  <si>
    <t>KWH OFF PEAK Rate C  ( 2.5849 BAHT/Unit )</t>
  </si>
  <si>
    <t>วิธีดูค่าปรับ PF</t>
  </si>
  <si>
    <t>ดูค่า KVAR ที่สูงกว่าค่านี้ใน AMR</t>
  </si>
  <si>
    <t>เล่มส้มส้ม</t>
  </si>
  <si>
    <t>กราฟบันได</t>
  </si>
  <si>
    <t xml:space="preserve">            - ELB/COMP/I1-3 </t>
  </si>
  <si>
    <t>ค่าไฟ BACK UP 22KV</t>
  </si>
  <si>
    <t>Baht</t>
  </si>
  <si>
    <t>Kwh</t>
  </si>
  <si>
    <t xml:space="preserve">            - ELB/COMP/O2</t>
  </si>
  <si>
    <t>ค่าปรับปรุงต้นทุนการผลิต (0.3972 BAHT/UNIT ) ม.ค. - เม.ย. 67</t>
  </si>
  <si>
    <t>Actual แถว 128 เล่มส้ม</t>
  </si>
  <si>
    <t>Actual แถว 129 เล่มส้ม</t>
  </si>
  <si>
    <t xml:space="preserve">            - Tool regind + Rework m/c</t>
  </si>
  <si>
    <t>ค่าบริการ (312.24 BAHT/เดือน)</t>
  </si>
  <si>
    <t>ส่วนลดตามสัญญา</t>
  </si>
  <si>
    <t xml:space="preserve">            - I/M 9 </t>
  </si>
  <si>
    <t>ค่าปรับ PF (56.07 BAHT/KW)</t>
  </si>
  <si>
    <t xml:space="preserve">            - ELB/COMP/O3 </t>
  </si>
  <si>
    <t>ปรับปรุงอื่นๆ</t>
  </si>
  <si>
    <t xml:space="preserve">            - ระบบไฟฟ้า 0804-01/03A</t>
  </si>
  <si>
    <t>ติดมิเตอร์เพิ่ม</t>
  </si>
  <si>
    <t>TOTAL COST ( NOT INCLUDED VAT  7% )</t>
  </si>
  <si>
    <t>ส่วนลด 3%</t>
  </si>
  <si>
    <t>-</t>
  </si>
  <si>
    <t xml:space="preserve">            - I/M 2</t>
  </si>
  <si>
    <t>ยอดที่ต้องชำระ</t>
  </si>
  <si>
    <t xml:space="preserve">            - ELB/COMP/O3 DA476</t>
  </si>
  <si>
    <t>TOTAL COST ( INCLUDED VAT  7% )</t>
  </si>
  <si>
    <t xml:space="preserve">     5.3.4. ELB/COMP/I13- NEW LINE</t>
  </si>
  <si>
    <t>AVG UNIT COST ( NOT INCLUDED VAT 7% )</t>
  </si>
  <si>
    <t xml:space="preserve">     5.3.5. ระบบไฟฟ้าอาคาร คก.2</t>
  </si>
  <si>
    <t>AVG UNIT COST (  INCLUDED VAT 7% )</t>
  </si>
  <si>
    <t>LOAD FACTOR ( % )</t>
  </si>
  <si>
    <t xml:space="preserve">            - BR/F/P </t>
  </si>
  <si>
    <t>DA404=12KW</t>
  </si>
  <si>
    <t xml:space="preserve">            - C/VEN </t>
  </si>
  <si>
    <t xml:space="preserve">            - G </t>
  </si>
  <si>
    <t xml:space="preserve">     5.4.2. 0803-02</t>
  </si>
  <si>
    <t xml:space="preserve">            - I/M 12</t>
  </si>
  <si>
    <t xml:space="preserve">     5.4.3. 0803-04</t>
  </si>
  <si>
    <t xml:space="preserve">            - I/M 12 (washing,assy pipe,leak test ยังไม่ได้ติดตั้ง)</t>
  </si>
  <si>
    <t xml:space="preserve">            - BR/O/F3</t>
  </si>
  <si>
    <t xml:space="preserve">   5.5. 0802 </t>
  </si>
  <si>
    <t xml:space="preserve">     5.5.1. 0802-01</t>
  </si>
  <si>
    <t xml:space="preserve">            - Melting F, G, J, K</t>
  </si>
  <si>
    <t xml:space="preserve">    5.5.3. 0802-02 Melting M, L</t>
  </si>
  <si>
    <t xml:space="preserve"> WET SCREBBER MEL</t>
  </si>
  <si>
    <t xml:space="preserve">   5.6. 0801 </t>
  </si>
  <si>
    <t xml:space="preserve">     5.6.1. 0801-01</t>
  </si>
  <si>
    <t xml:space="preserve">            - Melting E</t>
  </si>
  <si>
    <t xml:space="preserve">            - Melting D</t>
  </si>
  <si>
    <t xml:space="preserve">            - Bag filter no.3 ฝั่งQA</t>
  </si>
  <si>
    <t xml:space="preserve">              - Melting E</t>
  </si>
  <si>
    <t xml:space="preserve">              - Melting C, D, H</t>
  </si>
  <si>
    <t xml:space="preserve">     5.6.2. 0801-02</t>
  </si>
  <si>
    <t xml:space="preserve">            - REMELT</t>
  </si>
  <si>
    <t xml:space="preserve">            - Bag filter no.2 ฝั่ง MC2</t>
  </si>
  <si>
    <t xml:space="preserve">              - Melting K, L, J, F, G</t>
  </si>
  <si>
    <t xml:space="preserve"> 6. MDB 17 </t>
  </si>
  <si>
    <t>1200/5</t>
  </si>
  <si>
    <t xml:space="preserve">            - ATA ออฟฟิศชั้นบน</t>
  </si>
  <si>
    <t xml:space="preserve">            - ส.ทธ.</t>
  </si>
  <si>
    <t xml:space="preserve">            - สนง.ปส.</t>
  </si>
  <si>
    <t xml:space="preserve">            - ส.บช.</t>
  </si>
  <si>
    <t xml:space="preserve">            - ส.คผ.</t>
  </si>
  <si>
    <t xml:space="preserve">            - ส.วก.</t>
  </si>
  <si>
    <t xml:space="preserve">     6.1. 1703 แอร์อาคาร LOCKER</t>
  </si>
  <si>
    <t xml:space="preserve">     6.3. 1705 โรงซักผ้า</t>
  </si>
  <si>
    <t xml:space="preserve"> 7. MDB 3 </t>
  </si>
  <si>
    <t xml:space="preserve">   7.1. 0301-01 </t>
  </si>
  <si>
    <t xml:space="preserve">            - DC 650T#2</t>
  </si>
  <si>
    <t xml:space="preserve">     7.1.1. 0301-01/02</t>
  </si>
  <si>
    <t xml:space="preserve">            - DC 650T#1 Cooling Return, Holding</t>
  </si>
  <si>
    <t xml:space="preserve">            - DC 650T#2 Vaccum</t>
  </si>
  <si>
    <t xml:space="preserve">            - DC 350T#10 Cooling Supply, Cooling Return, Holding</t>
  </si>
  <si>
    <t xml:space="preserve">            - TRIMMING T1-T5 TEP</t>
  </si>
  <si>
    <t xml:space="preserve">            - ไฟฟ้าอาคาร</t>
  </si>
  <si>
    <t>ประมาณจากไม่มี TRIMMING</t>
  </si>
  <si>
    <t>xxxxx</t>
  </si>
  <si>
    <t>0451-03200 ระบบไฟฟ้าอาคาร DC 2 zone DC ,0451-01200 ระบบไฟฟ้าอาคาร DC2 ฝั่ง PC STORE ,0451-03200 ระบบไฟฟ้าอาคาร DC 2 zone TRIMMING</t>
  </si>
  <si>
    <t xml:space="preserve">            - เตาอบ</t>
  </si>
  <si>
    <t xml:space="preserve"> 7.2.1. 0301-02/01A</t>
  </si>
  <si>
    <t xml:space="preserve">            - ระบบไฟฟ้าอาคาร อล.1</t>
  </si>
  <si>
    <t xml:space="preserve">            - เครน CR-AL1-04</t>
  </si>
  <si>
    <t xml:space="preserve"> 7.2.2. 0301-02/01B</t>
  </si>
  <si>
    <t xml:space="preserve">            - ออฟฟิศ อล.</t>
  </si>
  <si>
    <t xml:space="preserve">     7.3.2. 0301-02/02A</t>
  </si>
  <si>
    <t>ใช้ค่าประมาณ</t>
  </si>
  <si>
    <t xml:space="preserve">            - TRIMMING NEW ติดตั้ง 6/8/61</t>
  </si>
  <si>
    <t xml:space="preserve">            - Conveyor DC500T#2</t>
  </si>
  <si>
    <t>ติดตั้ง 24/6/59</t>
  </si>
  <si>
    <t xml:space="preserve">     7.3.4. เตาไฟฟ้า DC500T#2</t>
  </si>
  <si>
    <t>ติดมิเตอร์ 19/2/62</t>
  </si>
  <si>
    <t xml:space="preserve">     7.3.5. DC650T#5</t>
  </si>
  <si>
    <t xml:space="preserve">   7.4. 0301-04 </t>
  </si>
  <si>
    <t xml:space="preserve">            - DC250T#1</t>
  </si>
  <si>
    <t xml:space="preserve">            - เครน CR-AL1-03</t>
  </si>
  <si>
    <t xml:space="preserve">            - TRIMMING NEW ติดตั้ง 14/8/61</t>
  </si>
  <si>
    <t xml:space="preserve">   7.6. 0301-03 </t>
  </si>
  <si>
    <t xml:space="preserve">            - S/B SA011 ติดตั้ง 3/4/59</t>
  </si>
  <si>
    <t xml:space="preserve">            - TRIMMING DC2</t>
  </si>
  <si>
    <t xml:space="preserve">     7.6.1. 0301-03/02 ถอดมิเตอร์ 1/2/58</t>
  </si>
  <si>
    <t>ประมาณ</t>
  </si>
  <si>
    <t xml:space="preserve">            - DIE MAINT. เริ่มใช้ 2/2/58</t>
  </si>
  <si>
    <t xml:space="preserve">     7.6.2. 0301-03/01</t>
  </si>
  <si>
    <t xml:space="preserve">            - DIE MAINT</t>
  </si>
  <si>
    <t xml:space="preserve">     7.6.3. 0301-03/03</t>
  </si>
  <si>
    <t xml:space="preserve">   7.7. 0302 </t>
  </si>
  <si>
    <t xml:space="preserve">     7.7.1. 0302-02</t>
  </si>
  <si>
    <t xml:space="preserve">            - Cooling return DC500T#2</t>
  </si>
  <si>
    <t xml:space="preserve">            - Cooling return DC500T#5</t>
  </si>
  <si>
    <t xml:space="preserve">     7.7.2. ไฟฟ้าอาคาร</t>
  </si>
  <si>
    <t xml:space="preserve">            - เครน CR-AL1-09</t>
  </si>
  <si>
    <t xml:space="preserve"> Cooling tower zone 1, 4</t>
  </si>
  <si>
    <t xml:space="preserve">   7.10. 0304 </t>
  </si>
  <si>
    <t xml:space="preserve">            - DC350#3</t>
  </si>
  <si>
    <t xml:space="preserve">   7.11. 0306 </t>
  </si>
  <si>
    <t xml:space="preserve">            - DC 350T#6</t>
  </si>
  <si>
    <t xml:space="preserve">   7.12. 0307 </t>
  </si>
  <si>
    <t xml:space="preserve">            - DC 350T#1</t>
  </si>
  <si>
    <t xml:space="preserve">            - DC 350T#11</t>
  </si>
  <si>
    <t xml:space="preserve">     7.12.1. 0307-01</t>
  </si>
  <si>
    <t xml:space="preserve">            - เครน CR-AL1-05, 06</t>
  </si>
  <si>
    <t xml:space="preserve">   7.13. 0305</t>
  </si>
  <si>
    <t xml:space="preserve">            - DC 250T#6</t>
  </si>
  <si>
    <t xml:space="preserve">            - DC 250T#5</t>
  </si>
  <si>
    <t xml:space="preserve">   8.2. 0402 </t>
  </si>
  <si>
    <t xml:space="preserve">     8.2.1. 0402-01, 0402-02</t>
  </si>
  <si>
    <t xml:space="preserve">           - ระบบไฟฟ้าอาคาร</t>
  </si>
  <si>
    <t xml:space="preserve">   8.3. 0403*</t>
  </si>
  <si>
    <t>ไม่ได้ใช้งาน ไม่จด</t>
  </si>
  <si>
    <t xml:space="preserve">     8.3.1. 0403-01 (Spare)</t>
  </si>
  <si>
    <t xml:space="preserve">     8.3.2. พัดลมระบายอากาศหลังคา</t>
  </si>
  <si>
    <t xml:space="preserve">   8.4. 0406 </t>
  </si>
  <si>
    <t xml:space="preserve">           - เครื่องชาร์จแบตฯ</t>
  </si>
  <si>
    <t xml:space="preserve">   8.5. 0401</t>
  </si>
  <si>
    <t xml:space="preserve">     8.5.1. ปั๊มลมเช่า</t>
  </si>
  <si>
    <t xml:space="preserve">   8.6. 1203 ออฟฟิศ GC 1</t>
  </si>
  <si>
    <t xml:space="preserve">   9.1. 0704</t>
  </si>
  <si>
    <t>500/5</t>
  </si>
  <si>
    <t xml:space="preserve">   9.2. 0705 </t>
  </si>
  <si>
    <t xml:space="preserve">               -  ส.ซบ.</t>
  </si>
  <si>
    <t xml:space="preserve">     9.2.1. 0705-06</t>
  </si>
  <si>
    <t xml:space="preserve"> ส.วก. (WORK SHOP KAIZEN)</t>
  </si>
  <si>
    <t xml:space="preserve">         - Work shop Kaizen</t>
  </si>
  <si>
    <t xml:space="preserve">   9.4. 0707  ระบบไฟฟ้า DIE PM</t>
  </si>
  <si>
    <t xml:space="preserve"> 11. MDB 13 </t>
  </si>
  <si>
    <t>4000/5</t>
  </si>
  <si>
    <t xml:space="preserve">            - ปั๊มลม อล.</t>
  </si>
  <si>
    <t xml:space="preserve">   11.2. 1305 </t>
  </si>
  <si>
    <t xml:space="preserve">   - OTHER</t>
  </si>
  <si>
    <t xml:space="preserve">            - แสงสว่างหลังคาส่วนขยาย</t>
  </si>
  <si>
    <t>Die Maintenace DC2</t>
  </si>
  <si>
    <t xml:space="preserve">            - เตาไฟฟ้า DC500T#3 </t>
  </si>
  <si>
    <t>เตาไฟฟ้า DC 500T#3</t>
  </si>
  <si>
    <t xml:space="preserve">            - DC500T#3 </t>
  </si>
  <si>
    <t xml:space="preserve">            - CENTRAL LUBE</t>
  </si>
  <si>
    <t xml:space="preserve">            - DC350T #2</t>
  </si>
  <si>
    <t xml:space="preserve">            - ปั๊มน้ำเสีย PS19</t>
  </si>
  <si>
    <t xml:space="preserve">   - 1306-01 ไม่จ่ายไฟ</t>
  </si>
  <si>
    <t xml:space="preserve">            - Spare</t>
  </si>
  <si>
    <t xml:space="preserve">   11.4. 1308 </t>
  </si>
  <si>
    <t xml:space="preserve">            - PRE MACHINE</t>
  </si>
  <si>
    <t xml:space="preserve">   11.4.3. 1308-05 </t>
  </si>
  <si>
    <t xml:space="preserve">            - IMPREG 2</t>
  </si>
  <si>
    <t xml:space="preserve">    11.4.3.3 แอร์โรงอาหาร อล.</t>
  </si>
  <si>
    <t xml:space="preserve">    11.4.3.4 ไฟฟ้าโรงอาหาร อล.</t>
  </si>
  <si>
    <t xml:space="preserve">   11.4.4. บ่อหน่วงน้ำ DPS3 NO.1,2</t>
  </si>
  <si>
    <t xml:space="preserve">   11.6. 1301 </t>
  </si>
  <si>
    <t xml:space="preserve">            - ระบบไฟฟ้าอาคาร</t>
  </si>
  <si>
    <t xml:space="preserve">            -  เครน CR-AL1-01</t>
  </si>
  <si>
    <t xml:space="preserve">            -  DC350T#12</t>
  </si>
  <si>
    <t xml:space="preserve">     11.6.2. DC350T#10</t>
  </si>
  <si>
    <t xml:space="preserve">     11.6.3. DC650T#1 Out side press</t>
  </si>
  <si>
    <t xml:space="preserve">     11.6.4. DC650T#2 Out side press</t>
  </si>
  <si>
    <t xml:space="preserve">     11.6.5. DC350T#12</t>
  </si>
  <si>
    <t xml:space="preserve">     11.7.1. เตาไฟฟ้า DC500T#1</t>
  </si>
  <si>
    <t>เตาไฟฟ้า DC500T#1</t>
  </si>
  <si>
    <t xml:space="preserve">            - DC500  #2</t>
  </si>
  <si>
    <t xml:space="preserve">            - DC500  #1</t>
  </si>
  <si>
    <t xml:space="preserve">            - DC500  #5</t>
  </si>
  <si>
    <t>KW สูงกว่าเดิม</t>
  </si>
  <si>
    <t xml:space="preserve">   11.8. 1304 </t>
  </si>
  <si>
    <t xml:space="preserve">            - DC350  #9 </t>
  </si>
  <si>
    <t xml:space="preserve">            - DC350  #5</t>
  </si>
  <si>
    <t xml:space="preserve">   11.9. 1303 </t>
  </si>
  <si>
    <t xml:space="preserve">            - DC350  #7</t>
  </si>
  <si>
    <t xml:space="preserve">            - DC350  #8</t>
  </si>
  <si>
    <t xml:space="preserve">   12.1. 1607 </t>
  </si>
  <si>
    <t xml:space="preserve">            -  IA030 DIE SPOTTING</t>
  </si>
  <si>
    <t xml:space="preserve">   12.2. 1608 </t>
  </si>
  <si>
    <t xml:space="preserve">     12.2.2. ระบบไฟฟ้า DIE PM</t>
  </si>
  <si>
    <t xml:space="preserve">   12.3. 1604</t>
  </si>
  <si>
    <t xml:space="preserve">         -  ไฟแสงจันทร์ รง.DIE PM</t>
  </si>
  <si>
    <t xml:space="preserve">         - MACHINE DIE PM</t>
  </si>
  <si>
    <t xml:space="preserve"> 13. MDB 12 หม้อแปลงเสีย </t>
  </si>
  <si>
    <t>ไม่ได้จด ไม่ได้ใช้งาน</t>
  </si>
  <si>
    <t xml:space="preserve">   13.1. 1202</t>
  </si>
  <si>
    <t xml:space="preserve">   13.2. 1203 ระบบไฟฟ้าออฟฟิศ</t>
  </si>
  <si>
    <t xml:space="preserve">            - ออฟฟิศ GC</t>
  </si>
  <si>
    <t xml:space="preserve">   13.4. 1205 ระบบไฟฟ้าอาคาร</t>
  </si>
  <si>
    <t xml:space="preserve">   14.1. 1506</t>
  </si>
  <si>
    <t xml:space="preserve">            - Spray Robot DC800#6</t>
  </si>
  <si>
    <t xml:space="preserve">            - Hammer DC800#6</t>
  </si>
  <si>
    <t xml:space="preserve">            - Conveyor DC800#6</t>
  </si>
  <si>
    <t xml:space="preserve">     14.1.1. 1506-01</t>
  </si>
  <si>
    <t xml:space="preserve">            - JKK LINE DC1650T#2</t>
  </si>
  <si>
    <t xml:space="preserve">            - DC800T#2</t>
  </si>
  <si>
    <t xml:space="preserve">            - DC1250T#8</t>
  </si>
  <si>
    <t xml:space="preserve">            - DC800T#9 ย้ายออก 1510-02</t>
  </si>
  <si>
    <t xml:space="preserve">     14.2.1. เตาไฟฟ้า DC800T#2(ยกเลิก)</t>
  </si>
  <si>
    <t xml:space="preserve">     14.2.2. เตาไฟฟ้า DC800T#9</t>
  </si>
  <si>
    <t>ยกเลิกย้ายไป 850#7</t>
  </si>
  <si>
    <t xml:space="preserve">            - DC800T#9 </t>
  </si>
  <si>
    <t xml:space="preserve">   14.4. 1509 </t>
  </si>
  <si>
    <t xml:space="preserve"> Cooling tower zone 9,10</t>
  </si>
  <si>
    <t xml:space="preserve">           - เตาไฟฟ้า DC800T#1</t>
  </si>
  <si>
    <t xml:space="preserve">     14.4.1. DC800T#1</t>
  </si>
  <si>
    <t xml:space="preserve">            - DC800T#1</t>
  </si>
  <si>
    <t xml:space="preserve">   14.5. 1508</t>
  </si>
  <si>
    <t xml:space="preserve">            - DC1650T#7</t>
  </si>
  <si>
    <t xml:space="preserve"> DC 1250T#5  (เฉพาะเดือน ให้ใช้ Cost นี้)</t>
  </si>
  <si>
    <t xml:space="preserve">     14.7.1. 1507-02</t>
  </si>
  <si>
    <t xml:space="preserve">   15.1. 1001</t>
  </si>
  <si>
    <t>ไม่มีตู้ย้ายไป GC2</t>
  </si>
  <si>
    <t xml:space="preserve">            - DC1650T#2</t>
  </si>
  <si>
    <t xml:space="preserve"> DC2500T#1 ขายเครื่อง</t>
  </si>
  <si>
    <t xml:space="preserve">     15.2.2 เตาไฟฟ้า DC800T#6</t>
  </si>
  <si>
    <t xml:space="preserve">            - DC1650T#1</t>
  </si>
  <si>
    <t xml:space="preserve">            - OIL HEATER DC800T#2</t>
  </si>
  <si>
    <t>ไม่มี</t>
  </si>
  <si>
    <t xml:space="preserve">            - VACCUM DC1250T#8</t>
  </si>
  <si>
    <t xml:space="preserve">            - Trimming</t>
  </si>
  <si>
    <t xml:space="preserve">            - CONVEYOR LINE DC1250T#8</t>
  </si>
  <si>
    <t xml:space="preserve">            - DC800T#9 ย้ายออก</t>
  </si>
  <si>
    <t xml:space="preserve">     15.3.2 1003-01</t>
  </si>
  <si>
    <t xml:space="preserve">            - Conveyor, Vaccum unit DC1650T#1</t>
  </si>
  <si>
    <t xml:space="preserve">   15.4. 1004</t>
  </si>
  <si>
    <t xml:space="preserve">            - DC800T#12</t>
  </si>
  <si>
    <t xml:space="preserve">            - DC800T#8</t>
  </si>
  <si>
    <t>0451-626B1</t>
  </si>
  <si>
    <t xml:space="preserve">   15.5. 1009 </t>
  </si>
  <si>
    <t xml:space="preserve">      15.5.1. 1009-01 </t>
  </si>
  <si>
    <t xml:space="preserve">            - Trimming , Shot Blast SA018 </t>
  </si>
  <si>
    <t xml:space="preserve">     15.5.2. 1009-02 </t>
  </si>
  <si>
    <t xml:space="preserve">            - บ่อ SUM PS.25, ซุ้มพักผ่อนฝั่ง Q-Gate AW Export</t>
  </si>
  <si>
    <t xml:space="preserve">            - ปั๊มน้ำร้อน</t>
  </si>
  <si>
    <t xml:space="preserve">            - ปั๊มน้ำเย็น</t>
  </si>
  <si>
    <t xml:space="preserve">      15.5.6. FACTORY LIGHT PC STORE</t>
  </si>
  <si>
    <t xml:space="preserve">      15.5.7. OIL HEATER DC800#9</t>
  </si>
  <si>
    <t xml:space="preserve">   15.7 1006 ( ไฟสนามฟุตบอล )</t>
  </si>
  <si>
    <t xml:space="preserve">   16.1. 1809</t>
  </si>
  <si>
    <t xml:space="preserve">            -   DC1250T#9</t>
  </si>
  <si>
    <t xml:space="preserve">     16.1.3. 1809-01</t>
  </si>
  <si>
    <t xml:space="preserve">            -   DC850T#13</t>
  </si>
  <si>
    <t xml:space="preserve">            -   JKK DC1250T#9</t>
  </si>
  <si>
    <t xml:space="preserve">   16.2. 1803 </t>
  </si>
  <si>
    <t xml:space="preserve">            -   DC800T#6 ย้ายออก</t>
  </si>
  <si>
    <t xml:space="preserve">            -   DC800T#11 ย้ายเข้า 26/9</t>
  </si>
  <si>
    <t xml:space="preserve">   16.3. 1806</t>
  </si>
  <si>
    <t xml:space="preserve">            -   DC1650T#3</t>
  </si>
  <si>
    <t xml:space="preserve">   16.4. 1808 </t>
  </si>
  <si>
    <t xml:space="preserve">            -   DC1250T#3</t>
  </si>
  <si>
    <t xml:space="preserve">  0451-626N1</t>
  </si>
  <si>
    <t xml:space="preserve">            -   JKK DC1250T#3</t>
  </si>
  <si>
    <t xml:space="preserve">   16.5. 1807</t>
  </si>
  <si>
    <t xml:space="preserve">            -   DC1250T#1</t>
  </si>
  <si>
    <t xml:space="preserve"> ELETRIC HOLDING FURNACE DC850#15</t>
  </si>
  <si>
    <t xml:space="preserve">            -   DC850T#15</t>
  </si>
  <si>
    <t xml:space="preserve">   16.7. 1804 </t>
  </si>
  <si>
    <t xml:space="preserve">            -   DC850T#16</t>
  </si>
  <si>
    <t xml:space="preserve">            -   TRIMMING DC3 ย้ายออก 22/02/64</t>
  </si>
  <si>
    <t xml:space="preserve">   16.7.1. 1804-01 </t>
  </si>
  <si>
    <t xml:space="preserve">            -   ซุ้มพักผ่อน</t>
  </si>
  <si>
    <t xml:space="preserve">   16.7.2. 1804-02 DIE PM DC3</t>
  </si>
  <si>
    <t xml:space="preserve">   17.1. 1909</t>
  </si>
  <si>
    <t xml:space="preserve">            -   DC350THVSC#3</t>
  </si>
  <si>
    <t xml:space="preserve">     17.1.1. 1909-01</t>
  </si>
  <si>
    <t xml:space="preserve">            -   DC350THVSC#5</t>
  </si>
  <si>
    <t xml:space="preserve">   17.3. 1905 ตู้ไฟย้ายไป GC2</t>
  </si>
  <si>
    <t xml:space="preserve">      -   เตาไฟฟ้า G/C1-24,1-25</t>
  </si>
  <si>
    <t xml:space="preserve">     - เตาไฟฟ้า G/C 1-19,1-20 ย้ายเข้า 24/3/64</t>
  </si>
  <si>
    <t xml:space="preserve">            -   G/C1-22</t>
  </si>
  <si>
    <t xml:space="preserve"> LINE GRAVITY 1-22, 1-23</t>
  </si>
  <si>
    <t xml:space="preserve">            -   G/C1-23</t>
  </si>
  <si>
    <t xml:space="preserve">            -   G/C 1-15 </t>
  </si>
  <si>
    <t xml:space="preserve">            -   G/C 1-2</t>
  </si>
  <si>
    <t xml:space="preserve">            -   RH017,RM038,DA558 :  ELB/I (G/C1-22,1-23) </t>
  </si>
  <si>
    <t xml:space="preserve">            -   RH015,RM040 : ELB/I (G/C9-2,1-5) </t>
  </si>
  <si>
    <t xml:space="preserve">   17.5. 1908</t>
  </si>
  <si>
    <t xml:space="preserve">            -   DC350THVSC#2</t>
  </si>
  <si>
    <t xml:space="preserve">     17.5.1. 1908-01</t>
  </si>
  <si>
    <t xml:space="preserve">            -   DC350THVSC#1</t>
  </si>
  <si>
    <t xml:space="preserve">   17.6. 1903</t>
  </si>
  <si>
    <t xml:space="preserve">   17.7. 1906</t>
  </si>
  <si>
    <t xml:space="preserve">            -   DC1650T#5</t>
  </si>
  <si>
    <t xml:space="preserve">            -   JKK DC1650T#5</t>
  </si>
  <si>
    <t xml:space="preserve">   17.8. 1902</t>
  </si>
  <si>
    <t xml:space="preserve">            -   DC1650T#6</t>
  </si>
  <si>
    <t xml:space="preserve">     17.8.2. 1902-01</t>
  </si>
  <si>
    <t xml:space="preserve">            -   DC850T#7</t>
  </si>
  <si>
    <t xml:space="preserve">            -   เตาไฟฟ้า DC850T#7</t>
  </si>
  <si>
    <t>(ย้ายไป DC850#11)</t>
  </si>
  <si>
    <t xml:space="preserve"> 18. MDB 20</t>
  </si>
  <si>
    <t xml:space="preserve">   18.2. 2005B</t>
  </si>
  <si>
    <t xml:space="preserve">     18.2.1. 2005B-01</t>
  </si>
  <si>
    <t xml:space="preserve">           -   RH013,RM036,SA019 : KUBOTA (G/C1-15,1-2)</t>
  </si>
  <si>
    <t xml:space="preserve"> Knocking, Cutting, S/B, Trimming</t>
  </si>
  <si>
    <t xml:space="preserve">     18.2.2. 2005B ( load ที่อยู่ใน DB2005B)</t>
  </si>
  <si>
    <t xml:space="preserve">            -   G/C 1-12 </t>
  </si>
  <si>
    <t xml:space="preserve">            -   G/C 2-5 </t>
  </si>
  <si>
    <t xml:space="preserve">            -   G/C 1-5 </t>
  </si>
  <si>
    <t xml:space="preserve">            -   G/C 9-2 </t>
  </si>
  <si>
    <t xml:space="preserve">     18.2.3. ปั๊มน้ำบ่อดิน+บ่อคอนกรีต</t>
  </si>
  <si>
    <t xml:space="preserve">            -   พัดลมระบายอากาศตัวใหญ่</t>
  </si>
  <si>
    <t>ติดมิเตอร์ 9/01/65</t>
  </si>
  <si>
    <t xml:space="preserve">            -   EVAP</t>
  </si>
  <si>
    <t xml:space="preserve">            -   เครน</t>
  </si>
  <si>
    <t xml:space="preserve">            -   Auto Knoc&amp;Cut ยังไม่ได้เพิ่มในสูตรฝั่งซ้าย แจ้งบัญชีขอ cost center</t>
  </si>
  <si>
    <t xml:space="preserve">            -   G/C 7-3 </t>
  </si>
  <si>
    <t>MC001=7.5KW,RU067=9.6KW,KA058=1.7KW</t>
  </si>
  <si>
    <t xml:space="preserve">            -   G/C 1-8 </t>
  </si>
  <si>
    <t>MC027=9.6KW</t>
  </si>
  <si>
    <t xml:space="preserve">            -   G/C 1-24</t>
  </si>
  <si>
    <t xml:space="preserve">            -   G/C 1-25</t>
  </si>
  <si>
    <t xml:space="preserve">            -   G/C 1-19 </t>
  </si>
  <si>
    <t xml:space="preserve">            -   G/C 1-20</t>
  </si>
  <si>
    <t xml:space="preserve">     18.4.1. 2007B-01 </t>
  </si>
  <si>
    <t xml:space="preserve">           -  RH016,RM039 : ELB/O (G/C7-3,1-8)</t>
  </si>
  <si>
    <t xml:space="preserve">           -   RH014,RM003,RM015 : EJ59&amp;ELB/O (G/C1-20) </t>
  </si>
  <si>
    <t xml:space="preserve">     18.4.2. 2007B-02</t>
  </si>
  <si>
    <t xml:space="preserve">           -   RH003,RM033,RM035 : EJ88&amp;8080 (G/C1-24,1-25)</t>
  </si>
  <si>
    <t xml:space="preserve">           -   พัดลม BIG FAN 3 ตัว</t>
  </si>
  <si>
    <t>ย้ายโหลด+ ติดมิเตอร์</t>
  </si>
  <si>
    <t xml:space="preserve">           -   พัดลมระบายอากาศหลังคา</t>
  </si>
  <si>
    <t xml:space="preserve">   18.5. 2009</t>
  </si>
  <si>
    <t xml:space="preserve">     18.5.1. 2009-01</t>
  </si>
  <si>
    <t xml:space="preserve">           - พัดลมระบายอากาศ</t>
  </si>
  <si>
    <t>Die Maintenance</t>
  </si>
  <si>
    <t xml:space="preserve">           - Die Maintenance</t>
  </si>
  <si>
    <t xml:space="preserve">     18.5.2. 2009-02</t>
  </si>
  <si>
    <t xml:space="preserve">           - RG004 ( G/C 2 )</t>
  </si>
  <si>
    <t xml:space="preserve">           - RG005 ( G/C 2 )</t>
  </si>
  <si>
    <t xml:space="preserve">           - RG007 ( G/C 2 )</t>
  </si>
  <si>
    <t xml:space="preserve">           - RG010( G/C 2 )</t>
  </si>
  <si>
    <t xml:space="preserve">           - RG001( G/C 9 )</t>
  </si>
  <si>
    <t xml:space="preserve">           - RG011 (G/C 2)</t>
  </si>
  <si>
    <t xml:space="preserve">           - RG012 (G/C 1) </t>
  </si>
  <si>
    <t xml:space="preserve">           - RG013 (G/C 2) </t>
  </si>
  <si>
    <t xml:space="preserve">           - RG015 (G/C 2) </t>
  </si>
  <si>
    <t xml:space="preserve">     18.5.4. Shell core</t>
  </si>
  <si>
    <t xml:space="preserve">           - RG002 ( G/C 1 )</t>
  </si>
  <si>
    <t xml:space="preserve">           - RG003 ( G/C 1 )</t>
  </si>
  <si>
    <t xml:space="preserve">           - RG006 ( G/C 1 )</t>
  </si>
  <si>
    <t xml:space="preserve">           - RG008 ( G/C 7 )</t>
  </si>
  <si>
    <t xml:space="preserve">           - RG009 ( G/C 2 )</t>
  </si>
  <si>
    <t xml:space="preserve">           - RG019</t>
  </si>
  <si>
    <t xml:space="preserve">   18.9. 2002</t>
  </si>
  <si>
    <t xml:space="preserve">           - G/C 1-21</t>
  </si>
  <si>
    <t>แก้สูตร</t>
  </si>
  <si>
    <t xml:space="preserve">           - G/C 1-3</t>
  </si>
  <si>
    <t xml:space="preserve">           - G/C 1-6 </t>
  </si>
  <si>
    <t xml:space="preserve">           - G/C 1-18</t>
  </si>
  <si>
    <t xml:space="preserve">           - FAN , CONVEYOR G/C1-7,1-13 </t>
  </si>
  <si>
    <t xml:space="preserve">     18.9.1. 2002-02 </t>
  </si>
  <si>
    <t>125/5</t>
  </si>
  <si>
    <t xml:space="preserve">            -   G/C 1-11</t>
  </si>
  <si>
    <t>MC039=12KW, RU066=9.6KW</t>
  </si>
  <si>
    <t xml:space="preserve">            -   G/C 1-1</t>
  </si>
  <si>
    <t>MC011=20.96KW</t>
  </si>
  <si>
    <t xml:space="preserve">            -   พัดลมระบายความร้อน</t>
  </si>
  <si>
    <t xml:space="preserve">     18.9.2. 2002-01</t>
  </si>
  <si>
    <t xml:space="preserve">           -   RH002,IA064,RM024 : GD SET B (G/C1-7,1-13, G/C1-6,1-18 )</t>
  </si>
  <si>
    <t xml:space="preserve">           -  RH018,IA071,RM041 : GD SET C (G/C1-3,1-21,G/C1-1,1-11)</t>
  </si>
  <si>
    <t>RM041 = 37unit/shift , IA071 = 2.33unit/shift , RH018 = 0.4unit/shift</t>
  </si>
  <si>
    <t>แก้ KW ให้เท่ากัน</t>
  </si>
  <si>
    <r>
      <t xml:space="preserve">   18.11. 2019 เตาไฟฟ้า </t>
    </r>
    <r>
      <rPr>
        <sz val="12"/>
        <rFont val="CordiaUPC"/>
        <family val="2"/>
      </rPr>
      <t>G/C1-1,1-11</t>
    </r>
  </si>
  <si>
    <t xml:space="preserve">   18.12. 2004</t>
  </si>
  <si>
    <t xml:space="preserve">           -   ปั๊มน้ำข้างป้อมยาม</t>
  </si>
  <si>
    <t xml:space="preserve">           -   G/C 1-10 </t>
  </si>
  <si>
    <t xml:space="preserve">           -   G/C 2-6 </t>
  </si>
  <si>
    <t xml:space="preserve">           -   G/C 1-16 </t>
  </si>
  <si>
    <t xml:space="preserve">           -   G/C 1-17 </t>
  </si>
  <si>
    <t xml:space="preserve">            - G/C 2-2 </t>
  </si>
  <si>
    <t xml:space="preserve">            - G/C 2-1 </t>
  </si>
  <si>
    <t xml:space="preserve">               -   RH007,RM019 : ISUZU (G/C2-1,2-2)</t>
  </si>
  <si>
    <t xml:space="preserve">               - พัดลมระบายความร้อนตัวใหญ่ 3 ตัว</t>
  </si>
  <si>
    <t xml:space="preserve">               - RH011,RM004 : ES04&amp;ES08  (G/C1-19) </t>
  </si>
  <si>
    <t xml:space="preserve">   18.14. 2018 BAG FILTER</t>
  </si>
  <si>
    <t xml:space="preserve"> BAG FILTER (GC2)</t>
  </si>
  <si>
    <t xml:space="preserve">   18.15. 2011</t>
  </si>
  <si>
    <t xml:space="preserve"> ELETRIC HOLDING FURNACE G/C1-7,1-8</t>
  </si>
  <si>
    <t xml:space="preserve">           - เตาไฟฟ้า G/C 1-7,1-13</t>
  </si>
  <si>
    <t xml:space="preserve">   18.16. 2012</t>
  </si>
  <si>
    <t xml:space="preserve">           - เตาไฟฟ้า G/C 1-15, 1-2 ย้ายเข้า </t>
  </si>
  <si>
    <t xml:space="preserve">   18.17. 2013</t>
  </si>
  <si>
    <t xml:space="preserve">           - เตาไฟฟ้า G/C 1-16,1-17</t>
  </si>
  <si>
    <t xml:space="preserve">   18.18. 2014</t>
  </si>
  <si>
    <t xml:space="preserve">           - เตาไฟฟ้า G/C 2-6,1-10</t>
  </si>
  <si>
    <t xml:space="preserve">   18.19. 2006</t>
  </si>
  <si>
    <t xml:space="preserve">          -   G/C 1-7 </t>
  </si>
  <si>
    <t xml:space="preserve">          -   G/C 1-13 </t>
  </si>
  <si>
    <t xml:space="preserve">   18.20. 2016</t>
  </si>
  <si>
    <t xml:space="preserve">           - เตาไฟฟ้า G/C2-1,2-2 รอติดตั้ง</t>
  </si>
  <si>
    <t xml:space="preserve">   18.21. 2015</t>
  </si>
  <si>
    <t xml:space="preserve">           - เตาไฟฟ้า G/C 1-3, 1-21</t>
  </si>
  <si>
    <t xml:space="preserve">   18.22. 2017</t>
  </si>
  <si>
    <t xml:space="preserve">           - เตาไฟฟ้า G/C 1-6, 1-18 </t>
  </si>
  <si>
    <t>(TEP)</t>
  </si>
  <si>
    <t>(การไฟฟ้า)</t>
  </si>
  <si>
    <t xml:space="preserve"> TOTAL</t>
  </si>
  <si>
    <t>MDB</t>
  </si>
  <si>
    <t xml:space="preserve"> 115KV</t>
  </si>
  <si>
    <t>BAHT</t>
  </si>
  <si>
    <t xml:space="preserve"> Max Kilowatt Rate A Last Reset</t>
  </si>
  <si>
    <t xml:space="preserve"> Max Kilowatt Rate B Last Reset</t>
  </si>
  <si>
    <t xml:space="preserve"> Max Kilowatt Rate C Last Reset</t>
  </si>
  <si>
    <t xml:space="preserve"> Kilowatt-Hour Rate A Last Reset</t>
  </si>
  <si>
    <t xml:space="preserve"> Kilowatt-Hour Rate B Last Reset</t>
  </si>
  <si>
    <t xml:space="preserve"> Kilowatt-Hour Rate C Last Reset</t>
  </si>
  <si>
    <t xml:space="preserve"> SUM KWH </t>
  </si>
  <si>
    <t xml:space="preserve"> Max Kilovar Last Reset KVAR</t>
  </si>
  <si>
    <r>
      <t>หมายเหตุ</t>
    </r>
    <r>
      <rPr>
        <b/>
        <sz val="12"/>
        <rFont val="BrowalliaUPC"/>
        <family val="2"/>
        <charset val="222"/>
      </rPr>
      <t xml:space="preserve"> :</t>
    </r>
  </si>
  <si>
    <t xml:space="preserve"> 1. วันที่จดมิเตอร์ไฟ 01/04/22</t>
  </si>
  <si>
    <t>สูตรมีปัญหา</t>
  </si>
  <si>
    <t>0904-02 link ไม่ได้</t>
  </si>
  <si>
    <t>0804-01/03 link ไม่ได้</t>
  </si>
  <si>
    <t>LC2002-01 ประมาณผิด</t>
  </si>
  <si>
    <t>0804-02/02 link ไม่ได้</t>
  </si>
  <si>
    <t>0301-01 link ไม่ได้</t>
  </si>
  <si>
    <t xml:space="preserve"> - G/C 1-21</t>
  </si>
  <si>
    <t>ค่าน้อยกว่า</t>
  </si>
  <si>
    <t>1604 มิเตอร์เสีย</t>
  </si>
  <si>
    <t xml:space="preserve"> - G/C 1-3</t>
  </si>
  <si>
    <t xml:space="preserve">18.9.1. 2002-02 </t>
  </si>
  <si>
    <t>2004-01/01 link ไม่ได้</t>
  </si>
  <si>
    <t xml:space="preserve">  - G/C 1-6 </t>
  </si>
  <si>
    <t xml:space="preserve">  -   G/C 1-11</t>
  </si>
  <si>
    <t>OK</t>
  </si>
  <si>
    <t>2006 link ไม่ได้</t>
  </si>
  <si>
    <t xml:space="preserve">  - G/C 1-18</t>
  </si>
  <si>
    <t xml:space="preserve">  -   G/C 1-1</t>
  </si>
  <si>
    <t>แก้สูตรตู้ 0205-01 บรรทัดที่ 104-105 Line A2 ใช้ค่าเฉลี่ยต่อกะคูณจำนวนกะ</t>
  </si>
  <si>
    <t xml:space="preserve">แล้วเอาค่า KWH 0205-01 มาลบ A2 = PALLET  </t>
  </si>
  <si>
    <t>เนื่องจากถ้าใช้สูตรปกติค่า KWH ต่อกะของ A2 จะน้อยลงมากเหลือ 53 KWH/กะ</t>
  </si>
  <si>
    <t xml:space="preserve">แก้สูตร 3.1 0202 มีปัญหา 3.1.3 ออฟฟิศ กอ ค่า ติดลบ เนื่องจาก ratio ต่ำ </t>
  </si>
  <si>
    <t>แก้โดย เอาค่า KWH จริงของ 0202-05 กับ 0202-02 คูณ 85%</t>
  </si>
  <si>
    <t>ต้องเช็ค KWH GROUP MDB2 ว่าตู้ไหนมีปัญหา</t>
  </si>
  <si>
    <t>ติดมิเตอร์ห้องสหภาพ</t>
  </si>
  <si>
    <t>12-5-65  มีการเพิ่มบรรทัด 540 (มีการแก้ไขสูตรติดมิเตอร์เพิ่ม)DC800#8</t>
  </si>
  <si>
    <t xml:space="preserve">       5.1.4. 0807-03 </t>
  </si>
  <si>
    <t xml:space="preserve">            - DC 650T#1 </t>
  </si>
  <si>
    <t xml:space="preserve">           -   RH006,RM016,SA017 : ELB/I (G/C1-12,2-5 ) </t>
  </si>
  <si>
    <t xml:space="preserve">               -   RH019,IAXXX, RM042 : GD SET D (G/C1-16,1-17,G/C2-6,1-10 )</t>
  </si>
  <si>
    <r>
      <t xml:space="preserve">     3.4.1. 0208-02</t>
    </r>
    <r>
      <rPr>
        <sz val="12"/>
        <color indexed="17"/>
        <rFont val="CordiaUPC"/>
        <family val="2"/>
      </rPr>
      <t xml:space="preserve"> </t>
    </r>
  </si>
  <si>
    <r>
      <t xml:space="preserve">            - 0908-01</t>
    </r>
    <r>
      <rPr>
        <sz val="12"/>
        <rFont val="CordiaUPC"/>
        <family val="2"/>
      </rPr>
      <t xml:space="preserve"> </t>
    </r>
  </si>
  <si>
    <r>
      <t xml:space="preserve">     4.5.2. 0905-03</t>
    </r>
    <r>
      <rPr>
        <sz val="12"/>
        <rFont val="CordiaUPC"/>
        <family val="2"/>
      </rPr>
      <t xml:space="preserve"> </t>
    </r>
  </si>
  <si>
    <r>
      <t xml:space="preserve">     5.4.1. 0803-01</t>
    </r>
    <r>
      <rPr>
        <sz val="12"/>
        <color indexed="17"/>
        <rFont val="CordiaUPC"/>
        <family val="2"/>
      </rPr>
      <t xml:space="preserve"> </t>
    </r>
  </si>
  <si>
    <r>
      <t xml:space="preserve">     6.2. 1704  </t>
    </r>
    <r>
      <rPr>
        <sz val="12"/>
        <rFont val="CordiaUPC"/>
        <family val="2"/>
      </rPr>
      <t>ระบบไฟฟ้าอาคาร LOCKER</t>
    </r>
  </si>
  <si>
    <r>
      <t xml:space="preserve">     11.4.1. 1308-06 </t>
    </r>
    <r>
      <rPr>
        <sz val="12"/>
        <rFont val="CordiaUPC"/>
        <family val="2"/>
      </rPr>
      <t xml:space="preserve">ปั๊มน้ำ อล. </t>
    </r>
  </si>
  <si>
    <r>
      <t xml:space="preserve">            -   TRIMMING T-2,T-3 DC3</t>
    </r>
    <r>
      <rPr>
        <sz val="12"/>
        <rFont val="CordiaUPC"/>
        <family val="2"/>
      </rPr>
      <t xml:space="preserve"> ย้ายเข้า  25/02/64</t>
    </r>
  </si>
  <si>
    <r>
      <t xml:space="preserve">            -   TRIMMING T-1 DC3 </t>
    </r>
    <r>
      <rPr>
        <sz val="12"/>
        <rFont val="CordiaUPC"/>
        <family val="2"/>
      </rPr>
      <t>ย้ายเข้า  25/02/64</t>
    </r>
  </si>
  <si>
    <r>
      <t xml:space="preserve">       18.12.2 EVAP.G/C1-21,1-3,G/C1-6,1-18,GC1-1,1-11. ฝั่ง DB2004 </t>
    </r>
    <r>
      <rPr>
        <sz val="12"/>
        <color rgb="FFFF0000"/>
        <rFont val="CordiaUPC"/>
        <family val="2"/>
      </rPr>
      <t>ติดมิเตอร์</t>
    </r>
  </si>
  <si>
    <t xml:space="preserve">   11.1. MCB 1307</t>
  </si>
  <si>
    <t xml:space="preserve">     1.2.1. 0103-01</t>
  </si>
  <si>
    <t xml:space="preserve">   1.4. 0105</t>
  </si>
  <si>
    <t xml:space="preserve">     2.3.1. 0108-03_1</t>
  </si>
  <si>
    <t xml:space="preserve">   3.2. 0205</t>
  </si>
  <si>
    <t xml:space="preserve">     3.4.4.  shipping </t>
  </si>
  <si>
    <t xml:space="preserve">     3.4.5.  0208-03</t>
  </si>
  <si>
    <t xml:space="preserve">   3.6. 0206</t>
  </si>
  <si>
    <t xml:space="preserve"> 4. MDB9</t>
  </si>
  <si>
    <t xml:space="preserve">     4.1.3. 0902-03</t>
  </si>
  <si>
    <t xml:space="preserve">     4.2.5. 0903-03</t>
  </si>
  <si>
    <t xml:space="preserve">     4.2.4. 0903-06</t>
  </si>
  <si>
    <t xml:space="preserve">       4.3.1.2. 0904-01_02</t>
  </si>
  <si>
    <t xml:space="preserve">       4.3.1.1. 0904-01_01 </t>
  </si>
  <si>
    <t xml:space="preserve">     4.3.4. Air Dryer MC2</t>
  </si>
  <si>
    <t xml:space="preserve">     4.3.3. Air com.MC2</t>
  </si>
  <si>
    <t xml:space="preserve">     4.6.1. 0901-01</t>
  </si>
  <si>
    <t xml:space="preserve">              - MELT_I</t>
  </si>
  <si>
    <t xml:space="preserve">            - MELT_I</t>
  </si>
  <si>
    <t xml:space="preserve"> 5. MDB8</t>
  </si>
  <si>
    <t xml:space="preserve">     5.2.1. 0804-02_04</t>
  </si>
  <si>
    <t xml:space="preserve">     5.2.2. 0804-02_05</t>
  </si>
  <si>
    <t xml:space="preserve">     5.2.3. 0804-02-06</t>
  </si>
  <si>
    <t xml:space="preserve">     5.2.4. 0804-02_03 </t>
  </si>
  <si>
    <t xml:space="preserve">     5.2.5. 0804-02_02</t>
  </si>
  <si>
    <t xml:space="preserve">     5.2.6. 0804-02-07</t>
  </si>
  <si>
    <t xml:space="preserve">     5.3.1. 0804-01_01</t>
  </si>
  <si>
    <t xml:space="preserve">     5.3.2. 0804-01_03MC750</t>
  </si>
  <si>
    <t xml:space="preserve">     5.3.3. 0804-01_02MC750</t>
  </si>
  <si>
    <t xml:space="preserve">   5.4. 0803 MC750</t>
  </si>
  <si>
    <t xml:space="preserve">    5.5.4. Wet scubber MEL</t>
  </si>
  <si>
    <t xml:space="preserve">   7.2. 0301-02-01 </t>
  </si>
  <si>
    <t xml:space="preserve">   7.3. 0301-02-02 </t>
  </si>
  <si>
    <t xml:space="preserve">     7.4.1. 0301-04-01</t>
  </si>
  <si>
    <t xml:space="preserve"> 8. MDB4</t>
  </si>
  <si>
    <t xml:space="preserve">   9.3. 0701</t>
  </si>
  <si>
    <t xml:space="preserve"> 10. MDB 14</t>
  </si>
  <si>
    <t xml:space="preserve">     11.4.2. 1308_03</t>
  </si>
  <si>
    <t xml:space="preserve">     11.4.3.2. 1308_05_02</t>
  </si>
  <si>
    <t xml:space="preserve">     11.4.3.1. impreg</t>
  </si>
  <si>
    <t xml:space="preserve">   11.7. 1302</t>
  </si>
  <si>
    <t xml:space="preserve"> 12. MDB16</t>
  </si>
  <si>
    <t xml:space="preserve"> 14. MDB15 </t>
  </si>
  <si>
    <t xml:space="preserve">   14.2. 1510_01</t>
  </si>
  <si>
    <t xml:space="preserve">   14.3. 1510_02</t>
  </si>
  <si>
    <t xml:space="preserve">     14.5.3. 1508-01 NG</t>
  </si>
  <si>
    <t xml:space="preserve">       14.5.1. 1508-2 NG</t>
  </si>
  <si>
    <t xml:space="preserve">     14.5.2. Office DC1</t>
  </si>
  <si>
    <t xml:space="preserve">   14.6. 1505 NG</t>
  </si>
  <si>
    <t xml:space="preserve">   14.7. 1507</t>
  </si>
  <si>
    <t xml:space="preserve">   14.8. AC-DC1-02</t>
  </si>
  <si>
    <t xml:space="preserve"> 15. MDB10 </t>
  </si>
  <si>
    <t xml:space="preserve">   15.2. 1002</t>
  </si>
  <si>
    <t xml:space="preserve">     15.2.1. DC800#6</t>
  </si>
  <si>
    <t xml:space="preserve">     15.2.3. 1002-01</t>
  </si>
  <si>
    <t xml:space="preserve">   15.3. 1003 </t>
  </si>
  <si>
    <t xml:space="preserve">     15.3.1. 1003_02</t>
  </si>
  <si>
    <t xml:space="preserve">     15.3.2. ShiftBreakDC1</t>
  </si>
  <si>
    <t xml:space="preserve">     15.3.3. 1003-04 </t>
  </si>
  <si>
    <t xml:space="preserve">     15.5.4. CT-DC3-HOT</t>
  </si>
  <si>
    <t xml:space="preserve">     15.5.5. CT-DC3-COOL</t>
  </si>
  <si>
    <t xml:space="preserve">   15.8. 1008 </t>
  </si>
  <si>
    <t xml:space="preserve"> 16. MDB18 </t>
  </si>
  <si>
    <t xml:space="preserve">     16.1.2. oven850#13</t>
  </si>
  <si>
    <t xml:space="preserve">     16.1.1. oven1250#9</t>
  </si>
  <si>
    <t xml:space="preserve">      16.1.3.1. 1809-01_01</t>
  </si>
  <si>
    <t xml:space="preserve">     16.2.1. ovenDC850#11</t>
  </si>
  <si>
    <t xml:space="preserve">     16.3.1. ovenDC1650#3</t>
  </si>
  <si>
    <t xml:space="preserve">     16.3.2. 1806-02</t>
  </si>
  <si>
    <t xml:space="preserve">     16.4.1. ovenDC1250#3</t>
  </si>
  <si>
    <t xml:space="preserve">     16.4.2. ovenDC800#5</t>
  </si>
  <si>
    <t xml:space="preserve">     16.4.3. 1808-01</t>
  </si>
  <si>
    <t xml:space="preserve">      16.4.3.1. 1808-01_01</t>
  </si>
  <si>
    <t xml:space="preserve">     16.5.1. ovenDC1250#1</t>
  </si>
  <si>
    <t xml:space="preserve">            -. ovenDC850#15</t>
  </si>
  <si>
    <t xml:space="preserve">     16.5.2. 1807-01</t>
  </si>
  <si>
    <t xml:space="preserve">     16.5.3. 1807-02</t>
  </si>
  <si>
    <t xml:space="preserve">   16.6. 1805</t>
  </si>
  <si>
    <t xml:space="preserve"> 17. MDB19</t>
  </si>
  <si>
    <t xml:space="preserve">   17.4. 1907</t>
  </si>
  <si>
    <t xml:space="preserve">    17.4.1. 1907-01</t>
  </si>
  <si>
    <t xml:space="preserve">     17.7.1. ovenDC1650#5</t>
  </si>
  <si>
    <t xml:space="preserve">     17.8.1. ovenDC1650#6</t>
  </si>
  <si>
    <t xml:space="preserve">     18.2.4. 2005B-02</t>
  </si>
  <si>
    <t xml:space="preserve">     18.2.5. 2005B-03</t>
  </si>
  <si>
    <t xml:space="preserve">   18.4. 2007B</t>
  </si>
  <si>
    <t xml:space="preserve">     18.5.3. 2009-03</t>
  </si>
  <si>
    <t xml:space="preserve">     18.12.1. 2004-1</t>
  </si>
  <si>
    <t xml:space="preserve">          18.12.1.1.  2004-01_02</t>
  </si>
  <si>
    <t xml:space="preserve">          18.12.1.2. 2004-01_01</t>
  </si>
  <si>
    <t xml:space="preserve">     3.1.1. 0202-05</t>
  </si>
  <si>
    <t xml:space="preserve">       4.3.1.3. 0904-01_09</t>
  </si>
  <si>
    <t xml:space="preserve">       4.3.1.5. 0904-01_05</t>
  </si>
  <si>
    <t xml:space="preserve">       4.3.1.6. 0904-01_03</t>
  </si>
  <si>
    <t xml:space="preserve">   5.2.  0804-02 </t>
  </si>
  <si>
    <t xml:space="preserve">     5.2.5.1. 0804-02-02A</t>
  </si>
  <si>
    <t xml:space="preserve">            -. MELT_H</t>
  </si>
  <si>
    <t xml:space="preserve">     7.3.3. 0301_02_02B </t>
  </si>
  <si>
    <t xml:space="preserve"> 9. MDB7</t>
  </si>
  <si>
    <t xml:space="preserve">   -. oven_new</t>
  </si>
  <si>
    <t xml:space="preserve">   -. 1305-01 </t>
  </si>
  <si>
    <t xml:space="preserve">   11.3. MCB 1306 </t>
  </si>
  <si>
    <t xml:space="preserve">     11.6.3. 1301_02</t>
  </si>
  <si>
    <t xml:space="preserve">     12.2.1. WWT</t>
  </si>
  <si>
    <t xml:space="preserve">            -. DC1250#7</t>
  </si>
  <si>
    <t xml:space="preserve">            -. 1509-02</t>
  </si>
  <si>
    <t xml:space="preserve">   15.4.1  -. DC800T_8</t>
  </si>
  <si>
    <t xml:space="preserve">   15.4.2. 1004_01</t>
  </si>
  <si>
    <t xml:space="preserve">   15.6. AC-DC1-01</t>
  </si>
  <si>
    <t xml:space="preserve">            -. FIELD</t>
  </si>
  <si>
    <t xml:space="preserve">   17.2. 1904</t>
  </si>
  <si>
    <t xml:space="preserve">     18.5.1.1. 2009-01_1</t>
  </si>
  <si>
    <t xml:space="preserve">   18.7. Dust 1</t>
  </si>
  <si>
    <t xml:space="preserve">   18.8. Dust 2</t>
  </si>
  <si>
    <t xml:space="preserve">     17.7.2. 1906-1</t>
  </si>
  <si>
    <r>
      <t xml:space="preserve">   7.8. </t>
    </r>
    <r>
      <rPr>
        <sz val="12"/>
        <rFont val="CordiaUPC"/>
        <family val="2"/>
      </rPr>
      <t>CT-DC2-01-HOT</t>
    </r>
  </si>
  <si>
    <r>
      <t xml:space="preserve">   7.9. </t>
    </r>
    <r>
      <rPr>
        <sz val="12"/>
        <rFont val="CordiaUPC"/>
        <family val="2"/>
      </rPr>
      <t>CT-DC2-02-COOL</t>
    </r>
  </si>
  <si>
    <t xml:space="preserve">                 -. CT-DC1</t>
  </si>
  <si>
    <t xml:space="preserve">                 -. CT_DC1_OUT</t>
  </si>
  <si>
    <t xml:space="preserve">   18.6. CT - GC2</t>
  </si>
  <si>
    <t xml:space="preserve">     7.3.1. OFFICE-DC2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</si>
</sst>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3" formatCode="_-* #,##0.00_-;\-* #,##0.00_-;_-* &quot;-&quot;??_-;_-@_-"/>
    <numFmt numFmtId="164" formatCode="#,##0.000"/>
    <numFmt numFmtId="168" formatCode="#,##0.00_ ;\-#,##0.00\ "/>
    <numFmt numFmtId="169" formatCode="dd/mm/yyyy\ hh:mm"/>
    <numFmt numFmtId="174" formatCode="_-* #,##0_-;\-* #,##0_-;_-* &quot;-&quot;??_-;_-@_-"/>
    <numFmt numFmtId="175" formatCode="0.0"/>
    <numFmt numFmtId="176" formatCode="_(* #,##0.00_);_(* \(#,##0.00\);_(* &quot;-&quot;??_);_(@_)"/>
    <numFmt numFmtId="177" formatCode="_-* #,##0.0_-;\-* #,##0.0_-;_-* &quot;-&quot;??_-;_-@_-"/>
    <numFmt numFmtId="178" formatCode="0.000"/>
    <numFmt numFmtId="179" formatCode="_-* #,##0.0000_-;\-* #,##0.0000_-;_-* &quot;-&quot;??_-;_-@_-"/>
    <numFmt numFmtId="180" formatCode="B1d\-mmm"/>
    <numFmt numFmtId="181" formatCode="0.00000"/>
  </numFmts>
  <fonts count="124">
    <font>
      <sz val="14"/>
      <name val="Cordia New"/>
      <charset val="222"/>
    </font>
    <font>
      <sz val="11"/>
      <color theme="1"/>
      <name val="Calibri"/>
      <family val="2"/>
      <charset val="222"/>
      <scheme val="minor"/>
    </font>
    <font>
      <sz val="14"/>
      <name val="Cordia New"/>
      <family val="2"/>
    </font>
    <font>
      <sz val="10"/>
      <name val="Tahoma"/>
      <family val="2"/>
    </font>
    <font>
      <sz val="12"/>
      <name val="Tahoma"/>
      <family val="2"/>
    </font>
    <font>
      <sz val="12"/>
      <name val="Cordia New"/>
      <family val="2"/>
    </font>
    <font>
      <sz val="14"/>
      <name val="CordiaUPC"/>
      <family val="2"/>
    </font>
    <font>
      <b/>
      <i/>
      <sz val="20"/>
      <color indexed="17"/>
      <name val="EucrosiaUPC"/>
      <family val="1"/>
      <charset val="222"/>
    </font>
    <font>
      <b/>
      <i/>
      <sz val="6"/>
      <color indexed="17"/>
      <name val="Tahoma"/>
      <family val="2"/>
    </font>
    <font>
      <sz val="11"/>
      <name val="CordiaUPC"/>
      <family val="2"/>
      <charset val="222"/>
    </font>
    <font>
      <sz val="10"/>
      <name val="Arial"/>
      <family val="2"/>
    </font>
    <font>
      <sz val="16"/>
      <color rgb="FFFF0000"/>
      <name val="CordiaUPC"/>
      <family val="2"/>
      <charset val="222"/>
    </font>
    <font>
      <sz val="10"/>
      <name val="CordiaUPC"/>
      <family val="2"/>
      <charset val="222"/>
    </font>
    <font>
      <sz val="12"/>
      <name val="CordiaUPC"/>
      <family val="2"/>
      <charset val="222"/>
    </font>
    <font>
      <sz val="10"/>
      <name val="Calibri"/>
      <family val="2"/>
      <scheme val="minor"/>
    </font>
    <font>
      <sz val="6"/>
      <name val="Tahoma"/>
      <family val="2"/>
    </font>
    <font>
      <sz val="11"/>
      <name val="BrowalliaUPC"/>
      <family val="2"/>
      <charset val="222"/>
    </font>
    <font>
      <sz val="14"/>
      <name val="BrowalliaUPC"/>
      <family val="2"/>
      <charset val="222"/>
    </font>
    <font>
      <b/>
      <sz val="14"/>
      <color indexed="14"/>
      <name val="BrowalliaUPC"/>
      <family val="2"/>
      <charset val="222"/>
    </font>
    <font>
      <sz val="11"/>
      <color indexed="16"/>
      <name val="CordiaUPC"/>
      <family val="2"/>
      <charset val="222"/>
    </font>
    <font>
      <b/>
      <sz val="12"/>
      <name val="CordiaUPC"/>
      <family val="2"/>
      <charset val="222"/>
    </font>
    <font>
      <sz val="12"/>
      <name val="CordiaUPC"/>
      <family val="2"/>
    </font>
    <font>
      <sz val="12"/>
      <color indexed="8"/>
      <name val="CordiaUPC"/>
      <family val="2"/>
      <charset val="222"/>
    </font>
    <font>
      <sz val="12"/>
      <color indexed="14"/>
      <name val="CordiaUPC"/>
      <family val="2"/>
      <charset val="222"/>
    </font>
    <font>
      <sz val="12"/>
      <color indexed="12"/>
      <name val="CordiaUPC"/>
      <family val="2"/>
      <charset val="222"/>
    </font>
    <font>
      <sz val="6"/>
      <color indexed="16"/>
      <name val="Tahoma"/>
      <family val="2"/>
    </font>
    <font>
      <b/>
      <sz val="14"/>
      <color indexed="20"/>
      <name val="BrowalliaUPC"/>
      <family val="2"/>
      <charset val="222"/>
    </font>
    <font>
      <sz val="11"/>
      <color indexed="20"/>
      <name val="BrowalliaUPC"/>
      <family val="2"/>
      <charset val="222"/>
    </font>
    <font>
      <b/>
      <sz val="11"/>
      <color indexed="20"/>
      <name val="BrowalliaUPC"/>
      <family val="2"/>
      <charset val="222"/>
    </font>
    <font>
      <b/>
      <sz val="11"/>
      <color indexed="10"/>
      <name val="BrowalliaUPC"/>
      <family val="2"/>
      <charset val="222"/>
    </font>
    <font>
      <b/>
      <sz val="14"/>
      <color indexed="17"/>
      <name val="BrowalliaUPC"/>
      <family val="2"/>
      <charset val="222"/>
    </font>
    <font>
      <b/>
      <sz val="11"/>
      <color indexed="16"/>
      <name val="BrowalliaUPC"/>
      <family val="2"/>
      <charset val="222"/>
    </font>
    <font>
      <b/>
      <sz val="11"/>
      <color rgb="FFFF0000"/>
      <name val="Arial"/>
      <family val="2"/>
    </font>
    <font>
      <b/>
      <sz val="10"/>
      <name val="CordiaUPC"/>
      <family val="2"/>
      <charset val="222"/>
    </font>
    <font>
      <b/>
      <sz val="12"/>
      <name val="Arial"/>
      <family val="2"/>
    </font>
    <font>
      <b/>
      <sz val="10"/>
      <name val="Arial"/>
      <family val="2"/>
    </font>
    <font>
      <sz val="14"/>
      <name val="CordiaUPC"/>
      <family val="2"/>
      <charset val="222"/>
    </font>
    <font>
      <sz val="14"/>
      <color indexed="20"/>
      <name val="CordiaUPC"/>
      <family val="2"/>
      <charset val="222"/>
    </font>
    <font>
      <b/>
      <sz val="14"/>
      <color indexed="10"/>
      <name val="BrowalliaUPC"/>
      <family val="2"/>
      <charset val="222"/>
    </font>
    <font>
      <sz val="10"/>
      <name val="Cordia New"/>
      <family val="2"/>
    </font>
    <font>
      <sz val="5"/>
      <name val="CordiaUPC"/>
      <family val="2"/>
      <charset val="222"/>
    </font>
    <font>
      <sz val="14"/>
      <color indexed="14"/>
      <name val="BrowalliaUPC"/>
      <family val="2"/>
      <charset val="222"/>
    </font>
    <font>
      <sz val="14"/>
      <color indexed="17"/>
      <name val="BrowalliaUPC"/>
      <family val="2"/>
      <charset val="222"/>
    </font>
    <font>
      <b/>
      <sz val="14"/>
      <color indexed="16"/>
      <name val="BrowalliaUPC"/>
      <family val="2"/>
      <charset val="222"/>
    </font>
    <font>
      <sz val="12"/>
      <name val="BrowalliaUPC"/>
      <family val="2"/>
      <charset val="222"/>
    </font>
    <font>
      <sz val="5"/>
      <name val="Arial"/>
      <family val="2"/>
    </font>
    <font>
      <sz val="14"/>
      <color rgb="FF800080"/>
      <name val="BrowalliaUPC"/>
      <family val="2"/>
    </font>
    <font>
      <sz val="13"/>
      <color indexed="20"/>
      <name val="BrowalliaUPC"/>
      <family val="2"/>
    </font>
    <font>
      <sz val="11"/>
      <color indexed="20"/>
      <name val="BrowalliaUPC"/>
      <family val="2"/>
    </font>
    <font>
      <sz val="14"/>
      <color indexed="20"/>
      <name val="BrowalliaUPC"/>
      <family val="2"/>
    </font>
    <font>
      <sz val="14"/>
      <color indexed="10"/>
      <name val="BrowalliaUPC"/>
      <family val="2"/>
    </font>
    <font>
      <sz val="14"/>
      <color indexed="14"/>
      <name val="BrowalliaUPC"/>
      <family val="2"/>
    </font>
    <font>
      <sz val="14"/>
      <color indexed="16"/>
      <name val="BrowalliaUPC"/>
      <family val="2"/>
    </font>
    <font>
      <sz val="10"/>
      <color rgb="FF0070C0"/>
      <name val="BrowalliaUPC"/>
      <family val="2"/>
    </font>
    <font>
      <sz val="9"/>
      <name val="Arial"/>
      <family val="2"/>
    </font>
    <font>
      <sz val="8"/>
      <name val="Arial"/>
      <family val="2"/>
    </font>
    <font>
      <sz val="6"/>
      <color theme="1"/>
      <name val="Tahoma"/>
      <family val="2"/>
    </font>
    <font>
      <sz val="13"/>
      <color rgb="FF800080"/>
      <name val="BrowalliaUPC"/>
      <family val="2"/>
    </font>
    <font>
      <sz val="9"/>
      <color indexed="20"/>
      <name val="BrowalliaUPC"/>
      <family val="2"/>
    </font>
    <font>
      <sz val="11"/>
      <color theme="0"/>
      <name val="BrowalliaUPC"/>
      <family val="2"/>
    </font>
    <font>
      <sz val="14"/>
      <name val="BrowalliaUPC"/>
      <family val="2"/>
    </font>
    <font>
      <sz val="14"/>
      <color indexed="12"/>
      <name val="BrowalliaUPC"/>
      <family val="2"/>
    </font>
    <font>
      <i/>
      <sz val="14"/>
      <color indexed="14"/>
      <name val="BrowalliaUPC"/>
      <family val="2"/>
    </font>
    <font>
      <b/>
      <sz val="10"/>
      <color rgb="FFFF0000"/>
      <name val="Calibri"/>
      <family val="2"/>
      <scheme val="minor"/>
    </font>
    <font>
      <sz val="11"/>
      <name val="BrowalliaUPC"/>
      <family val="2"/>
    </font>
    <font>
      <sz val="14"/>
      <color rgb="FFFF0000"/>
      <name val="BrowalliaUPC"/>
      <family val="2"/>
    </font>
    <font>
      <sz val="14"/>
      <color rgb="FFFF00FF"/>
      <name val="BrowalliaUPC"/>
      <family val="2"/>
    </font>
    <font>
      <sz val="14"/>
      <color indexed="17"/>
      <name val="BrowalliaUPC"/>
      <family val="2"/>
    </font>
    <font>
      <vertAlign val="subscript"/>
      <sz val="6"/>
      <color theme="1"/>
      <name val="Tahoma"/>
      <family val="2"/>
    </font>
    <font>
      <sz val="10"/>
      <color rgb="FF0070C0"/>
      <name val="Calibri"/>
      <family val="2"/>
      <scheme val="minor"/>
    </font>
    <font>
      <sz val="8"/>
      <color indexed="20"/>
      <name val="BrowalliaUPC"/>
      <family val="2"/>
    </font>
    <font>
      <sz val="9"/>
      <name val="CordiaUPC"/>
      <family val="2"/>
      <charset val="222"/>
    </font>
    <font>
      <sz val="11"/>
      <color indexed="14"/>
      <name val="BrowalliaUPC"/>
      <family val="2"/>
    </font>
    <font>
      <sz val="10"/>
      <color indexed="20"/>
      <name val="BrowalliaUPC"/>
      <family val="2"/>
    </font>
    <font>
      <b/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1"/>
      <color rgb="FFFF0000"/>
      <name val="CordiaUPC"/>
      <family val="2"/>
    </font>
    <font>
      <sz val="12"/>
      <color indexed="20"/>
      <name val="BrowalliaUPC"/>
      <family val="2"/>
    </font>
    <font>
      <sz val="10"/>
      <color rgb="FF0070C0"/>
      <name val="CordiaUPC"/>
      <family val="2"/>
      <charset val="222"/>
    </font>
    <font>
      <b/>
      <sz val="16"/>
      <name val="CordiaUPC"/>
      <family val="2"/>
      <charset val="222"/>
    </font>
    <font>
      <b/>
      <sz val="14"/>
      <name val="CordiaUPC"/>
      <family val="2"/>
      <charset val="222"/>
    </font>
    <font>
      <sz val="20"/>
      <name val="CordiaUPC"/>
      <family val="2"/>
      <charset val="222"/>
    </font>
    <font>
      <sz val="11"/>
      <color indexed="14"/>
      <name val="CordiaUPC"/>
      <family val="2"/>
      <charset val="222"/>
    </font>
    <font>
      <sz val="14"/>
      <color indexed="10"/>
      <name val="Cordia New"/>
      <family val="2"/>
      <charset val="222"/>
    </font>
    <font>
      <b/>
      <sz val="12"/>
      <color indexed="14"/>
      <name val="CordiaUPC"/>
      <family val="2"/>
      <charset val="222"/>
    </font>
    <font>
      <b/>
      <sz val="16"/>
      <color indexed="10"/>
      <name val="CordiaUPC"/>
      <family val="2"/>
      <charset val="222"/>
    </font>
    <font>
      <b/>
      <sz val="20"/>
      <name val="CordiaUPC"/>
      <family val="2"/>
      <charset val="222"/>
    </font>
    <font>
      <sz val="12"/>
      <name val="Arial"/>
      <family val="2"/>
    </font>
    <font>
      <sz val="11"/>
      <color rgb="FFFF0000"/>
      <name val="CordiaUPC"/>
      <family val="2"/>
      <charset val="222"/>
    </font>
    <font>
      <sz val="6"/>
      <name val="Arial"/>
      <family val="2"/>
    </font>
    <font>
      <sz val="12"/>
      <color theme="1"/>
      <name val="CordiaUPC"/>
      <family val="2"/>
      <charset val="222"/>
    </font>
    <font>
      <sz val="14"/>
      <color indexed="14"/>
      <name val="CordiaUPC"/>
      <family val="2"/>
      <charset val="222"/>
    </font>
    <font>
      <sz val="14"/>
      <color indexed="16"/>
      <name val="CordiaUPC"/>
      <family val="2"/>
      <charset val="222"/>
    </font>
    <font>
      <sz val="10"/>
      <color indexed="16"/>
      <name val="CordiaUPC"/>
      <family val="2"/>
      <charset val="222"/>
    </font>
    <font>
      <sz val="14"/>
      <color theme="1"/>
      <name val="CordiaUPC"/>
      <family val="2"/>
      <charset val="222"/>
    </font>
    <font>
      <sz val="6"/>
      <color theme="0"/>
      <name val="Tahoma"/>
      <family val="2"/>
    </font>
    <font>
      <sz val="48"/>
      <name val="CordiaUPC"/>
      <family val="2"/>
      <charset val="222"/>
    </font>
    <font>
      <sz val="12"/>
      <color indexed="16"/>
      <name val="CordiaUPC"/>
      <family val="2"/>
      <charset val="222"/>
    </font>
    <font>
      <vertAlign val="subscript"/>
      <sz val="6"/>
      <color indexed="16"/>
      <name val="Tahoma"/>
      <family val="2"/>
    </font>
    <font>
      <sz val="12"/>
      <color rgb="FFFF0000"/>
      <name val="CordiaUPC"/>
      <family val="2"/>
      <charset val="222"/>
    </font>
    <font>
      <sz val="12"/>
      <color indexed="20"/>
      <name val="CordiaUPC"/>
      <family val="2"/>
      <charset val="222"/>
    </font>
    <font>
      <sz val="12"/>
      <color indexed="10"/>
      <name val="CordiaUPC"/>
      <family val="2"/>
      <charset val="222"/>
    </font>
    <font>
      <vertAlign val="subscript"/>
      <sz val="6"/>
      <name val="Tahoma"/>
      <family val="2"/>
    </font>
    <font>
      <b/>
      <sz val="12"/>
      <color indexed="12"/>
      <name val="CordiaUPC"/>
      <family val="2"/>
      <charset val="222"/>
    </font>
    <font>
      <b/>
      <u/>
      <sz val="12"/>
      <name val="BrowalliaUPC"/>
      <family val="2"/>
      <charset val="222"/>
    </font>
    <font>
      <b/>
      <sz val="12"/>
      <name val="BrowalliaUPC"/>
      <family val="2"/>
      <charset val="222"/>
    </font>
    <font>
      <b/>
      <sz val="8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i/>
      <sz val="12"/>
      <color indexed="17"/>
      <name val="EucrosiaUPC"/>
      <family val="1"/>
      <charset val="222"/>
    </font>
    <font>
      <sz val="12"/>
      <color theme="1"/>
      <name val="CordiaUPC"/>
      <family val="2"/>
    </font>
    <font>
      <i/>
      <sz val="12"/>
      <color indexed="46"/>
      <name val="CordiaUPC"/>
      <family val="2"/>
      <charset val="222"/>
    </font>
    <font>
      <i/>
      <sz val="12"/>
      <color rgb="FFCC99FF"/>
      <name val="CordiaUPC"/>
      <family val="2"/>
    </font>
    <font>
      <sz val="12"/>
      <color indexed="60"/>
      <name val="CordiaUPC"/>
      <family val="2"/>
      <charset val="222"/>
    </font>
    <font>
      <i/>
      <sz val="12"/>
      <color indexed="46"/>
      <name val="CordiaUPC"/>
      <family val="2"/>
    </font>
    <font>
      <sz val="12"/>
      <color rgb="FFFF0000"/>
      <name val="Calibri"/>
      <family val="2"/>
      <charset val="222"/>
      <scheme val="minor"/>
    </font>
    <font>
      <i/>
      <sz val="12"/>
      <name val="CordiaUPC"/>
      <family val="2"/>
      <charset val="222"/>
    </font>
    <font>
      <sz val="12"/>
      <color indexed="23"/>
      <name val="CordiaUPC"/>
      <family val="2"/>
      <charset val="222"/>
    </font>
    <font>
      <sz val="12"/>
      <color indexed="17"/>
      <name val="CordiaUPC"/>
      <family val="2"/>
    </font>
    <font>
      <sz val="12"/>
      <color indexed="46"/>
      <name val="CordiaUPC"/>
      <family val="2"/>
      <charset val="222"/>
    </font>
    <font>
      <i/>
      <sz val="12"/>
      <color indexed="12"/>
      <name val="CordiaUPC"/>
      <family val="2"/>
      <charset val="222"/>
    </font>
    <font>
      <i/>
      <sz val="12"/>
      <color theme="1"/>
      <name val="CordiaUPC"/>
      <family val="2"/>
      <charset val="222"/>
    </font>
    <font>
      <sz val="12"/>
      <color indexed="56"/>
      <name val="CordiaUPC"/>
      <family val="2"/>
      <charset val="222"/>
    </font>
    <font>
      <sz val="12"/>
      <color rgb="FFFF0000"/>
      <name val="CordiaUPC"/>
      <family val="2"/>
    </font>
  </fonts>
  <fills count="3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indexed="13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2" fillId="0" borderId="0"/>
    <xf numFmtId="43" fontId="2" fillId="0" borderId="0" applyFont="0" applyFill="0" applyBorder="0" applyAlignment="0" applyProtection="0"/>
    <xf numFmtId="0" fontId="6" fillId="0" borderId="0"/>
    <xf numFmtId="43" fontId="2" fillId="0" borderId="0" applyFont="0" applyFill="0" applyBorder="0" applyAlignment="0" applyProtection="0"/>
    <xf numFmtId="0" fontId="2" fillId="0" borderId="0"/>
    <xf numFmtId="0" fontId="10" fillId="0" borderId="0"/>
    <xf numFmtId="43" fontId="10" fillId="0" borderId="0" applyFont="0" applyFill="0" applyBorder="0" applyAlignment="0" applyProtection="0"/>
  </cellStyleXfs>
  <cellXfs count="1252">
    <xf numFmtId="0" fontId="0" fillId="0" borderId="0" xfId="0"/>
    <xf numFmtId="169" fontId="3" fillId="0" borderId="0" xfId="0" applyNumberFormat="1" applyFont="1" applyAlignment="1">
      <alignment horizontal="left" vertical="center"/>
    </xf>
    <xf numFmtId="164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vertical="center"/>
    </xf>
    <xf numFmtId="164" fontId="3" fillId="0" borderId="0" xfId="0" applyNumberFormat="1" applyFont="1" applyAlignment="1">
      <alignment vertical="center"/>
    </xf>
    <xf numFmtId="0" fontId="8" fillId="0" borderId="0" xfId="4" applyFont="1" applyAlignment="1">
      <alignment horizontal="center" vertical="center"/>
    </xf>
    <xf numFmtId="0" fontId="0" fillId="0" borderId="0" xfId="0" applyAlignment="1">
      <alignment vertical="center"/>
    </xf>
    <xf numFmtId="0" fontId="9" fillId="0" borderId="0" xfId="4" applyFont="1" applyAlignment="1">
      <alignment vertical="center"/>
    </xf>
    <xf numFmtId="0" fontId="10" fillId="0" borderId="0" xfId="4" applyFont="1"/>
    <xf numFmtId="43" fontId="11" fillId="5" borderId="0" xfId="5" applyFont="1" applyFill="1" applyAlignment="1">
      <alignment horizontal="center" vertical="center"/>
    </xf>
    <xf numFmtId="0" fontId="12" fillId="0" borderId="0" xfId="4" applyFont="1" applyAlignment="1">
      <alignment horizontal="center" vertical="center"/>
    </xf>
    <xf numFmtId="0" fontId="12" fillId="0" borderId="0" xfId="4" applyFont="1" applyAlignment="1">
      <alignment vertical="center"/>
    </xf>
    <xf numFmtId="0" fontId="12" fillId="0" borderId="0" xfId="4" quotePrefix="1" applyFont="1" applyAlignment="1">
      <alignment horizontal="left" vertical="center"/>
    </xf>
    <xf numFmtId="0" fontId="13" fillId="0" borderId="0" xfId="4" applyFont="1" applyAlignment="1">
      <alignment vertical="center"/>
    </xf>
    <xf numFmtId="43" fontId="10" fillId="0" borderId="0" xfId="5" applyFont="1" applyFill="1" applyBorder="1" applyAlignment="1">
      <alignment horizontal="center" vertical="center"/>
    </xf>
    <xf numFmtId="0" fontId="12" fillId="0" borderId="0" xfId="4" applyFont="1" applyAlignment="1">
      <alignment horizontal="left" vertical="center"/>
    </xf>
    <xf numFmtId="43" fontId="14" fillId="8" borderId="1" xfId="5" applyFont="1" applyFill="1" applyBorder="1" applyAlignment="1">
      <alignment horizontal="center"/>
    </xf>
    <xf numFmtId="0" fontId="9" fillId="0" borderId="0" xfId="4" applyFont="1" applyAlignment="1">
      <alignment horizontal="center" vertical="center"/>
    </xf>
    <xf numFmtId="0" fontId="15" fillId="0" borderId="0" xfId="4" applyFont="1" applyAlignment="1">
      <alignment horizontal="center" vertical="center"/>
    </xf>
    <xf numFmtId="0" fontId="16" fillId="0" borderId="0" xfId="4" applyFont="1" applyAlignment="1">
      <alignment vertical="center"/>
    </xf>
    <xf numFmtId="0" fontId="17" fillId="0" borderId="0" xfId="4" applyFont="1" applyAlignment="1">
      <alignment vertical="center"/>
    </xf>
    <xf numFmtId="0" fontId="18" fillId="0" borderId="0" xfId="4" applyFont="1" applyAlignment="1">
      <alignment horizontal="center" vertical="center"/>
    </xf>
    <xf numFmtId="0" fontId="19" fillId="0" borderId="0" xfId="4" applyFont="1" applyAlignment="1">
      <alignment vertical="center"/>
    </xf>
    <xf numFmtId="43" fontId="12" fillId="10" borderId="0" xfId="5" applyFont="1" applyFill="1" applyAlignment="1">
      <alignment vertical="center"/>
    </xf>
    <xf numFmtId="43" fontId="10" fillId="0" borderId="0" xfId="5" applyFont="1" applyFill="1" applyAlignment="1">
      <alignment horizontal="center" vertical="center"/>
    </xf>
    <xf numFmtId="0" fontId="20" fillId="0" borderId="2" xfId="4" applyFont="1" applyBorder="1" applyAlignment="1">
      <alignment horizontal="center" vertical="center"/>
    </xf>
    <xf numFmtId="0" fontId="22" fillId="0" borderId="10" xfId="4" applyFont="1" applyBorder="1" applyAlignment="1">
      <alignment horizontal="center" vertical="center"/>
    </xf>
    <xf numFmtId="0" fontId="23" fillId="0" borderId="10" xfId="4" applyFont="1" applyBorder="1" applyAlignment="1">
      <alignment horizontal="center" vertical="center"/>
    </xf>
    <xf numFmtId="0" fontId="13" fillId="0" borderId="10" xfId="4" applyFont="1" applyBorder="1" applyAlignment="1">
      <alignment horizontal="center" vertical="center"/>
    </xf>
    <xf numFmtId="0" fontId="24" fillId="0" borderId="10" xfId="4" applyFont="1" applyBorder="1" applyAlignment="1">
      <alignment horizontal="center" vertical="center"/>
    </xf>
    <xf numFmtId="0" fontId="25" fillId="0" borderId="0" xfId="4" applyFont="1" applyAlignment="1">
      <alignment horizontal="center" vertical="center"/>
    </xf>
    <xf numFmtId="0" fontId="26" fillId="0" borderId="2" xfId="4" applyFont="1" applyBorder="1" applyAlignment="1">
      <alignment horizontal="center" vertical="center"/>
    </xf>
    <xf numFmtId="0" fontId="26" fillId="0" borderId="10" xfId="4" applyFont="1" applyBorder="1" applyAlignment="1">
      <alignment horizontal="center" vertical="center"/>
    </xf>
    <xf numFmtId="0" fontId="27" fillId="0" borderId="10" xfId="4" applyFont="1" applyBorder="1" applyAlignment="1">
      <alignment horizontal="center" vertical="center"/>
    </xf>
    <xf numFmtId="0" fontId="28" fillId="0" borderId="10" xfId="4" applyFont="1" applyBorder="1" applyAlignment="1">
      <alignment horizontal="center" vertical="center"/>
    </xf>
    <xf numFmtId="0" fontId="29" fillId="0" borderId="10" xfId="4" applyFont="1" applyBorder="1" applyAlignment="1">
      <alignment horizontal="center" vertical="center"/>
    </xf>
    <xf numFmtId="0" fontId="30" fillId="0" borderId="10" xfId="4" applyFont="1" applyBorder="1" applyAlignment="1">
      <alignment horizontal="center" vertical="center"/>
    </xf>
    <xf numFmtId="0" fontId="18" fillId="0" borderId="10" xfId="4" applyFont="1" applyBorder="1" applyAlignment="1">
      <alignment horizontal="center" vertical="center"/>
    </xf>
    <xf numFmtId="0" fontId="31" fillId="0" borderId="2" xfId="4" applyFont="1" applyBorder="1" applyAlignment="1">
      <alignment horizontal="center" vertical="center"/>
    </xf>
    <xf numFmtId="0" fontId="31" fillId="0" borderId="0" xfId="4" applyFont="1" applyAlignment="1">
      <alignment horizontal="center" vertical="center"/>
    </xf>
    <xf numFmtId="0" fontId="32" fillId="0" borderId="0" xfId="4" applyFont="1" applyAlignment="1">
      <alignment horizontal="center" vertical="center"/>
    </xf>
    <xf numFmtId="0" fontId="32" fillId="0" borderId="0" xfId="4" quotePrefix="1" applyFont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10" fillId="0" borderId="0" xfId="4" applyFont="1" applyAlignment="1">
      <alignment horizontal="center" vertical="center"/>
    </xf>
    <xf numFmtId="0" fontId="33" fillId="0" borderId="0" xfId="4" applyFont="1" applyAlignment="1">
      <alignment horizontal="center" vertical="center"/>
    </xf>
    <xf numFmtId="0" fontId="34" fillId="0" borderId="0" xfId="4" applyFont="1" applyAlignment="1">
      <alignment horizontal="center" vertical="center"/>
    </xf>
    <xf numFmtId="43" fontId="35" fillId="0" borderId="0" xfId="5" applyFont="1" applyFill="1" applyAlignment="1">
      <alignment horizontal="center" vertical="center"/>
    </xf>
    <xf numFmtId="0" fontId="33" fillId="0" borderId="0" xfId="4" applyFont="1" applyAlignment="1">
      <alignment horizontal="left" vertical="center"/>
    </xf>
    <xf numFmtId="0" fontId="14" fillId="8" borderId="1" xfId="0" applyFont="1" applyFill="1" applyBorder="1"/>
    <xf numFmtId="43" fontId="9" fillId="0" borderId="0" xfId="4" applyNumberFormat="1" applyFont="1" applyAlignment="1">
      <alignment vertical="center"/>
    </xf>
    <xf numFmtId="0" fontId="22" fillId="0" borderId="11" xfId="4" applyFont="1" applyBorder="1" applyAlignment="1">
      <alignment horizontal="center" vertical="center"/>
    </xf>
    <xf numFmtId="0" fontId="23" fillId="0" borderId="11" xfId="4" applyFont="1" applyBorder="1" applyAlignment="1">
      <alignment horizontal="center" vertical="center"/>
    </xf>
    <xf numFmtId="0" fontId="15" fillId="0" borderId="0" xfId="4" applyFont="1" applyAlignment="1">
      <alignment vertical="center"/>
    </xf>
    <xf numFmtId="0" fontId="26" fillId="0" borderId="4" xfId="4" applyFont="1" applyBorder="1" applyAlignment="1">
      <alignment horizontal="center" vertical="center"/>
    </xf>
    <xf numFmtId="0" fontId="26" fillId="0" borderId="11" xfId="4" applyFont="1" applyBorder="1" applyAlignment="1">
      <alignment horizontal="center" vertical="center"/>
    </xf>
    <xf numFmtId="0" fontId="27" fillId="0" borderId="11" xfId="4" applyFont="1" applyBorder="1" applyAlignment="1">
      <alignment horizontal="center" vertical="center"/>
    </xf>
    <xf numFmtId="0" fontId="28" fillId="0" borderId="11" xfId="4" applyFont="1" applyBorder="1" applyAlignment="1">
      <alignment horizontal="center" vertical="center"/>
    </xf>
    <xf numFmtId="0" fontId="29" fillId="0" borderId="11" xfId="4" applyFont="1" applyBorder="1" applyAlignment="1">
      <alignment horizontal="center" vertical="center"/>
    </xf>
    <xf numFmtId="0" fontId="30" fillId="0" borderId="11" xfId="4" applyFont="1" applyBorder="1" applyAlignment="1">
      <alignment horizontal="center" vertical="center"/>
    </xf>
    <xf numFmtId="0" fontId="18" fillId="0" borderId="11" xfId="4" applyFont="1" applyBorder="1" applyAlignment="1">
      <alignment horizontal="center" vertical="center"/>
    </xf>
    <xf numFmtId="0" fontId="31" fillId="0" borderId="4" xfId="4" applyFont="1" applyBorder="1" applyAlignment="1">
      <alignment horizontal="center" vertical="center"/>
    </xf>
    <xf numFmtId="0" fontId="38" fillId="11" borderId="0" xfId="4" applyFont="1" applyFill="1" applyAlignment="1">
      <alignment vertical="center"/>
    </xf>
    <xf numFmtId="0" fontId="16" fillId="11" borderId="0" xfId="4" applyFont="1" applyFill="1" applyAlignment="1">
      <alignment vertical="center"/>
    </xf>
    <xf numFmtId="0" fontId="9" fillId="11" borderId="0" xfId="4" applyFont="1" applyFill="1" applyAlignment="1">
      <alignment vertical="center"/>
    </xf>
    <xf numFmtId="43" fontId="12" fillId="0" borderId="0" xfId="5" applyFont="1" applyAlignment="1">
      <alignment vertical="center"/>
    </xf>
    <xf numFmtId="0" fontId="12" fillId="12" borderId="0" xfId="4" applyFont="1" applyFill="1" applyAlignment="1">
      <alignment horizontal="center" vertical="center"/>
    </xf>
    <xf numFmtId="43" fontId="10" fillId="0" borderId="0" xfId="5" applyFont="1" applyAlignment="1">
      <alignment horizontal="center" vertical="center"/>
    </xf>
    <xf numFmtId="0" fontId="39" fillId="8" borderId="0" xfId="0" applyFont="1" applyFill="1"/>
    <xf numFmtId="43" fontId="39" fillId="8" borderId="0" xfId="5" applyFont="1" applyFill="1"/>
    <xf numFmtId="0" fontId="25" fillId="0" borderId="0" xfId="4" applyFont="1" applyAlignment="1">
      <alignment vertical="center"/>
    </xf>
    <xf numFmtId="0" fontId="41" fillId="10" borderId="2" xfId="4" applyFont="1" applyFill="1" applyBorder="1" applyAlignment="1">
      <alignment horizontal="center" vertical="center"/>
    </xf>
    <xf numFmtId="0" fontId="41" fillId="10" borderId="10" xfId="4" applyFont="1" applyFill="1" applyBorder="1" applyAlignment="1">
      <alignment horizontal="center" vertical="center"/>
    </xf>
    <xf numFmtId="0" fontId="41" fillId="10" borderId="10" xfId="4" applyFont="1" applyFill="1" applyBorder="1" applyAlignment="1">
      <alignment horizontal="right" vertical="center"/>
    </xf>
    <xf numFmtId="43" fontId="41" fillId="10" borderId="10" xfId="5" applyFont="1" applyFill="1" applyBorder="1" applyAlignment="1">
      <alignment horizontal="right" vertical="center"/>
    </xf>
    <xf numFmtId="43" fontId="42" fillId="10" borderId="2" xfId="5" applyFont="1" applyFill="1" applyBorder="1" applyAlignment="1">
      <alignment horizontal="right" vertical="center"/>
    </xf>
    <xf numFmtId="43" fontId="41" fillId="10" borderId="2" xfId="4" applyNumberFormat="1" applyFont="1" applyFill="1" applyBorder="1" applyAlignment="1">
      <alignment vertical="center"/>
    </xf>
    <xf numFmtId="175" fontId="43" fillId="10" borderId="10" xfId="4" applyNumberFormat="1" applyFont="1" applyFill="1" applyBorder="1" applyAlignment="1">
      <alignment horizontal="right" vertical="center"/>
    </xf>
    <xf numFmtId="175" fontId="43" fillId="10" borderId="0" xfId="4" applyNumberFormat="1" applyFont="1" applyFill="1" applyAlignment="1">
      <alignment horizontal="right" vertical="center"/>
    </xf>
    <xf numFmtId="175" fontId="43" fillId="0" borderId="0" xfId="4" applyNumberFormat="1" applyFont="1" applyAlignment="1">
      <alignment horizontal="right" vertical="center"/>
    </xf>
    <xf numFmtId="2" fontId="9" fillId="0" borderId="0" xfId="4" applyNumberFormat="1" applyFont="1" applyAlignment="1">
      <alignment vertical="center"/>
    </xf>
    <xf numFmtId="0" fontId="44" fillId="0" borderId="0" xfId="4" applyFont="1" applyAlignment="1">
      <alignment vertical="center"/>
    </xf>
    <xf numFmtId="2" fontId="44" fillId="0" borderId="0" xfId="4" applyNumberFormat="1" applyFont="1" applyAlignment="1">
      <alignment vertical="center"/>
    </xf>
    <xf numFmtId="0" fontId="10" fillId="12" borderId="0" xfId="4" applyFont="1" applyFill="1" applyAlignment="1">
      <alignment vertical="center"/>
    </xf>
    <xf numFmtId="0" fontId="10" fillId="12" borderId="0" xfId="4" applyFont="1" applyFill="1" applyAlignment="1">
      <alignment horizontal="center" vertical="center"/>
    </xf>
    <xf numFmtId="0" fontId="35" fillId="12" borderId="0" xfId="4" quotePrefix="1" applyFont="1" applyFill="1" applyAlignment="1">
      <alignment horizontal="center" vertical="center"/>
    </xf>
    <xf numFmtId="43" fontId="35" fillId="12" borderId="0" xfId="5" quotePrefix="1" applyFont="1" applyFill="1" applyAlignment="1">
      <alignment horizontal="center" vertical="center"/>
    </xf>
    <xf numFmtId="0" fontId="45" fillId="12" borderId="0" xfId="4" applyFont="1" applyFill="1" applyAlignment="1">
      <alignment horizontal="center" vertical="center"/>
    </xf>
    <xf numFmtId="0" fontId="40" fillId="12" borderId="0" xfId="4" applyFont="1" applyFill="1" applyAlignment="1">
      <alignment horizontal="center" vertical="center"/>
    </xf>
    <xf numFmtId="0" fontId="33" fillId="12" borderId="0" xfId="4" applyFont="1" applyFill="1" applyAlignment="1">
      <alignment horizontal="center" vertical="center"/>
    </xf>
    <xf numFmtId="0" fontId="0" fillId="13" borderId="0" xfId="0" applyFill="1"/>
    <xf numFmtId="43" fontId="35" fillId="12" borderId="0" xfId="5" applyFont="1" applyFill="1" applyAlignment="1">
      <alignment horizontal="center" vertical="center"/>
    </xf>
    <xf numFmtId="0" fontId="33" fillId="12" borderId="0" xfId="4" applyFont="1" applyFill="1" applyAlignment="1">
      <alignment horizontal="left" vertical="center"/>
    </xf>
    <xf numFmtId="43" fontId="14" fillId="8" borderId="1" xfId="5" applyFont="1" applyFill="1" applyBorder="1" applyAlignment="1">
      <alignment horizontal="center" vertical="center"/>
    </xf>
    <xf numFmtId="0" fontId="46" fillId="0" borderId="3" xfId="4" applyFont="1" applyBorder="1" applyAlignment="1">
      <alignment horizontal="right" vertical="center"/>
    </xf>
    <xf numFmtId="0" fontId="47" fillId="0" borderId="6" xfId="4" applyFont="1" applyBorder="1" applyAlignment="1">
      <alignment vertical="center"/>
    </xf>
    <xf numFmtId="0" fontId="48" fillId="0" borderId="6" xfId="4" applyFont="1" applyBorder="1" applyAlignment="1">
      <alignment horizontal="center" vertical="center"/>
    </xf>
    <xf numFmtId="2" fontId="49" fillId="0" borderId="6" xfId="4" applyNumberFormat="1" applyFont="1" applyBorder="1" applyAlignment="1">
      <alignment horizontal="right" vertical="center"/>
    </xf>
    <xf numFmtId="2" fontId="50" fillId="0" borderId="6" xfId="4" applyNumberFormat="1" applyFont="1" applyBorder="1" applyAlignment="1">
      <alignment horizontal="right" vertical="center"/>
    </xf>
    <xf numFmtId="2" fontId="51" fillId="0" borderId="3" xfId="4" applyNumberFormat="1" applyFont="1" applyBorder="1" applyAlignment="1">
      <alignment vertical="center"/>
    </xf>
    <xf numFmtId="175" fontId="52" fillId="0" borderId="6" xfId="4" applyNumberFormat="1" applyFont="1" applyBorder="1" applyAlignment="1">
      <alignment horizontal="right" vertical="center"/>
    </xf>
    <xf numFmtId="175" fontId="53" fillId="0" borderId="0" xfId="4" applyNumberFormat="1" applyFont="1" applyAlignment="1">
      <alignment horizontal="center" vertical="center"/>
    </xf>
    <xf numFmtId="0" fontId="13" fillId="0" borderId="0" xfId="4" quotePrefix="1" applyFont="1" applyAlignment="1">
      <alignment horizontal="left" vertical="center"/>
    </xf>
    <xf numFmtId="0" fontId="54" fillId="0" borderId="0" xfId="4" applyFont="1" applyAlignment="1">
      <alignment vertical="center"/>
    </xf>
    <xf numFmtId="0" fontId="9" fillId="0" borderId="0" xfId="4" quotePrefix="1" applyFont="1" applyAlignment="1">
      <alignment horizontal="center" vertical="center"/>
    </xf>
    <xf numFmtId="43" fontId="54" fillId="0" borderId="0" xfId="5" applyFont="1" applyFill="1" applyBorder="1" applyAlignment="1">
      <alignment vertical="center"/>
    </xf>
    <xf numFmtId="43" fontId="0" fillId="0" borderId="0" xfId="0" applyNumberFormat="1"/>
    <xf numFmtId="0" fontId="55" fillId="0" borderId="0" xfId="0" applyFont="1" applyAlignment="1">
      <alignment horizontal="left" vertical="center"/>
    </xf>
    <xf numFmtId="0" fontId="55" fillId="0" borderId="0" xfId="0" applyFont="1"/>
    <xf numFmtId="43" fontId="54" fillId="0" borderId="0" xfId="5" applyFont="1" applyFill="1" applyBorder="1"/>
    <xf numFmtId="0" fontId="49" fillId="0" borderId="6" xfId="4" applyFont="1" applyBorder="1" applyAlignment="1">
      <alignment vertical="center"/>
    </xf>
    <xf numFmtId="43" fontId="42" fillId="10" borderId="3" xfId="5" applyFont="1" applyFill="1" applyBorder="1" applyAlignment="1">
      <alignment horizontal="right" vertical="center"/>
    </xf>
    <xf numFmtId="43" fontId="44" fillId="0" borderId="0" xfId="5" applyFont="1" applyAlignment="1">
      <alignment vertical="center"/>
    </xf>
    <xf numFmtId="0" fontId="55" fillId="0" borderId="0" xfId="4" applyFont="1" applyAlignment="1">
      <alignment vertical="center"/>
    </xf>
    <xf numFmtId="43" fontId="14" fillId="8" borderId="1" xfId="5" applyFont="1" applyFill="1" applyBorder="1"/>
    <xf numFmtId="0" fontId="56" fillId="0" borderId="0" xfId="4" applyFont="1" applyAlignment="1">
      <alignment horizontal="center" vertical="center"/>
    </xf>
    <xf numFmtId="0" fontId="56" fillId="0" borderId="0" xfId="4" applyFont="1" applyAlignment="1">
      <alignment horizontal="left" vertical="center"/>
    </xf>
    <xf numFmtId="0" fontId="57" fillId="0" borderId="3" xfId="4" applyFont="1" applyBorder="1" applyAlignment="1">
      <alignment horizontal="right" vertical="center"/>
    </xf>
    <xf numFmtId="2" fontId="44" fillId="0" borderId="0" xfId="4" applyNumberFormat="1" applyFont="1" applyAlignment="1">
      <alignment horizontal="right" vertical="center"/>
    </xf>
    <xf numFmtId="0" fontId="57" fillId="0" borderId="3" xfId="0" quotePrefix="1" applyFont="1" applyBorder="1" applyAlignment="1">
      <alignment horizontal="right" vertical="center"/>
    </xf>
    <xf numFmtId="0" fontId="59" fillId="15" borderId="6" xfId="4" applyFont="1" applyFill="1" applyBorder="1" applyAlignment="1">
      <alignment horizontal="center" vertical="center"/>
    </xf>
    <xf numFmtId="2" fontId="49" fillId="0" borderId="3" xfId="4" applyNumberFormat="1" applyFont="1" applyBorder="1" applyAlignment="1">
      <alignment horizontal="right" vertical="center"/>
    </xf>
    <xf numFmtId="0" fontId="13" fillId="16" borderId="0" xfId="4" applyFont="1" applyFill="1" applyAlignment="1">
      <alignment vertical="center"/>
    </xf>
    <xf numFmtId="0" fontId="54" fillId="16" borderId="0" xfId="4" applyFont="1" applyFill="1" applyAlignment="1">
      <alignment vertical="center"/>
    </xf>
    <xf numFmtId="0" fontId="9" fillId="16" borderId="0" xfId="4" quotePrefix="1" applyFont="1" applyFill="1" applyAlignment="1">
      <alignment horizontal="center" vertical="center"/>
    </xf>
    <xf numFmtId="43" fontId="54" fillId="16" borderId="0" xfId="5" applyFont="1" applyFill="1" applyBorder="1" applyAlignment="1">
      <alignment vertical="center"/>
    </xf>
    <xf numFmtId="43" fontId="9" fillId="16" borderId="0" xfId="4" applyNumberFormat="1" applyFont="1" applyFill="1" applyAlignment="1">
      <alignment vertical="center"/>
    </xf>
    <xf numFmtId="0" fontId="9" fillId="16" borderId="0" xfId="4" applyFont="1" applyFill="1" applyAlignment="1">
      <alignment vertical="center"/>
    </xf>
    <xf numFmtId="0" fontId="55" fillId="16" borderId="0" xfId="4" applyFont="1" applyFill="1" applyAlignment="1">
      <alignment vertical="center"/>
    </xf>
    <xf numFmtId="43" fontId="54" fillId="16" borderId="0" xfId="5" applyFont="1" applyFill="1" applyBorder="1"/>
    <xf numFmtId="43" fontId="42" fillId="10" borderId="12" xfId="5" applyFont="1" applyFill="1" applyBorder="1" applyAlignment="1">
      <alignment horizontal="right" vertical="center"/>
    </xf>
    <xf numFmtId="2" fontId="9" fillId="0" borderId="0" xfId="4" applyNumberFormat="1" applyFont="1" applyAlignment="1">
      <alignment horizontal="right" vertical="center"/>
    </xf>
    <xf numFmtId="0" fontId="46" fillId="0" borderId="15" xfId="4" applyFont="1" applyBorder="1" applyAlignment="1">
      <alignment horizontal="right" vertical="center"/>
    </xf>
    <xf numFmtId="0" fontId="49" fillId="0" borderId="16" xfId="4" applyFont="1" applyBorder="1" applyAlignment="1">
      <alignment vertical="center"/>
    </xf>
    <xf numFmtId="0" fontId="48" fillId="0" borderId="16" xfId="4" applyFont="1" applyBorder="1" applyAlignment="1">
      <alignment horizontal="center" vertical="center"/>
    </xf>
    <xf numFmtId="2" fontId="49" fillId="0" borderId="16" xfId="4" applyNumberFormat="1" applyFont="1" applyBorder="1" applyAlignment="1">
      <alignment horizontal="right" vertical="center"/>
    </xf>
    <xf numFmtId="2" fontId="50" fillId="0" borderId="16" xfId="4" applyNumberFormat="1" applyFont="1" applyBorder="1" applyAlignment="1">
      <alignment horizontal="right" vertical="center"/>
    </xf>
    <xf numFmtId="0" fontId="51" fillId="0" borderId="15" xfId="4" applyFont="1" applyBorder="1" applyAlignment="1">
      <alignment vertical="center"/>
    </xf>
    <xf numFmtId="175" fontId="52" fillId="0" borderId="16" xfId="4" applyNumberFormat="1" applyFont="1" applyBorder="1" applyAlignment="1">
      <alignment horizontal="right" vertical="center"/>
    </xf>
    <xf numFmtId="0" fontId="46" fillId="0" borderId="12" xfId="4" applyFont="1" applyBorder="1" applyAlignment="1">
      <alignment horizontal="right" vertical="center"/>
    </xf>
    <xf numFmtId="0" fontId="49" fillId="0" borderId="13" xfId="4" applyFont="1" applyBorder="1" applyAlignment="1">
      <alignment vertical="center"/>
    </xf>
    <xf numFmtId="0" fontId="48" fillId="0" borderId="13" xfId="4" applyFont="1" applyBorder="1" applyAlignment="1">
      <alignment horizontal="center" vertical="center"/>
    </xf>
    <xf numFmtId="2" fontId="49" fillId="0" borderId="13" xfId="4" applyNumberFormat="1" applyFont="1" applyBorder="1" applyAlignment="1">
      <alignment horizontal="right" vertical="center"/>
    </xf>
    <xf numFmtId="2" fontId="60" fillId="0" borderId="13" xfId="4" applyNumberFormat="1" applyFont="1" applyBorder="1" applyAlignment="1">
      <alignment horizontal="right" vertical="center"/>
    </xf>
    <xf numFmtId="2" fontId="50" fillId="0" borderId="13" xfId="4" applyNumberFormat="1" applyFont="1" applyBorder="1" applyAlignment="1">
      <alignment horizontal="right" vertical="center"/>
    </xf>
    <xf numFmtId="43" fontId="51" fillId="0" borderId="12" xfId="4" applyNumberFormat="1" applyFont="1" applyBorder="1" applyAlignment="1">
      <alignment vertical="center"/>
    </xf>
    <xf numFmtId="175" fontId="52" fillId="0" borderId="13" xfId="4" applyNumberFormat="1" applyFont="1" applyBorder="1" applyAlignment="1">
      <alignment horizontal="right" vertical="center"/>
    </xf>
    <xf numFmtId="43" fontId="9" fillId="0" borderId="0" xfId="5" applyFont="1" applyAlignment="1">
      <alignment horizontal="right" vertical="center"/>
    </xf>
    <xf numFmtId="43" fontId="9" fillId="0" borderId="0" xfId="5" applyFont="1" applyAlignment="1">
      <alignment horizontal="center" vertical="center"/>
    </xf>
    <xf numFmtId="43" fontId="9" fillId="0" borderId="0" xfId="5" applyFont="1" applyAlignment="1">
      <alignment vertical="center"/>
    </xf>
    <xf numFmtId="2" fontId="61" fillId="0" borderId="6" xfId="4" applyNumberFormat="1" applyFont="1" applyBorder="1" applyAlignment="1">
      <alignment horizontal="right" vertical="center"/>
    </xf>
    <xf numFmtId="176" fontId="62" fillId="0" borderId="3" xfId="4" applyNumberFormat="1" applyFont="1" applyBorder="1" applyAlignment="1">
      <alignment vertical="center"/>
    </xf>
    <xf numFmtId="2" fontId="49" fillId="0" borderId="3" xfId="0" applyNumberFormat="1" applyFont="1" applyBorder="1" applyAlignment="1">
      <alignment horizontal="right" vertical="center"/>
    </xf>
    <xf numFmtId="2" fontId="49" fillId="17" borderId="6" xfId="4" applyNumberFormat="1" applyFont="1" applyFill="1" applyBorder="1" applyAlignment="1">
      <alignment horizontal="right" vertical="center"/>
    </xf>
    <xf numFmtId="43" fontId="9" fillId="17" borderId="0" xfId="5" applyFont="1" applyFill="1" applyBorder="1" applyAlignment="1">
      <alignment horizontal="right" vertical="center"/>
    </xf>
    <xf numFmtId="0" fontId="14" fillId="6" borderId="1" xfId="0" applyFont="1" applyFill="1" applyBorder="1"/>
    <xf numFmtId="43" fontId="14" fillId="6" borderId="1" xfId="5" applyFont="1" applyFill="1" applyBorder="1"/>
    <xf numFmtId="0" fontId="49" fillId="0" borderId="17" xfId="0" applyFont="1" applyBorder="1" applyAlignment="1">
      <alignment vertical="center"/>
    </xf>
    <xf numFmtId="0" fontId="48" fillId="0" borderId="3" xfId="4" applyFont="1" applyBorder="1" applyAlignment="1">
      <alignment horizontal="center" vertical="center"/>
    </xf>
    <xf numFmtId="43" fontId="9" fillId="0" borderId="0" xfId="5" applyFont="1" applyFill="1" applyBorder="1" applyAlignment="1">
      <alignment horizontal="right" vertical="center"/>
    </xf>
    <xf numFmtId="0" fontId="25" fillId="0" borderId="0" xfId="4" applyFont="1" applyAlignment="1">
      <alignment horizontal="right" vertical="center"/>
    </xf>
    <xf numFmtId="0" fontId="49" fillId="0" borderId="6" xfId="4" quotePrefix="1" applyFont="1" applyBorder="1" applyAlignment="1">
      <alignment horizontal="left" vertical="center"/>
    </xf>
    <xf numFmtId="0" fontId="36" fillId="0" borderId="0" xfId="4" applyFont="1" applyAlignment="1">
      <alignment vertical="center"/>
    </xf>
    <xf numFmtId="2" fontId="61" fillId="0" borderId="13" xfId="4" applyNumberFormat="1" applyFont="1" applyBorder="1" applyAlignment="1">
      <alignment horizontal="right" vertical="center"/>
    </xf>
    <xf numFmtId="0" fontId="51" fillId="0" borderId="12" xfId="4" applyFont="1" applyBorder="1" applyAlignment="1">
      <alignment vertical="center"/>
    </xf>
    <xf numFmtId="43" fontId="63" fillId="6" borderId="1" xfId="5" applyFont="1" applyFill="1" applyBorder="1"/>
    <xf numFmtId="43" fontId="63" fillId="6" borderId="0" xfId="5" applyFont="1" applyFill="1" applyBorder="1"/>
    <xf numFmtId="0" fontId="49" fillId="0" borderId="3" xfId="0" applyFont="1" applyBorder="1" applyAlignment="1">
      <alignment vertical="center"/>
    </xf>
    <xf numFmtId="0" fontId="48" fillId="0" borderId="3" xfId="0" applyFont="1" applyBorder="1" applyAlignment="1">
      <alignment horizontal="center" vertical="center"/>
    </xf>
    <xf numFmtId="2" fontId="49" fillId="0" borderId="6" xfId="4" applyNumberFormat="1" applyFont="1" applyBorder="1" applyAlignment="1">
      <alignment vertical="center"/>
    </xf>
    <xf numFmtId="2" fontId="49" fillId="17" borderId="3" xfId="4" applyNumberFormat="1" applyFont="1" applyFill="1" applyBorder="1" applyAlignment="1">
      <alignment horizontal="right" vertical="center"/>
    </xf>
    <xf numFmtId="0" fontId="64" fillId="0" borderId="3" xfId="4" applyFont="1" applyBorder="1" applyAlignment="1">
      <alignment vertical="center"/>
    </xf>
    <xf numFmtId="0" fontId="64" fillId="0" borderId="6" xfId="4" applyFont="1" applyBorder="1" applyAlignment="1">
      <alignment vertical="center"/>
    </xf>
    <xf numFmtId="0" fontId="53" fillId="0" borderId="0" xfId="4" applyFont="1" applyAlignment="1">
      <alignment horizontal="center" vertical="center"/>
    </xf>
    <xf numFmtId="0" fontId="51" fillId="0" borderId="3" xfId="4" applyFont="1" applyBorder="1" applyAlignment="1">
      <alignment vertical="center"/>
    </xf>
    <xf numFmtId="0" fontId="14" fillId="19" borderId="1" xfId="0" applyFont="1" applyFill="1" applyBorder="1"/>
    <xf numFmtId="43" fontId="14" fillId="19" borderId="1" xfId="5" applyFont="1" applyFill="1" applyBorder="1"/>
    <xf numFmtId="2" fontId="65" fillId="0" borderId="3" xfId="4" applyNumberFormat="1" applyFont="1" applyBorder="1" applyAlignment="1">
      <alignment vertical="center"/>
    </xf>
    <xf numFmtId="43" fontId="66" fillId="0" borderId="3" xfId="4" applyNumberFormat="1" applyFont="1" applyBorder="1" applyAlignment="1">
      <alignment vertical="center"/>
    </xf>
    <xf numFmtId="0" fontId="46" fillId="0" borderId="3" xfId="0" applyFont="1" applyBorder="1" applyAlignment="1">
      <alignment horizontal="right" vertical="center"/>
    </xf>
    <xf numFmtId="2" fontId="49" fillId="0" borderId="0" xfId="0" applyNumberFormat="1" applyFont="1" applyAlignment="1">
      <alignment horizontal="right" vertical="center"/>
    </xf>
    <xf numFmtId="2" fontId="50" fillId="0" borderId="3" xfId="0" applyNumberFormat="1" applyFont="1" applyBorder="1" applyAlignment="1">
      <alignment horizontal="right" vertical="center"/>
    </xf>
    <xf numFmtId="43" fontId="51" fillId="0" borderId="3" xfId="0" applyNumberFormat="1" applyFont="1" applyBorder="1" applyAlignment="1">
      <alignment vertical="center"/>
    </xf>
    <xf numFmtId="175" fontId="49" fillId="0" borderId="3" xfId="0" applyNumberFormat="1" applyFont="1" applyBorder="1" applyAlignment="1">
      <alignment horizontal="right" vertical="center"/>
    </xf>
    <xf numFmtId="43" fontId="63" fillId="19" borderId="1" xfId="5" applyFont="1" applyFill="1" applyBorder="1"/>
    <xf numFmtId="43" fontId="63" fillId="19" borderId="0" xfId="5" applyFont="1" applyFill="1" applyBorder="1"/>
    <xf numFmtId="0" fontId="49" fillId="0" borderId="17" xfId="4" applyFont="1" applyBorder="1" applyAlignment="1">
      <alignment vertical="center"/>
    </xf>
    <xf numFmtId="2" fontId="49" fillId="0" borderId="0" xfId="4" applyNumberFormat="1" applyFont="1" applyAlignment="1">
      <alignment horizontal="right" vertical="center"/>
    </xf>
    <xf numFmtId="2" fontId="50" fillId="0" borderId="3" xfId="4" applyNumberFormat="1" applyFont="1" applyBorder="1" applyAlignment="1">
      <alignment horizontal="right" vertical="center"/>
    </xf>
    <xf numFmtId="43" fontId="51" fillId="0" borderId="3" xfId="4" applyNumberFormat="1" applyFont="1" applyBorder="1" applyAlignment="1">
      <alignment vertical="center"/>
    </xf>
    <xf numFmtId="175" fontId="52" fillId="0" borderId="3" xfId="4" applyNumberFormat="1" applyFont="1" applyBorder="1" applyAlignment="1">
      <alignment horizontal="right" vertical="center"/>
    </xf>
    <xf numFmtId="0" fontId="14" fillId="20" borderId="1" xfId="0" applyFont="1" applyFill="1" applyBorder="1"/>
    <xf numFmtId="43" fontId="14" fillId="20" borderId="1" xfId="5" applyFont="1" applyFill="1" applyBorder="1"/>
    <xf numFmtId="0" fontId="48" fillId="0" borderId="12" xfId="0" applyFont="1" applyBorder="1" applyAlignment="1">
      <alignment horizontal="center" vertical="center"/>
    </xf>
    <xf numFmtId="2" fontId="49" fillId="0" borderId="12" xfId="4" applyNumberFormat="1" applyFont="1" applyBorder="1" applyAlignment="1">
      <alignment horizontal="right" vertical="center"/>
    </xf>
    <xf numFmtId="2" fontId="49" fillId="17" borderId="13" xfId="4" applyNumberFormat="1" applyFont="1" applyFill="1" applyBorder="1" applyAlignment="1">
      <alignment horizontal="right" vertical="center"/>
    </xf>
    <xf numFmtId="2" fontId="50" fillId="0" borderId="12" xfId="4" applyNumberFormat="1" applyFont="1" applyBorder="1" applyAlignment="1">
      <alignment horizontal="right" vertical="center"/>
    </xf>
    <xf numFmtId="175" fontId="52" fillId="0" borderId="12" xfId="4" applyNumberFormat="1" applyFont="1" applyBorder="1" applyAlignment="1">
      <alignment horizontal="right" vertical="center"/>
    </xf>
    <xf numFmtId="0" fontId="46" fillId="5" borderId="3" xfId="0" applyFont="1" applyFill="1" applyBorder="1" applyAlignment="1">
      <alignment horizontal="right" vertical="center"/>
    </xf>
    <xf numFmtId="0" fontId="49" fillId="5" borderId="17" xfId="0" quotePrefix="1" applyFont="1" applyFill="1" applyBorder="1" applyAlignment="1">
      <alignment horizontal="left" vertical="center"/>
    </xf>
    <xf numFmtId="2" fontId="49" fillId="0" borderId="17" xfId="0" applyNumberFormat="1" applyFont="1" applyBorder="1" applyAlignment="1">
      <alignment horizontal="right" vertical="center"/>
    </xf>
    <xf numFmtId="2" fontId="9" fillId="0" borderId="0" xfId="4" applyNumberFormat="1" applyFont="1" applyAlignment="1">
      <alignment horizontal="left" vertical="center"/>
    </xf>
    <xf numFmtId="0" fontId="55" fillId="5" borderId="0" xfId="4" applyFont="1" applyFill="1" applyAlignment="1">
      <alignment vertical="center"/>
    </xf>
    <xf numFmtId="43" fontId="63" fillId="8" borderId="1" xfId="5" applyFont="1" applyFill="1" applyBorder="1"/>
    <xf numFmtId="43" fontId="63" fillId="8" borderId="0" xfId="5" applyFont="1" applyFill="1" applyBorder="1"/>
    <xf numFmtId="0" fontId="14" fillId="21" borderId="1" xfId="0" applyFont="1" applyFill="1" applyBorder="1"/>
    <xf numFmtId="43" fontId="14" fillId="21" borderId="1" xfId="5" applyFont="1" applyFill="1" applyBorder="1"/>
    <xf numFmtId="43" fontId="63" fillId="21" borderId="1" xfId="5" applyFont="1" applyFill="1" applyBorder="1"/>
    <xf numFmtId="43" fontId="63" fillId="21" borderId="0" xfId="5" applyFont="1" applyFill="1" applyBorder="1"/>
    <xf numFmtId="0" fontId="49" fillId="0" borderId="3" xfId="4" applyFont="1" applyBorder="1" applyAlignment="1">
      <alignment vertical="center"/>
    </xf>
    <xf numFmtId="2" fontId="49" fillId="0" borderId="17" xfId="4" applyNumberFormat="1" applyFont="1" applyBorder="1" applyAlignment="1">
      <alignment horizontal="right" vertical="center"/>
    </xf>
    <xf numFmtId="0" fontId="14" fillId="2" borderId="1" xfId="0" applyFont="1" applyFill="1" applyBorder="1"/>
    <xf numFmtId="43" fontId="14" fillId="2" borderId="1" xfId="5" applyFont="1" applyFill="1" applyBorder="1"/>
    <xf numFmtId="0" fontId="46" fillId="22" borderId="3" xfId="4" applyFont="1" applyFill="1" applyBorder="1" applyAlignment="1">
      <alignment horizontal="right" vertical="center"/>
    </xf>
    <xf numFmtId="0" fontId="49" fillId="22" borderId="3" xfId="4" applyFont="1" applyFill="1" applyBorder="1" applyAlignment="1">
      <alignment vertical="center"/>
    </xf>
    <xf numFmtId="0" fontId="48" fillId="22" borderId="3" xfId="0" applyFont="1" applyFill="1" applyBorder="1" applyAlignment="1">
      <alignment horizontal="center" vertical="center"/>
    </xf>
    <xf numFmtId="2" fontId="49" fillId="22" borderId="0" xfId="4" applyNumberFormat="1" applyFont="1" applyFill="1" applyAlignment="1">
      <alignment horizontal="right" vertical="center"/>
    </xf>
    <xf numFmtId="2" fontId="49" fillId="22" borderId="3" xfId="4" applyNumberFormat="1" applyFont="1" applyFill="1" applyBorder="1" applyAlignment="1">
      <alignment horizontal="right" vertical="center"/>
    </xf>
    <xf numFmtId="2" fontId="49" fillId="22" borderId="6" xfId="4" applyNumberFormat="1" applyFont="1" applyFill="1" applyBorder="1" applyAlignment="1">
      <alignment horizontal="right" vertical="center"/>
    </xf>
    <xf numFmtId="2" fontId="50" fillId="22" borderId="3" xfId="4" applyNumberFormat="1" applyFont="1" applyFill="1" applyBorder="1" applyAlignment="1">
      <alignment horizontal="right" vertical="center"/>
    </xf>
    <xf numFmtId="43" fontId="51" fillId="22" borderId="3" xfId="4" applyNumberFormat="1" applyFont="1" applyFill="1" applyBorder="1" applyAlignment="1">
      <alignment vertical="center"/>
    </xf>
    <xf numFmtId="175" fontId="52" fillId="22" borderId="3" xfId="4" applyNumberFormat="1" applyFont="1" applyFill="1" applyBorder="1" applyAlignment="1">
      <alignment horizontal="right" vertical="center"/>
    </xf>
    <xf numFmtId="1" fontId="9" fillId="0" borderId="0" xfId="4" applyNumberFormat="1" applyFont="1" applyAlignment="1">
      <alignment horizontal="left" vertical="center"/>
    </xf>
    <xf numFmtId="0" fontId="49" fillId="0" borderId="18" xfId="4" quotePrefix="1" applyFont="1" applyBorder="1" applyAlignment="1">
      <alignment horizontal="left" vertical="center"/>
    </xf>
    <xf numFmtId="2" fontId="49" fillId="0" borderId="18" xfId="4" applyNumberFormat="1" applyFont="1" applyBorder="1" applyAlignment="1">
      <alignment horizontal="right" vertical="center"/>
    </xf>
    <xf numFmtId="1" fontId="60" fillId="0" borderId="3" xfId="0" applyNumberFormat="1" applyFont="1" applyBorder="1" applyAlignment="1">
      <alignment vertical="center"/>
    </xf>
    <xf numFmtId="1" fontId="9" fillId="0" borderId="0" xfId="4" applyNumberFormat="1" applyFont="1" applyAlignment="1">
      <alignment horizontal="right" vertical="center"/>
    </xf>
    <xf numFmtId="2" fontId="49" fillId="0" borderId="3" xfId="4" applyNumberFormat="1" applyFont="1" applyBorder="1" applyAlignment="1">
      <alignment vertical="center"/>
    </xf>
    <xf numFmtId="0" fontId="46" fillId="0" borderId="3" xfId="4" quotePrefix="1" applyFont="1" applyBorder="1" applyAlignment="1">
      <alignment horizontal="right" vertical="center"/>
    </xf>
    <xf numFmtId="0" fontId="49" fillId="22" borderId="6" xfId="4" applyFont="1" applyFill="1" applyBorder="1" applyAlignment="1">
      <alignment vertical="center"/>
    </xf>
    <xf numFmtId="0" fontId="56" fillId="8" borderId="0" xfId="4" applyFont="1" applyFill="1" applyAlignment="1">
      <alignment horizontal="center" vertical="center"/>
    </xf>
    <xf numFmtId="0" fontId="56" fillId="8" borderId="0" xfId="4" applyFont="1" applyFill="1" applyAlignment="1">
      <alignment horizontal="left" vertical="center"/>
    </xf>
    <xf numFmtId="0" fontId="56" fillId="24" borderId="0" xfId="4" applyFont="1" applyFill="1" applyAlignment="1">
      <alignment horizontal="center" vertical="center"/>
    </xf>
    <xf numFmtId="0" fontId="46" fillId="22" borderId="12" xfId="4" applyFont="1" applyFill="1" applyBorder="1" applyAlignment="1">
      <alignment horizontal="right" vertical="center"/>
    </xf>
    <xf numFmtId="0" fontId="49" fillId="22" borderId="13" xfId="4" applyFont="1" applyFill="1" applyBorder="1" applyAlignment="1">
      <alignment vertical="center"/>
    </xf>
    <xf numFmtId="2" fontId="49" fillId="0" borderId="19" xfId="4" applyNumberFormat="1" applyFont="1" applyBorder="1" applyAlignment="1">
      <alignment horizontal="right" vertical="center"/>
    </xf>
    <xf numFmtId="0" fontId="48" fillId="0" borderId="15" xfId="0" quotePrefix="1" applyFont="1" applyBorder="1" applyAlignment="1">
      <alignment horizontal="center" vertical="center"/>
    </xf>
    <xf numFmtId="0" fontId="46" fillId="0" borderId="12" xfId="0" applyFont="1" applyBorder="1" applyAlignment="1">
      <alignment horizontal="right" vertical="center"/>
    </xf>
    <xf numFmtId="0" fontId="49" fillId="0" borderId="18" xfId="0" applyFont="1" applyBorder="1" applyAlignment="1">
      <alignment vertical="center"/>
    </xf>
    <xf numFmtId="2" fontId="49" fillId="0" borderId="18" xfId="0" applyNumberFormat="1" applyFont="1" applyBorder="1" applyAlignment="1">
      <alignment horizontal="right" vertical="center"/>
    </xf>
    <xf numFmtId="2" fontId="49" fillId="0" borderId="12" xfId="0" applyNumberFormat="1" applyFont="1" applyBorder="1" applyAlignment="1">
      <alignment horizontal="right" vertical="center"/>
    </xf>
    <xf numFmtId="2" fontId="49" fillId="17" borderId="12" xfId="4" applyNumberFormat="1" applyFont="1" applyFill="1" applyBorder="1" applyAlignment="1">
      <alignment horizontal="right" vertical="center"/>
    </xf>
    <xf numFmtId="2" fontId="50" fillId="0" borderId="12" xfId="0" applyNumberFormat="1" applyFont="1" applyBorder="1" applyAlignment="1">
      <alignment horizontal="right" vertical="center"/>
    </xf>
    <xf numFmtId="43" fontId="51" fillId="0" borderId="12" xfId="0" applyNumberFormat="1" applyFont="1" applyBorder="1" applyAlignment="1">
      <alignment vertical="center"/>
    </xf>
    <xf numFmtId="175" fontId="49" fillId="0" borderId="12" xfId="0" applyNumberFormat="1" applyFont="1" applyBorder="1" applyAlignment="1">
      <alignment horizontal="right" vertical="center"/>
    </xf>
    <xf numFmtId="1" fontId="65" fillId="0" borderId="3" xfId="0" applyNumberFormat="1" applyFont="1" applyBorder="1" applyAlignment="1">
      <alignment vertical="center"/>
    </xf>
    <xf numFmtId="175" fontId="53" fillId="0" borderId="0" xfId="0" applyNumberFormat="1" applyFont="1" applyAlignment="1">
      <alignment horizontal="center" vertical="center"/>
    </xf>
    <xf numFmtId="43" fontId="63" fillId="2" borderId="1" xfId="5" applyFont="1" applyFill="1" applyBorder="1"/>
    <xf numFmtId="43" fontId="63" fillId="2" borderId="0" xfId="5" applyFont="1" applyFill="1" applyBorder="1"/>
    <xf numFmtId="1" fontId="67" fillId="0" borderId="3" xfId="0" applyNumberFormat="1" applyFont="1" applyBorder="1" applyAlignment="1">
      <alignment vertical="center"/>
    </xf>
    <xf numFmtId="0" fontId="14" fillId="25" borderId="1" xfId="0" applyFont="1" applyFill="1" applyBorder="1"/>
    <xf numFmtId="43" fontId="14" fillId="25" borderId="1" xfId="5" applyFont="1" applyFill="1" applyBorder="1"/>
    <xf numFmtId="0" fontId="49" fillId="0" borderId="3" xfId="0" quotePrefix="1" applyFont="1" applyBorder="1" applyAlignment="1">
      <alignment horizontal="left" vertical="center"/>
    </xf>
    <xf numFmtId="0" fontId="49" fillId="0" borderId="3" xfId="0" applyFont="1" applyBorder="1" applyAlignment="1">
      <alignment horizontal="left" vertical="center"/>
    </xf>
    <xf numFmtId="175" fontId="49" fillId="0" borderId="3" xfId="0" quotePrefix="1" applyNumberFormat="1" applyFont="1" applyBorder="1" applyAlignment="1">
      <alignment horizontal="right" vertical="center"/>
    </xf>
    <xf numFmtId="0" fontId="49" fillId="0" borderId="12" xfId="0" applyFont="1" applyBorder="1" applyAlignment="1">
      <alignment vertical="center"/>
    </xf>
    <xf numFmtId="1" fontId="60" fillId="0" borderId="12" xfId="0" applyNumberFormat="1" applyFont="1" applyBorder="1" applyAlignment="1">
      <alignment vertical="center"/>
    </xf>
    <xf numFmtId="0" fontId="49" fillId="0" borderId="17" xfId="0" quotePrefix="1" applyFont="1" applyBorder="1" applyAlignment="1">
      <alignment horizontal="left" vertical="center"/>
    </xf>
    <xf numFmtId="0" fontId="9" fillId="0" borderId="14" xfId="4" applyFont="1" applyBorder="1" applyAlignment="1">
      <alignment vertical="center"/>
    </xf>
    <xf numFmtId="0" fontId="49" fillId="0" borderId="12" xfId="0" quotePrefix="1" applyFont="1" applyBorder="1" applyAlignment="1">
      <alignment horizontal="left" vertical="center"/>
    </xf>
    <xf numFmtId="2" fontId="49" fillId="0" borderId="12" xfId="4" applyNumberFormat="1" applyFont="1" applyBorder="1" applyAlignment="1">
      <alignment vertical="center"/>
    </xf>
    <xf numFmtId="0" fontId="64" fillId="0" borderId="12" xfId="4" applyFont="1" applyBorder="1" applyAlignment="1">
      <alignment vertical="center"/>
    </xf>
    <xf numFmtId="0" fontId="51" fillId="0" borderId="3" xfId="0" applyFont="1" applyBorder="1" applyAlignment="1">
      <alignment vertical="center"/>
    </xf>
    <xf numFmtId="175" fontId="49" fillId="0" borderId="3" xfId="0" applyNumberFormat="1" applyFont="1" applyBorder="1" applyAlignment="1">
      <alignment vertical="center"/>
    </xf>
    <xf numFmtId="3" fontId="46" fillId="0" borderId="3" xfId="0" applyNumberFormat="1" applyFont="1" applyBorder="1" applyAlignment="1">
      <alignment horizontal="right" vertical="center"/>
    </xf>
    <xf numFmtId="0" fontId="49" fillId="0" borderId="17" xfId="4" quotePrefix="1" applyFont="1" applyBorder="1" applyAlignment="1">
      <alignment horizontal="left" vertical="center"/>
    </xf>
    <xf numFmtId="43" fontId="65" fillId="0" borderId="3" xfId="4" applyNumberFormat="1" applyFont="1" applyBorder="1" applyAlignment="1">
      <alignment vertical="center"/>
    </xf>
    <xf numFmtId="0" fontId="49" fillId="17" borderId="13" xfId="4" applyFont="1" applyFill="1" applyBorder="1" applyAlignment="1">
      <alignment horizontal="right" vertical="center"/>
    </xf>
    <xf numFmtId="0" fontId="49" fillId="0" borderId="20" xfId="4" quotePrefix="1" applyFont="1" applyBorder="1" applyAlignment="1">
      <alignment horizontal="left" vertical="center"/>
    </xf>
    <xf numFmtId="0" fontId="48" fillId="0" borderId="15" xfId="0" applyFont="1" applyBorder="1" applyAlignment="1">
      <alignment horizontal="center" vertical="center"/>
    </xf>
    <xf numFmtId="2" fontId="49" fillId="0" borderId="20" xfId="4" applyNumberFormat="1" applyFont="1" applyBorder="1" applyAlignment="1">
      <alignment horizontal="right" vertical="center"/>
    </xf>
    <xf numFmtId="2" fontId="49" fillId="0" borderId="15" xfId="4" applyNumberFormat="1" applyFont="1" applyBorder="1" applyAlignment="1">
      <alignment horizontal="right" vertical="center"/>
    </xf>
    <xf numFmtId="2" fontId="49" fillId="17" borderId="16" xfId="4" applyNumberFormat="1" applyFont="1" applyFill="1" applyBorder="1" applyAlignment="1">
      <alignment horizontal="right" vertical="center"/>
    </xf>
    <xf numFmtId="2" fontId="50" fillId="0" borderId="15" xfId="4" applyNumberFormat="1" applyFont="1" applyBorder="1" applyAlignment="1">
      <alignment horizontal="right" vertical="center"/>
    </xf>
    <xf numFmtId="2" fontId="42" fillId="10" borderId="15" xfId="5" applyNumberFormat="1" applyFont="1" applyFill="1" applyBorder="1" applyAlignment="1">
      <alignment horizontal="right" vertical="center"/>
    </xf>
    <xf numFmtId="43" fontId="51" fillId="0" borderId="15" xfId="4" applyNumberFormat="1" applyFont="1" applyBorder="1" applyAlignment="1">
      <alignment vertical="center"/>
    </xf>
    <xf numFmtId="175" fontId="52" fillId="0" borderId="15" xfId="4" applyNumberFormat="1" applyFont="1" applyBorder="1" applyAlignment="1">
      <alignment horizontal="right" vertical="center"/>
    </xf>
    <xf numFmtId="0" fontId="54" fillId="8" borderId="0" xfId="4" applyFont="1" applyFill="1" applyAlignment="1">
      <alignment vertical="center"/>
    </xf>
    <xf numFmtId="0" fontId="9" fillId="8" borderId="0" xfId="4" quotePrefix="1" applyFont="1" applyFill="1" applyAlignment="1">
      <alignment horizontal="center" vertical="center"/>
    </xf>
    <xf numFmtId="43" fontId="54" fillId="8" borderId="0" xfId="5" applyFont="1" applyFill="1" applyBorder="1" applyAlignment="1">
      <alignment vertical="center"/>
    </xf>
    <xf numFmtId="43" fontId="9" fillId="8" borderId="0" xfId="4" applyNumberFormat="1" applyFont="1" applyFill="1" applyAlignment="1">
      <alignment vertical="center"/>
    </xf>
    <xf numFmtId="0" fontId="9" fillId="8" borderId="0" xfId="4" applyFont="1" applyFill="1" applyAlignment="1">
      <alignment vertical="center"/>
    </xf>
    <xf numFmtId="0" fontId="55" fillId="8" borderId="0" xfId="4" applyFont="1" applyFill="1" applyAlignment="1">
      <alignment vertical="center"/>
    </xf>
    <xf numFmtId="43" fontId="54" fillId="8" borderId="0" xfId="5" applyFont="1" applyFill="1" applyBorder="1"/>
    <xf numFmtId="0" fontId="68" fillId="0" borderId="0" xfId="4" applyFont="1" applyAlignment="1">
      <alignment horizontal="left" vertical="center"/>
    </xf>
    <xf numFmtId="0" fontId="49" fillId="22" borderId="17" xfId="4" quotePrefix="1" applyFont="1" applyFill="1" applyBorder="1" applyAlignment="1">
      <alignment horizontal="left" vertical="center"/>
    </xf>
    <xf numFmtId="2" fontId="49" fillId="22" borderId="17" xfId="4" applyNumberFormat="1" applyFont="1" applyFill="1" applyBorder="1" applyAlignment="1">
      <alignment horizontal="right" vertical="center"/>
    </xf>
    <xf numFmtId="2" fontId="49" fillId="22" borderId="15" xfId="4" applyNumberFormat="1" applyFont="1" applyFill="1" applyBorder="1" applyAlignment="1">
      <alignment horizontal="right" vertical="center"/>
    </xf>
    <xf numFmtId="43" fontId="42" fillId="22" borderId="3" xfId="5" applyFont="1" applyFill="1" applyBorder="1" applyAlignment="1">
      <alignment horizontal="right" vertical="center"/>
    </xf>
    <xf numFmtId="175" fontId="53" fillId="22" borderId="0" xfId="4" applyNumberFormat="1" applyFont="1" applyFill="1" applyAlignment="1">
      <alignment horizontal="center" vertical="center"/>
    </xf>
    <xf numFmtId="175" fontId="53" fillId="22" borderId="0" xfId="0" applyNumberFormat="1" applyFont="1" applyFill="1" applyAlignment="1">
      <alignment horizontal="center" vertical="center"/>
    </xf>
    <xf numFmtId="0" fontId="55" fillId="8" borderId="0" xfId="0" applyFont="1" applyFill="1" applyAlignment="1">
      <alignment vertical="center"/>
    </xf>
    <xf numFmtId="2" fontId="49" fillId="22" borderId="13" xfId="4" applyNumberFormat="1" applyFont="1" applyFill="1" applyBorder="1" applyAlignment="1">
      <alignment horizontal="right" vertical="center"/>
    </xf>
    <xf numFmtId="43" fontId="42" fillId="22" borderId="12" xfId="5" applyFont="1" applyFill="1" applyBorder="1" applyAlignment="1">
      <alignment horizontal="right" vertical="center"/>
    </xf>
    <xf numFmtId="43" fontId="63" fillId="25" borderId="1" xfId="5" applyFont="1" applyFill="1" applyBorder="1"/>
    <xf numFmtId="43" fontId="63" fillId="25" borderId="0" xfId="5" applyFont="1" applyFill="1" applyBorder="1"/>
    <xf numFmtId="0" fontId="57" fillId="0" borderId="21" xfId="4" applyFont="1" applyBorder="1" applyAlignment="1">
      <alignment horizontal="right" vertical="center"/>
    </xf>
    <xf numFmtId="0" fontId="49" fillId="0" borderId="21" xfId="0" applyFont="1" applyBorder="1" applyAlignment="1">
      <alignment vertical="center"/>
    </xf>
    <xf numFmtId="0" fontId="48" fillId="0" borderId="21" xfId="0" applyFont="1" applyBorder="1" applyAlignment="1">
      <alignment horizontal="center" vertical="center"/>
    </xf>
    <xf numFmtId="2" fontId="49" fillId="0" borderId="21" xfId="0" applyNumberFormat="1" applyFont="1" applyBorder="1" applyAlignment="1">
      <alignment horizontal="right" vertical="center"/>
    </xf>
    <xf numFmtId="2" fontId="49" fillId="0" borderId="22" xfId="0" applyNumberFormat="1" applyFont="1" applyBorder="1" applyAlignment="1">
      <alignment horizontal="right" vertical="center"/>
    </xf>
    <xf numFmtId="2" fontId="49" fillId="17" borderId="21" xfId="4" applyNumberFormat="1" applyFont="1" applyFill="1" applyBorder="1" applyAlignment="1">
      <alignment horizontal="right" vertical="center"/>
    </xf>
    <xf numFmtId="1" fontId="60" fillId="0" borderId="21" xfId="0" applyNumberFormat="1" applyFont="1" applyBorder="1" applyAlignment="1">
      <alignment vertical="center"/>
    </xf>
    <xf numFmtId="43" fontId="42" fillId="10" borderId="21" xfId="5" applyFont="1" applyFill="1" applyBorder="1" applyAlignment="1">
      <alignment horizontal="right" vertical="center"/>
    </xf>
    <xf numFmtId="43" fontId="51" fillId="0" borderId="21" xfId="0" applyNumberFormat="1" applyFont="1" applyBorder="1" applyAlignment="1">
      <alignment vertical="center"/>
    </xf>
    <xf numFmtId="175" fontId="49" fillId="0" borderId="21" xfId="0" applyNumberFormat="1" applyFont="1" applyBorder="1" applyAlignment="1">
      <alignment horizontal="right" vertical="center"/>
    </xf>
    <xf numFmtId="0" fontId="69" fillId="8" borderId="1" xfId="0" applyFont="1" applyFill="1" applyBorder="1"/>
    <xf numFmtId="43" fontId="69" fillId="8" borderId="1" xfId="5" applyFont="1" applyFill="1" applyBorder="1"/>
    <xf numFmtId="0" fontId="48" fillId="0" borderId="17" xfId="0" applyFont="1" applyBorder="1" applyAlignment="1">
      <alignment horizontal="center" vertical="center"/>
    </xf>
    <xf numFmtId="175" fontId="49" fillId="0" borderId="3" xfId="0" applyNumberFormat="1" applyFont="1" applyBorder="1"/>
    <xf numFmtId="175" fontId="53" fillId="0" borderId="0" xfId="0" applyNumberFormat="1" applyFont="1" applyAlignment="1">
      <alignment horizontal="center"/>
    </xf>
    <xf numFmtId="0" fontId="14" fillId="26" borderId="1" xfId="0" applyFont="1" applyFill="1" applyBorder="1"/>
    <xf numFmtId="43" fontId="42" fillId="0" borderId="3" xfId="5" applyFont="1" applyFill="1" applyBorder="1" applyAlignment="1">
      <alignment horizontal="right" vertical="center"/>
    </xf>
    <xf numFmtId="2" fontId="24" fillId="0" borderId="13" xfId="4" applyNumberFormat="1" applyFont="1" applyBorder="1" applyAlignment="1">
      <alignment horizontal="center" vertical="center"/>
    </xf>
    <xf numFmtId="0" fontId="14" fillId="0" borderId="1" xfId="0" applyFont="1" applyBorder="1"/>
    <xf numFmtId="43" fontId="14" fillId="0" borderId="1" xfId="5" applyFont="1" applyFill="1" applyBorder="1"/>
    <xf numFmtId="0" fontId="48" fillId="0" borderId="18" xfId="0" applyFont="1" applyBorder="1" applyAlignment="1">
      <alignment horizontal="center" vertical="center"/>
    </xf>
    <xf numFmtId="175" fontId="49" fillId="0" borderId="12" xfId="0" applyNumberFormat="1" applyFont="1" applyBorder="1"/>
    <xf numFmtId="0" fontId="14" fillId="27" borderId="1" xfId="0" applyFont="1" applyFill="1" applyBorder="1"/>
    <xf numFmtId="0" fontId="46" fillId="0" borderId="15" xfId="0" applyFont="1" applyBorder="1" applyAlignment="1">
      <alignment horizontal="right" vertical="center"/>
    </xf>
    <xf numFmtId="0" fontId="49" fillId="0" borderId="20" xfId="0" applyFont="1" applyBorder="1" applyAlignment="1">
      <alignment vertical="center"/>
    </xf>
    <xf numFmtId="0" fontId="48" fillId="0" borderId="20" xfId="0" applyFont="1" applyBorder="1" applyAlignment="1">
      <alignment horizontal="center" vertical="center"/>
    </xf>
    <xf numFmtId="2" fontId="49" fillId="0" borderId="20" xfId="0" applyNumberFormat="1" applyFont="1" applyBorder="1" applyAlignment="1">
      <alignment horizontal="right" vertical="center"/>
    </xf>
    <xf numFmtId="2" fontId="50" fillId="0" borderId="15" xfId="0" applyNumberFormat="1" applyFont="1" applyBorder="1" applyAlignment="1">
      <alignment horizontal="right" vertical="center"/>
    </xf>
    <xf numFmtId="43" fontId="42" fillId="10" borderId="15" xfId="5" applyFont="1" applyFill="1" applyBorder="1" applyAlignment="1">
      <alignment horizontal="right" vertical="center"/>
    </xf>
    <xf numFmtId="43" fontId="51" fillId="0" borderId="15" xfId="0" applyNumberFormat="1" applyFont="1" applyBorder="1" applyAlignment="1">
      <alignment vertical="center"/>
    </xf>
    <xf numFmtId="175" fontId="49" fillId="0" borderId="15" xfId="0" applyNumberFormat="1" applyFont="1" applyBorder="1" applyAlignment="1">
      <alignment horizontal="right" vertical="center"/>
    </xf>
    <xf numFmtId="0" fontId="14" fillId="5" borderId="1" xfId="0" applyFont="1" applyFill="1" applyBorder="1"/>
    <xf numFmtId="43" fontId="14" fillId="5" borderId="1" xfId="5" applyFont="1" applyFill="1" applyBorder="1"/>
    <xf numFmtId="0" fontId="9" fillId="0" borderId="0" xfId="4" applyFont="1" applyAlignment="1">
      <alignment horizontal="left" vertical="center"/>
    </xf>
    <xf numFmtId="0" fontId="71" fillId="0" borderId="0" xfId="4" applyFont="1" applyAlignment="1">
      <alignment horizontal="right" vertical="center"/>
    </xf>
    <xf numFmtId="0" fontId="72" fillId="0" borderId="3" xfId="4" applyFont="1" applyBorder="1" applyAlignment="1">
      <alignment vertical="center"/>
    </xf>
    <xf numFmtId="175" fontId="49" fillId="0" borderId="15" xfId="0" applyNumberFormat="1" applyFont="1" applyBorder="1" applyAlignment="1">
      <alignment horizontal="left" vertical="center"/>
    </xf>
    <xf numFmtId="0" fontId="57" fillId="0" borderId="15" xfId="4" applyFont="1" applyBorder="1" applyAlignment="1">
      <alignment horizontal="right" vertical="center"/>
    </xf>
    <xf numFmtId="0" fontId="64" fillId="0" borderId="15" xfId="4" applyFont="1" applyBorder="1" applyAlignment="1">
      <alignment vertical="center"/>
    </xf>
    <xf numFmtId="175" fontId="49" fillId="0" borderId="15" xfId="0" applyNumberFormat="1" applyFont="1" applyBorder="1"/>
    <xf numFmtId="0" fontId="57" fillId="0" borderId="12" xfId="4" applyFont="1" applyBorder="1" applyAlignment="1">
      <alignment horizontal="right" vertical="center"/>
    </xf>
    <xf numFmtId="0" fontId="49" fillId="0" borderId="23" xfId="0" applyFont="1" applyBorder="1" applyAlignment="1">
      <alignment vertical="center"/>
    </xf>
    <xf numFmtId="0" fontId="48" fillId="0" borderId="23" xfId="0" applyFont="1" applyBorder="1" applyAlignment="1">
      <alignment horizontal="center" vertical="center"/>
    </xf>
    <xf numFmtId="2" fontId="49" fillId="0" borderId="23" xfId="0" applyNumberFormat="1" applyFont="1" applyBorder="1" applyAlignment="1">
      <alignment horizontal="right" vertical="center"/>
    </xf>
    <xf numFmtId="2" fontId="49" fillId="0" borderId="14" xfId="0" applyNumberFormat="1" applyFont="1" applyBorder="1" applyAlignment="1">
      <alignment horizontal="right" vertical="center"/>
    </xf>
    <xf numFmtId="2" fontId="50" fillId="0" borderId="14" xfId="0" applyNumberFormat="1" applyFont="1" applyBorder="1" applyAlignment="1">
      <alignment horizontal="right" vertical="center"/>
    </xf>
    <xf numFmtId="43" fontId="42" fillId="10" borderId="14" xfId="5" applyFont="1" applyFill="1" applyBorder="1" applyAlignment="1">
      <alignment horizontal="right" vertical="center"/>
    </xf>
    <xf numFmtId="43" fontId="51" fillId="0" borderId="14" xfId="0" applyNumberFormat="1" applyFont="1" applyBorder="1" applyAlignment="1">
      <alignment vertical="center"/>
    </xf>
    <xf numFmtId="175" fontId="49" fillId="0" borderId="14" xfId="0" applyNumberFormat="1" applyFont="1" applyBorder="1" applyAlignment="1">
      <alignment horizontal="right" vertical="center"/>
    </xf>
    <xf numFmtId="0" fontId="57" fillId="0" borderId="14" xfId="4" applyFont="1" applyBorder="1" applyAlignment="1">
      <alignment horizontal="right" vertical="center"/>
    </xf>
    <xf numFmtId="2" fontId="49" fillId="0" borderId="14" xfId="4" applyNumberFormat="1" applyFont="1" applyBorder="1" applyAlignment="1">
      <alignment horizontal="right" vertical="center"/>
    </xf>
    <xf numFmtId="0" fontId="46" fillId="0" borderId="3" xfId="0" quotePrefix="1" applyFont="1" applyBorder="1" applyAlignment="1">
      <alignment horizontal="right" vertical="center"/>
    </xf>
    <xf numFmtId="0" fontId="46" fillId="0" borderId="15" xfId="0" quotePrefix="1" applyFont="1" applyBorder="1" applyAlignment="1">
      <alignment horizontal="right" vertical="center"/>
    </xf>
    <xf numFmtId="0" fontId="46" fillId="20" borderId="12" xfId="0" applyFont="1" applyFill="1" applyBorder="1" applyAlignment="1">
      <alignment horizontal="right" vertical="center"/>
    </xf>
    <xf numFmtId="0" fontId="49" fillId="20" borderId="12" xfId="0" applyFont="1" applyFill="1" applyBorder="1" applyAlignment="1">
      <alignment vertical="center"/>
    </xf>
    <xf numFmtId="0" fontId="48" fillId="20" borderId="18" xfId="0" applyFont="1" applyFill="1" applyBorder="1" applyAlignment="1">
      <alignment horizontal="center" vertical="center"/>
    </xf>
    <xf numFmtId="2" fontId="49" fillId="20" borderId="18" xfId="0" applyNumberFormat="1" applyFont="1" applyFill="1" applyBorder="1" applyAlignment="1">
      <alignment horizontal="right" vertical="center"/>
    </xf>
    <xf numFmtId="2" fontId="49" fillId="20" borderId="3" xfId="0" applyNumberFormat="1" applyFont="1" applyFill="1" applyBorder="1" applyAlignment="1">
      <alignment horizontal="right" vertical="center"/>
    </xf>
    <xf numFmtId="2" fontId="49" fillId="20" borderId="3" xfId="4" applyNumberFormat="1" applyFont="1" applyFill="1" applyBorder="1" applyAlignment="1">
      <alignment horizontal="right" vertical="center"/>
    </xf>
    <xf numFmtId="2" fontId="50" fillId="20" borderId="12" xfId="0" applyNumberFormat="1" applyFont="1" applyFill="1" applyBorder="1" applyAlignment="1">
      <alignment horizontal="right" vertical="center"/>
    </xf>
    <xf numFmtId="43" fontId="42" fillId="20" borderId="3" xfId="5" applyFont="1" applyFill="1" applyBorder="1" applyAlignment="1">
      <alignment horizontal="right" vertical="center"/>
    </xf>
    <xf numFmtId="43" fontId="51" fillId="20" borderId="12" xfId="0" applyNumberFormat="1" applyFont="1" applyFill="1" applyBorder="1" applyAlignment="1">
      <alignment vertical="center"/>
    </xf>
    <xf numFmtId="175" fontId="49" fillId="20" borderId="12" xfId="0" applyNumberFormat="1" applyFont="1" applyFill="1" applyBorder="1" applyAlignment="1">
      <alignment horizontal="right" vertical="center"/>
    </xf>
    <xf numFmtId="175" fontId="53" fillId="20" borderId="0" xfId="0" applyNumberFormat="1" applyFont="1" applyFill="1" applyAlignment="1">
      <alignment horizontal="center" vertical="center"/>
    </xf>
    <xf numFmtId="0" fontId="46" fillId="0" borderId="3" xfId="6" quotePrefix="1" applyFont="1" applyBorder="1" applyAlignment="1">
      <alignment horizontal="right" vertical="center"/>
    </xf>
    <xf numFmtId="2" fontId="49" fillId="0" borderId="15" xfId="0" applyNumberFormat="1" applyFont="1" applyBorder="1" applyAlignment="1">
      <alignment horizontal="right" vertical="center"/>
    </xf>
    <xf numFmtId="2" fontId="49" fillId="17" borderId="15" xfId="4" applyNumberFormat="1" applyFont="1" applyFill="1" applyBorder="1" applyAlignment="1">
      <alignment horizontal="right" vertical="center"/>
    </xf>
    <xf numFmtId="0" fontId="46" fillId="0" borderId="12" xfId="6" applyFont="1" applyBorder="1" applyAlignment="1">
      <alignment horizontal="right" vertical="center"/>
    </xf>
    <xf numFmtId="0" fontId="69" fillId="8" borderId="0" xfId="0" applyFont="1" applyFill="1"/>
    <xf numFmtId="43" fontId="69" fillId="8" borderId="0" xfId="5" applyFont="1" applyFill="1" applyBorder="1"/>
    <xf numFmtId="0" fontId="14" fillId="28" borderId="1" xfId="0" applyFont="1" applyFill="1" applyBorder="1"/>
    <xf numFmtId="175" fontId="73" fillId="0" borderId="3" xfId="0" applyNumberFormat="1" applyFont="1" applyBorder="1" applyAlignment="1">
      <alignment horizontal="left" vertical="center"/>
    </xf>
    <xf numFmtId="175" fontId="49" fillId="0" borderId="17" xfId="0" applyNumberFormat="1" applyFont="1" applyBorder="1" applyAlignment="1">
      <alignment horizontal="right" vertical="center"/>
    </xf>
    <xf numFmtId="0" fontId="46" fillId="20" borderId="3" xfId="6" quotePrefix="1" applyFont="1" applyFill="1" applyBorder="1" applyAlignment="1">
      <alignment horizontal="right" vertical="center"/>
    </xf>
    <xf numFmtId="0" fontId="49" fillId="20" borderId="3" xfId="0" applyFont="1" applyFill="1" applyBorder="1" applyAlignment="1">
      <alignment vertical="center"/>
    </xf>
    <xf numFmtId="0" fontId="48" fillId="20" borderId="17" xfId="0" applyFont="1" applyFill="1" applyBorder="1" applyAlignment="1">
      <alignment horizontal="center" vertical="center"/>
    </xf>
    <xf numFmtId="2" fontId="49" fillId="20" borderId="17" xfId="0" applyNumberFormat="1" applyFont="1" applyFill="1" applyBorder="1" applyAlignment="1">
      <alignment horizontal="right" vertical="center"/>
    </xf>
    <xf numFmtId="2" fontId="50" fillId="20" borderId="3" xfId="0" applyNumberFormat="1" applyFont="1" applyFill="1" applyBorder="1" applyAlignment="1">
      <alignment horizontal="right" vertical="center"/>
    </xf>
    <xf numFmtId="43" fontId="51" fillId="20" borderId="3" xfId="0" applyNumberFormat="1" applyFont="1" applyFill="1" applyBorder="1" applyAlignment="1">
      <alignment vertical="center"/>
    </xf>
    <xf numFmtId="175" fontId="73" fillId="20" borderId="3" xfId="0" applyNumberFormat="1" applyFont="1" applyFill="1" applyBorder="1" applyAlignment="1">
      <alignment horizontal="left" vertical="center"/>
    </xf>
    <xf numFmtId="0" fontId="46" fillId="0" borderId="12" xfId="6" quotePrefix="1" applyFont="1" applyBorder="1" applyAlignment="1">
      <alignment horizontal="right" vertical="center"/>
    </xf>
    <xf numFmtId="0" fontId="48" fillId="0" borderId="17" xfId="0" quotePrefix="1" applyFont="1" applyBorder="1" applyAlignment="1">
      <alignment horizontal="center" vertical="center"/>
    </xf>
    <xf numFmtId="0" fontId="74" fillId="28" borderId="1" xfId="0" applyFont="1" applyFill="1" applyBorder="1"/>
    <xf numFmtId="0" fontId="46" fillId="4" borderId="15" xfId="6" quotePrefix="1" applyFont="1" applyFill="1" applyBorder="1" applyAlignment="1">
      <alignment horizontal="right" vertical="center"/>
    </xf>
    <xf numFmtId="0" fontId="49" fillId="4" borderId="20" xfId="0" applyFont="1" applyFill="1" applyBorder="1" applyAlignment="1">
      <alignment vertical="center"/>
    </xf>
    <xf numFmtId="0" fontId="46" fillId="4" borderId="3" xfId="6" quotePrefix="1" applyFont="1" applyFill="1" applyBorder="1" applyAlignment="1">
      <alignment horizontal="right" vertical="center"/>
    </xf>
    <xf numFmtId="0" fontId="49" fillId="4" borderId="3" xfId="0" applyFont="1" applyFill="1" applyBorder="1" applyAlignment="1">
      <alignment vertical="center"/>
    </xf>
    <xf numFmtId="0" fontId="36" fillId="0" borderId="0" xfId="4" quotePrefix="1" applyFont="1" applyAlignment="1">
      <alignment horizontal="center" vertical="center"/>
    </xf>
    <xf numFmtId="43" fontId="36" fillId="0" borderId="0" xfId="4" applyNumberFormat="1" applyFont="1" applyAlignment="1">
      <alignment vertical="center"/>
    </xf>
    <xf numFmtId="0" fontId="54" fillId="29" borderId="0" xfId="4" applyFont="1" applyFill="1" applyAlignment="1">
      <alignment vertical="center"/>
    </xf>
    <xf numFmtId="0" fontId="36" fillId="29" borderId="0" xfId="4" quotePrefix="1" applyFont="1" applyFill="1" applyAlignment="1">
      <alignment horizontal="center" vertical="center"/>
    </xf>
    <xf numFmtId="43" fontId="54" fillId="29" borderId="0" xfId="5" applyFont="1" applyFill="1" applyBorder="1" applyAlignment="1">
      <alignment vertical="center"/>
    </xf>
    <xf numFmtId="43" fontId="36" fillId="29" borderId="0" xfId="4" applyNumberFormat="1" applyFont="1" applyFill="1" applyAlignment="1">
      <alignment vertical="center"/>
    </xf>
    <xf numFmtId="0" fontId="36" fillId="29" borderId="0" xfId="4" applyFont="1" applyFill="1" applyAlignment="1">
      <alignment vertical="center"/>
    </xf>
    <xf numFmtId="0" fontId="55" fillId="29" borderId="0" xfId="4" applyFont="1" applyFill="1" applyAlignment="1">
      <alignment vertical="center"/>
    </xf>
    <xf numFmtId="43" fontId="54" fillId="29" borderId="0" xfId="5" applyFont="1" applyFill="1" applyBorder="1"/>
    <xf numFmtId="43" fontId="14" fillId="28" borderId="1" xfId="5" applyFont="1" applyFill="1" applyBorder="1"/>
    <xf numFmtId="43" fontId="75" fillId="8" borderId="1" xfId="5" applyFont="1" applyFill="1" applyBorder="1"/>
    <xf numFmtId="43" fontId="75" fillId="8" borderId="0" xfId="5" applyFont="1" applyFill="1" applyBorder="1"/>
    <xf numFmtId="0" fontId="14" fillId="30" borderId="1" xfId="0" applyFont="1" applyFill="1" applyBorder="1"/>
    <xf numFmtId="0" fontId="9" fillId="5" borderId="0" xfId="4" applyFont="1" applyFill="1" applyAlignment="1">
      <alignment vertical="center"/>
    </xf>
    <xf numFmtId="0" fontId="54" fillId="5" borderId="0" xfId="4" applyFont="1" applyFill="1" applyAlignment="1">
      <alignment vertical="center"/>
    </xf>
    <xf numFmtId="0" fontId="9" fillId="5" borderId="0" xfId="4" quotePrefix="1" applyFont="1" applyFill="1" applyAlignment="1">
      <alignment horizontal="center" vertical="center"/>
    </xf>
    <xf numFmtId="43" fontId="54" fillId="5" borderId="0" xfId="5" applyFont="1" applyFill="1" applyBorder="1" applyAlignment="1">
      <alignment vertical="center"/>
    </xf>
    <xf numFmtId="43" fontId="9" fillId="5" borderId="0" xfId="4" applyNumberFormat="1" applyFont="1" applyFill="1" applyAlignment="1">
      <alignment vertical="center"/>
    </xf>
    <xf numFmtId="43" fontId="54" fillId="5" borderId="0" xfId="5" applyFont="1" applyFill="1" applyBorder="1"/>
    <xf numFmtId="0" fontId="46" fillId="4" borderId="12" xfId="6" quotePrefix="1" applyFont="1" applyFill="1" applyBorder="1" applyAlignment="1">
      <alignment horizontal="right" vertical="center"/>
    </xf>
    <xf numFmtId="0" fontId="49" fillId="4" borderId="12" xfId="0" applyFont="1" applyFill="1" applyBorder="1" applyAlignment="1">
      <alignment vertical="center"/>
    </xf>
    <xf numFmtId="43" fontId="76" fillId="0" borderId="0" xfId="4" applyNumberFormat="1" applyFont="1" applyAlignment="1">
      <alignment vertical="center"/>
    </xf>
    <xf numFmtId="0" fontId="51" fillId="0" borderId="15" xfId="0" applyFont="1" applyBorder="1" applyAlignment="1">
      <alignment vertical="center"/>
    </xf>
    <xf numFmtId="0" fontId="77" fillId="0" borderId="20" xfId="0" applyFont="1" applyBorder="1" applyAlignment="1">
      <alignment vertical="center"/>
    </xf>
    <xf numFmtId="0" fontId="77" fillId="0" borderId="3" xfId="0" applyFont="1" applyBorder="1" applyAlignment="1">
      <alignment vertical="center"/>
    </xf>
    <xf numFmtId="0" fontId="14" fillId="29" borderId="1" xfId="0" applyFont="1" applyFill="1" applyBorder="1"/>
    <xf numFmtId="43" fontId="14" fillId="29" borderId="1" xfId="5" applyFont="1" applyFill="1" applyBorder="1"/>
    <xf numFmtId="3" fontId="46" fillId="0" borderId="12" xfId="0" applyNumberFormat="1" applyFont="1" applyBorder="1" applyAlignment="1">
      <alignment horizontal="right" vertical="center"/>
    </xf>
    <xf numFmtId="3" fontId="46" fillId="0" borderId="14" xfId="0" applyNumberFormat="1" applyFont="1" applyBorder="1" applyAlignment="1">
      <alignment horizontal="right" vertical="center"/>
    </xf>
    <xf numFmtId="2" fontId="49" fillId="17" borderId="14" xfId="4" applyNumberFormat="1" applyFont="1" applyFill="1" applyBorder="1" applyAlignment="1">
      <alignment horizontal="right" vertical="center"/>
    </xf>
    <xf numFmtId="178" fontId="50" fillId="0" borderId="14" xfId="0" applyNumberFormat="1" applyFont="1" applyBorder="1" applyAlignment="1">
      <alignment horizontal="right" vertical="center"/>
    </xf>
    <xf numFmtId="0" fontId="46" fillId="0" borderId="14" xfId="0" applyFont="1" applyBorder="1" applyAlignment="1">
      <alignment horizontal="right" vertical="center"/>
    </xf>
    <xf numFmtId="0" fontId="46" fillId="3" borderId="3" xfId="0" applyFont="1" applyFill="1" applyBorder="1" applyAlignment="1">
      <alignment horizontal="right" vertical="center"/>
    </xf>
    <xf numFmtId="0" fontId="49" fillId="3" borderId="17" xfId="0" applyFont="1" applyFill="1" applyBorder="1" applyAlignment="1">
      <alignment vertical="center"/>
    </xf>
    <xf numFmtId="0" fontId="48" fillId="3" borderId="17" xfId="0" applyFont="1" applyFill="1" applyBorder="1" applyAlignment="1">
      <alignment horizontal="center" vertical="center"/>
    </xf>
    <xf numFmtId="2" fontId="49" fillId="3" borderId="17" xfId="0" applyNumberFormat="1" applyFont="1" applyFill="1" applyBorder="1" applyAlignment="1">
      <alignment horizontal="right" vertical="center"/>
    </xf>
    <xf numFmtId="175" fontId="49" fillId="0" borderId="6" xfId="0" applyNumberFormat="1" applyFont="1" applyBorder="1" applyAlignment="1">
      <alignment horizontal="right" vertical="center"/>
    </xf>
    <xf numFmtId="0" fontId="46" fillId="20" borderId="3" xfId="0" applyFont="1" applyFill="1" applyBorder="1" applyAlignment="1">
      <alignment horizontal="right" vertical="center"/>
    </xf>
    <xf numFmtId="0" fontId="49" fillId="20" borderId="17" xfId="0" applyFont="1" applyFill="1" applyBorder="1" applyAlignment="1">
      <alignment vertical="center"/>
    </xf>
    <xf numFmtId="43" fontId="78" fillId="0" borderId="0" xfId="4" applyNumberFormat="1" applyFont="1" applyAlignment="1">
      <alignment horizontal="center" vertical="center"/>
    </xf>
    <xf numFmtId="176" fontId="9" fillId="0" borderId="0" xfId="4" applyNumberFormat="1" applyFont="1" applyAlignment="1">
      <alignment vertical="center"/>
    </xf>
    <xf numFmtId="0" fontId="49" fillId="5" borderId="17" xfId="0" applyFont="1" applyFill="1" applyBorder="1" applyAlignment="1">
      <alignment vertical="center"/>
    </xf>
    <xf numFmtId="2" fontId="12" fillId="0" borderId="0" xfId="4" applyNumberFormat="1" applyFont="1" applyAlignment="1">
      <alignment horizontal="center" vertical="center"/>
    </xf>
    <xf numFmtId="0" fontId="46" fillId="0" borderId="4" xfId="0" applyFont="1" applyBorder="1" applyAlignment="1">
      <alignment horizontal="right" vertical="center"/>
    </xf>
    <xf numFmtId="0" fontId="49" fillId="0" borderId="25" xfId="0" applyFont="1" applyBorder="1" applyAlignment="1">
      <alignment vertical="center"/>
    </xf>
    <xf numFmtId="0" fontId="48" fillId="0" borderId="25" xfId="0" applyFont="1" applyBorder="1" applyAlignment="1">
      <alignment horizontal="center" vertical="center"/>
    </xf>
    <xf numFmtId="2" fontId="49" fillId="0" borderId="4" xfId="0" applyNumberFormat="1" applyFont="1" applyBorder="1" applyAlignment="1">
      <alignment horizontal="right" vertical="center"/>
    </xf>
    <xf numFmtId="2" fontId="49" fillId="17" borderId="4" xfId="4" applyNumberFormat="1" applyFont="1" applyFill="1" applyBorder="1" applyAlignment="1">
      <alignment horizontal="right" vertical="center"/>
    </xf>
    <xf numFmtId="1" fontId="60" fillId="0" borderId="4" xfId="0" applyNumberFormat="1" applyFont="1" applyBorder="1" applyAlignment="1">
      <alignment vertical="center"/>
    </xf>
    <xf numFmtId="43" fontId="42" fillId="10" borderId="4" xfId="5" applyFont="1" applyFill="1" applyBorder="1" applyAlignment="1">
      <alignment horizontal="right" vertical="center"/>
    </xf>
    <xf numFmtId="43" fontId="51" fillId="0" borderId="4" xfId="0" applyNumberFormat="1" applyFont="1" applyBorder="1" applyAlignment="1">
      <alignment vertical="center"/>
    </xf>
    <xf numFmtId="175" fontId="49" fillId="0" borderId="4" xfId="0" applyNumberFormat="1" applyFont="1" applyBorder="1" applyAlignment="1">
      <alignment horizontal="right" vertical="center"/>
    </xf>
    <xf numFmtId="0" fontId="37" fillId="0" borderId="6" xfId="0" quotePrefix="1" applyFont="1" applyBorder="1" applyAlignment="1">
      <alignment horizontal="right" vertical="center"/>
    </xf>
    <xf numFmtId="0" fontId="79" fillId="10" borderId="4" xfId="4" applyFont="1" applyFill="1" applyBorder="1" applyAlignment="1">
      <alignment horizontal="center" vertical="center"/>
    </xf>
    <xf numFmtId="2" fontId="80" fillId="10" borderId="4" xfId="4" applyNumberFormat="1" applyFont="1" applyFill="1" applyBorder="1" applyAlignment="1">
      <alignment vertical="center"/>
    </xf>
    <xf numFmtId="2" fontId="9" fillId="0" borderId="17" xfId="4" applyNumberFormat="1" applyFont="1" applyBorder="1" applyAlignment="1">
      <alignment vertical="center"/>
    </xf>
    <xf numFmtId="43" fontId="80" fillId="0" borderId="0" xfId="4" applyNumberFormat="1" applyFont="1" applyAlignment="1">
      <alignment vertical="center"/>
    </xf>
    <xf numFmtId="43" fontId="80" fillId="10" borderId="4" xfId="5" applyFont="1" applyFill="1" applyBorder="1" applyAlignment="1">
      <alignment vertical="center"/>
    </xf>
    <xf numFmtId="2" fontId="81" fillId="0" borderId="0" xfId="4" applyNumberFormat="1" applyFont="1" applyAlignment="1">
      <alignment horizontal="center" vertical="center"/>
    </xf>
    <xf numFmtId="0" fontId="0" fillId="22" borderId="0" xfId="0" applyFill="1" applyAlignment="1">
      <alignment vertical="center"/>
    </xf>
    <xf numFmtId="0" fontId="2" fillId="22" borderId="0" xfId="4" applyFont="1" applyFill="1" applyAlignment="1">
      <alignment horizontal="center" vertical="center"/>
    </xf>
    <xf numFmtId="43" fontId="10" fillId="22" borderId="0" xfId="4" applyNumberFormat="1" applyFont="1" applyFill="1" applyAlignment="1">
      <alignment vertical="center"/>
    </xf>
    <xf numFmtId="0" fontId="0" fillId="22" borderId="0" xfId="0" applyFill="1" applyAlignment="1">
      <alignment horizontal="center" vertical="center"/>
    </xf>
    <xf numFmtId="0" fontId="9" fillId="22" borderId="0" xfId="4" applyFont="1" applyFill="1" applyAlignment="1">
      <alignment vertical="center"/>
    </xf>
    <xf numFmtId="174" fontId="10" fillId="22" borderId="0" xfId="4" applyNumberFormat="1" applyFont="1" applyFill="1" applyAlignment="1">
      <alignment vertical="center"/>
    </xf>
    <xf numFmtId="0" fontId="13" fillId="0" borderId="7" xfId="0" applyFont="1" applyBorder="1" applyAlignment="1">
      <alignment vertical="center"/>
    </xf>
    <xf numFmtId="0" fontId="13" fillId="0" borderId="1" xfId="0" applyFont="1" applyBorder="1" applyAlignment="1">
      <alignment horizontal="center" vertical="center"/>
    </xf>
    <xf numFmtId="0" fontId="82" fillId="0" borderId="0" xfId="4" applyFont="1" applyAlignment="1">
      <alignment vertical="center"/>
    </xf>
    <xf numFmtId="43" fontId="19" fillId="0" borderId="0" xfId="4" applyNumberFormat="1" applyFont="1" applyAlignment="1">
      <alignment vertical="center"/>
    </xf>
    <xf numFmtId="0" fontId="36" fillId="0" borderId="0" xfId="4" applyFont="1" applyAlignment="1">
      <alignment horizontal="center" vertical="center"/>
    </xf>
    <xf numFmtId="0" fontId="9" fillId="0" borderId="6" xfId="4" applyFont="1" applyBorder="1" applyAlignment="1">
      <alignment vertical="center"/>
    </xf>
    <xf numFmtId="0" fontId="9" fillId="0" borderId="26" xfId="4" applyFont="1" applyBorder="1" applyAlignment="1">
      <alignment vertical="center"/>
    </xf>
    <xf numFmtId="0" fontId="13" fillId="0" borderId="27" xfId="0" applyFont="1" applyBorder="1" applyAlignment="1">
      <alignment horizontal="right" vertical="center"/>
    </xf>
    <xf numFmtId="0" fontId="13" fillId="0" borderId="12" xfId="0" applyFont="1" applyBorder="1" applyAlignment="1">
      <alignment horizontal="right" vertical="center"/>
    </xf>
    <xf numFmtId="43" fontId="13" fillId="0" borderId="12" xfId="5" applyFont="1" applyFill="1" applyBorder="1" applyAlignment="1">
      <alignment horizontal="right" vertical="center"/>
    </xf>
    <xf numFmtId="175" fontId="83" fillId="0" borderId="14" xfId="0" applyNumberFormat="1" applyFont="1" applyBorder="1" applyAlignment="1">
      <alignment vertical="center"/>
    </xf>
    <xf numFmtId="0" fontId="13" fillId="0" borderId="0" xfId="0" applyFont="1" applyAlignment="1">
      <alignment vertical="center"/>
    </xf>
    <xf numFmtId="43" fontId="10" fillId="0" borderId="0" xfId="5" applyFont="1" applyAlignment="1">
      <alignment vertical="center"/>
    </xf>
    <xf numFmtId="0" fontId="9" fillId="0" borderId="28" xfId="4" applyFont="1" applyBorder="1" applyAlignment="1">
      <alignment vertical="center"/>
    </xf>
    <xf numFmtId="0" fontId="13" fillId="0" borderId="14" xfId="0" applyFont="1" applyBorder="1" applyAlignment="1">
      <alignment horizontal="right" vertical="center"/>
    </xf>
    <xf numFmtId="0" fontId="0" fillId="29" borderId="0" xfId="0" applyFill="1" applyAlignment="1">
      <alignment vertical="center"/>
    </xf>
    <xf numFmtId="0" fontId="9" fillId="29" borderId="0" xfId="4" applyFont="1" applyFill="1" applyAlignment="1">
      <alignment horizontal="center" vertical="center"/>
    </xf>
    <xf numFmtId="43" fontId="10" fillId="29" borderId="0" xfId="5" applyFont="1" applyFill="1" applyAlignment="1">
      <alignment vertical="center"/>
    </xf>
    <xf numFmtId="43" fontId="63" fillId="8" borderId="0" xfId="5" applyFont="1" applyFill="1"/>
    <xf numFmtId="2" fontId="84" fillId="0" borderId="0" xfId="4" quotePrefix="1" applyNumberFormat="1" applyFont="1" applyAlignment="1">
      <alignment vertical="center"/>
    </xf>
    <xf numFmtId="2" fontId="84" fillId="0" borderId="0" xfId="4" quotePrefix="1" applyNumberFormat="1" applyFont="1" applyAlignment="1">
      <alignment horizontal="left" vertical="center"/>
    </xf>
    <xf numFmtId="43" fontId="10" fillId="5" borderId="0" xfId="5" applyFont="1" applyFill="1" applyAlignment="1">
      <alignment vertical="center"/>
    </xf>
    <xf numFmtId="0" fontId="14" fillId="7" borderId="1" xfId="0" applyFont="1" applyFill="1" applyBorder="1"/>
    <xf numFmtId="43" fontId="14" fillId="7" borderId="1" xfId="5" applyFont="1" applyFill="1" applyBorder="1"/>
    <xf numFmtId="0" fontId="12" fillId="0" borderId="14" xfId="0" applyFont="1" applyBorder="1" applyAlignment="1">
      <alignment horizontal="right" vertical="center"/>
    </xf>
    <xf numFmtId="2" fontId="13" fillId="0" borderId="12" xfId="0" applyNumberFormat="1" applyFont="1" applyBorder="1" applyAlignment="1">
      <alignment horizontal="right" vertical="center"/>
    </xf>
    <xf numFmtId="2" fontId="85" fillId="31" borderId="0" xfId="4" applyNumberFormat="1" applyFont="1" applyFill="1" applyAlignment="1">
      <alignment horizontal="center" vertical="center"/>
    </xf>
    <xf numFmtId="0" fontId="13" fillId="0" borderId="0" xfId="4" applyFont="1" applyAlignment="1">
      <alignment horizontal="center" vertical="center"/>
    </xf>
    <xf numFmtId="0" fontId="86" fillId="0" borderId="6" xfId="4" applyFont="1" applyBorder="1" applyAlignment="1">
      <alignment horizontal="center" vertical="center"/>
    </xf>
    <xf numFmtId="43" fontId="13" fillId="0" borderId="0" xfId="4" applyNumberFormat="1" applyFont="1" applyAlignment="1">
      <alignment vertical="center"/>
    </xf>
    <xf numFmtId="43" fontId="79" fillId="0" borderId="0" xfId="5" applyFont="1" applyFill="1" applyAlignment="1">
      <alignment horizontal="center" vertical="center"/>
    </xf>
    <xf numFmtId="168" fontId="87" fillId="32" borderId="0" xfId="4" applyNumberFormat="1" applyFont="1" applyFill="1" applyAlignment="1">
      <alignment vertical="center"/>
    </xf>
    <xf numFmtId="2" fontId="13" fillId="0" borderId="14" xfId="0" applyNumberFormat="1" applyFont="1" applyBorder="1" applyAlignment="1">
      <alignment horizontal="right" vertical="center"/>
    </xf>
    <xf numFmtId="43" fontId="13" fillId="0" borderId="14" xfId="5" applyFont="1" applyFill="1" applyBorder="1" applyAlignment="1">
      <alignment horizontal="right" vertical="center"/>
    </xf>
    <xf numFmtId="2" fontId="23" fillId="0" borderId="0" xfId="4" applyNumberFormat="1" applyFont="1" applyAlignment="1">
      <alignment vertical="center"/>
    </xf>
    <xf numFmtId="0" fontId="12" fillId="0" borderId="24" xfId="0" applyFont="1" applyBorder="1" applyAlignment="1">
      <alignment horizontal="right" vertical="center"/>
    </xf>
    <xf numFmtId="0" fontId="71" fillId="0" borderId="0" xfId="4" applyFont="1" applyAlignment="1">
      <alignment vertical="center"/>
    </xf>
    <xf numFmtId="0" fontId="0" fillId="33" borderId="0" xfId="0" applyFill="1" applyAlignment="1">
      <alignment vertical="center"/>
    </xf>
    <xf numFmtId="0" fontId="9" fillId="33" borderId="0" xfId="4" applyFont="1" applyFill="1" applyAlignment="1">
      <alignment horizontal="center" vertical="center"/>
    </xf>
    <xf numFmtId="43" fontId="10" fillId="33" borderId="0" xfId="5" applyFont="1" applyFill="1" applyAlignment="1">
      <alignment vertical="center"/>
    </xf>
    <xf numFmtId="0" fontId="88" fillId="0" borderId="0" xfId="4" applyFont="1" applyAlignment="1">
      <alignment vertical="center"/>
    </xf>
    <xf numFmtId="0" fontId="9" fillId="33" borderId="0" xfId="4" applyFont="1" applyFill="1" applyAlignment="1">
      <alignment vertical="center"/>
    </xf>
    <xf numFmtId="43" fontId="63" fillId="7" borderId="1" xfId="5" applyFont="1" applyFill="1" applyBorder="1"/>
    <xf numFmtId="43" fontId="63" fillId="7" borderId="0" xfId="5" applyFont="1" applyFill="1" applyBorder="1"/>
    <xf numFmtId="0" fontId="9" fillId="34" borderId="28" xfId="4" applyFont="1" applyFill="1" applyBorder="1" applyAlignment="1">
      <alignment vertical="center"/>
    </xf>
    <xf numFmtId="0" fontId="12" fillId="34" borderId="24" xfId="0" applyFont="1" applyFill="1" applyBorder="1" applyAlignment="1">
      <alignment horizontal="right" vertical="center"/>
    </xf>
    <xf numFmtId="2" fontId="13" fillId="34" borderId="14" xfId="0" applyNumberFormat="1" applyFont="1" applyFill="1" applyBorder="1" applyAlignment="1">
      <alignment horizontal="right" vertical="center"/>
    </xf>
    <xf numFmtId="43" fontId="13" fillId="34" borderId="14" xfId="5" applyFont="1" applyFill="1" applyBorder="1" applyAlignment="1">
      <alignment horizontal="right" vertical="center"/>
    </xf>
    <xf numFmtId="175" fontId="83" fillId="34" borderId="14" xfId="0" applyNumberFormat="1" applyFont="1" applyFill="1" applyBorder="1" applyAlignment="1">
      <alignment vertical="center"/>
    </xf>
    <xf numFmtId="2" fontId="82" fillId="0" borderId="0" xfId="4" applyNumberFormat="1" applyFont="1" applyAlignment="1">
      <alignment vertical="center"/>
    </xf>
    <xf numFmtId="176" fontId="19" fillId="0" borderId="0" xfId="4" applyNumberFormat="1" applyFont="1" applyAlignment="1">
      <alignment vertical="center"/>
    </xf>
    <xf numFmtId="0" fontId="89" fillId="5" borderId="15" xfId="7" quotePrefix="1" applyFont="1" applyFill="1" applyBorder="1" applyAlignment="1">
      <alignment horizontal="left" vertical="center" shrinkToFit="1"/>
    </xf>
    <xf numFmtId="43" fontId="89" fillId="5" borderId="4" xfId="5" quotePrefix="1" applyFont="1" applyFill="1" applyBorder="1" applyAlignment="1">
      <alignment horizontal="left" vertical="center" shrinkToFit="1"/>
    </xf>
    <xf numFmtId="0" fontId="9" fillId="5" borderId="28" xfId="4" applyFont="1" applyFill="1" applyBorder="1" applyAlignment="1">
      <alignment vertical="center"/>
    </xf>
    <xf numFmtId="0" fontId="12" fillId="5" borderId="24" xfId="0" applyFont="1" applyFill="1" applyBorder="1" applyAlignment="1">
      <alignment horizontal="right" vertical="center"/>
    </xf>
    <xf numFmtId="43" fontId="13" fillId="5" borderId="14" xfId="5" applyFont="1" applyFill="1" applyBorder="1" applyAlignment="1">
      <alignment horizontal="right" vertical="center"/>
    </xf>
    <xf numFmtId="175" fontId="83" fillId="5" borderId="14" xfId="0" applyNumberFormat="1" applyFont="1" applyFill="1" applyBorder="1" applyAlignment="1">
      <alignment vertical="center"/>
    </xf>
    <xf numFmtId="43" fontId="82" fillId="0" borderId="0" xfId="4" applyNumberFormat="1" applyFont="1" applyAlignment="1">
      <alignment vertical="center"/>
    </xf>
    <xf numFmtId="0" fontId="89" fillId="5" borderId="16" xfId="7" quotePrefix="1" applyFont="1" applyFill="1" applyBorder="1" applyAlignment="1">
      <alignment horizontal="left" vertical="center" shrinkToFit="1"/>
    </xf>
    <xf numFmtId="0" fontId="13" fillId="0" borderId="24" xfId="0" applyFont="1" applyBorder="1" applyAlignment="1">
      <alignment horizontal="right" vertical="center"/>
    </xf>
    <xf numFmtId="43" fontId="90" fillId="0" borderId="14" xfId="5" applyFont="1" applyFill="1" applyBorder="1" applyAlignment="1">
      <alignment horizontal="right" vertical="center"/>
    </xf>
    <xf numFmtId="0" fontId="9" fillId="5" borderId="23" xfId="4" applyFont="1" applyFill="1" applyBorder="1" applyAlignment="1">
      <alignment vertical="center"/>
    </xf>
    <xf numFmtId="0" fontId="13" fillId="5" borderId="24" xfId="0" applyFont="1" applyFill="1" applyBorder="1" applyAlignment="1">
      <alignment horizontal="right" vertical="center"/>
    </xf>
    <xf numFmtId="4" fontId="13" fillId="5" borderId="14" xfId="0" applyNumberFormat="1" applyFont="1" applyFill="1" applyBorder="1" applyAlignment="1">
      <alignment vertical="center"/>
    </xf>
    <xf numFmtId="43" fontId="13" fillId="5" borderId="14" xfId="5" applyFont="1" applyFill="1" applyBorder="1" applyAlignment="1">
      <alignment vertical="center"/>
    </xf>
    <xf numFmtId="4" fontId="13" fillId="5" borderId="12" xfId="0" applyNumberFormat="1" applyFont="1" applyFill="1" applyBorder="1" applyAlignment="1">
      <alignment vertical="center"/>
    </xf>
    <xf numFmtId="43" fontId="13" fillId="5" borderId="12" xfId="5" applyFont="1" applyFill="1" applyBorder="1" applyAlignment="1">
      <alignment vertical="center"/>
    </xf>
    <xf numFmtId="175" fontId="83" fillId="5" borderId="12" xfId="0" applyNumberFormat="1" applyFont="1" applyFill="1" applyBorder="1" applyAlignment="1">
      <alignment vertical="center"/>
    </xf>
    <xf numFmtId="0" fontId="85" fillId="0" borderId="0" xfId="4" applyFont="1" applyAlignment="1">
      <alignment horizontal="center" vertical="center"/>
    </xf>
    <xf numFmtId="0" fontId="9" fillId="0" borderId="23" xfId="4" applyFont="1" applyBorder="1" applyAlignment="1">
      <alignment vertical="center"/>
    </xf>
    <xf numFmtId="43" fontId="13" fillId="0" borderId="12" xfId="0" applyNumberFormat="1" applyFont="1" applyBorder="1" applyAlignment="1">
      <alignment horizontal="right" vertical="center"/>
    </xf>
    <xf numFmtId="175" fontId="83" fillId="0" borderId="12" xfId="0" applyNumberFormat="1" applyFont="1" applyBorder="1" applyAlignment="1">
      <alignment vertical="center"/>
    </xf>
    <xf numFmtId="43" fontId="13" fillId="0" borderId="14" xfId="0" applyNumberFormat="1" applyFont="1" applyBorder="1" applyAlignment="1">
      <alignment horizontal="right" vertical="center"/>
    </xf>
    <xf numFmtId="2" fontId="19" fillId="0" borderId="0" xfId="4" applyNumberFormat="1" applyFont="1" applyAlignment="1">
      <alignment vertical="center"/>
    </xf>
    <xf numFmtId="2" fontId="13" fillId="0" borderId="15" xfId="0" applyNumberFormat="1" applyFont="1" applyBorder="1" applyAlignment="1">
      <alignment horizontal="right" vertical="center"/>
    </xf>
    <xf numFmtId="0" fontId="9" fillId="0" borderId="21" xfId="4" applyFont="1" applyBorder="1" applyAlignment="1">
      <alignment vertical="center"/>
    </xf>
    <xf numFmtId="0" fontId="13" fillId="0" borderId="21" xfId="0" applyFont="1" applyBorder="1" applyAlignment="1">
      <alignment horizontal="right" vertical="center"/>
    </xf>
    <xf numFmtId="2" fontId="13" fillId="0" borderId="21" xfId="0" applyNumberFormat="1" applyFont="1" applyBorder="1" applyAlignment="1">
      <alignment horizontal="right" vertical="center"/>
    </xf>
    <xf numFmtId="43" fontId="13" fillId="0" borderId="21" xfId="5" applyFont="1" applyFill="1" applyBorder="1" applyAlignment="1">
      <alignment horizontal="right" vertical="center"/>
    </xf>
    <xf numFmtId="175" fontId="83" fillId="0" borderId="29" xfId="0" applyNumberFormat="1" applyFont="1" applyBorder="1" applyAlignment="1">
      <alignment vertical="center"/>
    </xf>
    <xf numFmtId="43" fontId="13" fillId="0" borderId="0" xfId="0" applyNumberFormat="1" applyFont="1" applyAlignment="1">
      <alignment horizontal="right" vertical="center"/>
    </xf>
    <xf numFmtId="2" fontId="13" fillId="0" borderId="0" xfId="0" applyNumberFormat="1" applyFont="1" applyAlignment="1">
      <alignment horizontal="right" vertical="center"/>
    </xf>
    <xf numFmtId="43" fontId="13" fillId="0" borderId="0" xfId="5" applyFont="1" applyFill="1" applyBorder="1" applyAlignment="1">
      <alignment horizontal="right" vertical="center"/>
    </xf>
    <xf numFmtId="0" fontId="91" fillId="0" borderId="0" xfId="4" applyFont="1" applyAlignment="1">
      <alignment vertical="center"/>
    </xf>
    <xf numFmtId="43" fontId="92" fillId="0" borderId="0" xfId="4" applyNumberFormat="1" applyFont="1" applyAlignment="1">
      <alignment vertical="center"/>
    </xf>
    <xf numFmtId="0" fontId="92" fillId="0" borderId="0" xfId="4" applyFont="1" applyAlignment="1">
      <alignment vertical="center"/>
    </xf>
    <xf numFmtId="2" fontId="91" fillId="0" borderId="0" xfId="4" applyNumberFormat="1" applyFont="1" applyAlignment="1">
      <alignment vertical="center"/>
    </xf>
    <xf numFmtId="179" fontId="9" fillId="0" borderId="0" xfId="4" applyNumberFormat="1" applyFont="1" applyAlignment="1">
      <alignment vertical="center"/>
    </xf>
    <xf numFmtId="0" fontId="56" fillId="0" borderId="0" xfId="4" applyFont="1" applyAlignment="1">
      <alignment vertical="center"/>
    </xf>
    <xf numFmtId="2" fontId="36" fillId="0" borderId="0" xfId="4" applyNumberFormat="1" applyFont="1" applyAlignment="1">
      <alignment vertical="center"/>
    </xf>
    <xf numFmtId="3" fontId="13" fillId="0" borderId="0" xfId="0" applyNumberFormat="1" applyFont="1" applyAlignment="1">
      <alignment horizontal="center" vertical="center"/>
    </xf>
    <xf numFmtId="16" fontId="36" fillId="0" borderId="0" xfId="4" applyNumberFormat="1" applyFont="1" applyAlignment="1">
      <alignment horizontal="center" vertical="center"/>
    </xf>
    <xf numFmtId="0" fontId="36" fillId="0" borderId="0" xfId="4" quotePrefix="1" applyFont="1" applyAlignment="1">
      <alignment horizontal="left" vertical="center"/>
    </xf>
    <xf numFmtId="0" fontId="36" fillId="0" borderId="0" xfId="4" applyFont="1" applyAlignment="1">
      <alignment horizontal="right" vertical="center"/>
    </xf>
    <xf numFmtId="0" fontId="9" fillId="0" borderId="0" xfId="4" applyFont="1" applyAlignment="1">
      <alignment horizontal="right" vertical="center"/>
    </xf>
    <xf numFmtId="0" fontId="36" fillId="0" borderId="0" xfId="4" applyFont="1" applyAlignment="1">
      <alignment horizontal="left" vertical="center"/>
    </xf>
    <xf numFmtId="0" fontId="93" fillId="0" borderId="0" xfId="4" applyFont="1" applyAlignment="1">
      <alignment vertical="center"/>
    </xf>
    <xf numFmtId="175" fontId="93" fillId="0" borderId="0" xfId="4" applyNumberFormat="1" applyFont="1" applyAlignment="1">
      <alignment vertical="center"/>
    </xf>
    <xf numFmtId="0" fontId="94" fillId="0" borderId="0" xfId="4" applyFont="1" applyAlignment="1">
      <alignment vertical="center"/>
    </xf>
    <xf numFmtId="0" fontId="95" fillId="9" borderId="0" xfId="4" applyFont="1" applyFill="1" applyAlignment="1">
      <alignment horizontal="center" vertical="center"/>
    </xf>
    <xf numFmtId="0" fontId="56" fillId="0" borderId="0" xfId="4" applyFont="1" applyAlignment="1">
      <alignment horizontal="left" vertical="center" wrapText="1"/>
    </xf>
    <xf numFmtId="0" fontId="68" fillId="0" borderId="0" xfId="4" applyFont="1" applyAlignment="1">
      <alignment vertical="center"/>
    </xf>
    <xf numFmtId="0" fontId="96" fillId="0" borderId="0" xfId="4" applyFont="1" applyAlignment="1">
      <alignment vertical="center"/>
    </xf>
    <xf numFmtId="0" fontId="15" fillId="0" borderId="0" xfId="4" applyFont="1" applyAlignment="1">
      <alignment horizontal="left" vertical="center"/>
    </xf>
    <xf numFmtId="0" fontId="23" fillId="0" borderId="0" xfId="4" applyFont="1" applyAlignment="1">
      <alignment vertical="center"/>
    </xf>
    <xf numFmtId="0" fontId="97" fillId="0" borderId="0" xfId="4" applyFont="1" applyAlignment="1">
      <alignment vertical="center"/>
    </xf>
    <xf numFmtId="0" fontId="39" fillId="0" borderId="0" xfId="0" applyFont="1"/>
    <xf numFmtId="43" fontId="39" fillId="0" borderId="0" xfId="5" applyFont="1" applyFill="1"/>
    <xf numFmtId="0" fontId="13" fillId="0" borderId="12" xfId="0" applyFont="1" applyBorder="1" applyAlignment="1">
      <alignment vertical="center"/>
    </xf>
    <xf numFmtId="0" fontId="56" fillId="16" borderId="0" xfId="4" applyFont="1" applyFill="1" applyAlignment="1">
      <alignment horizontal="center" vertical="center"/>
    </xf>
    <xf numFmtId="0" fontId="56" fillId="16" borderId="0" xfId="4" applyFont="1" applyFill="1" applyAlignment="1">
      <alignment horizontal="left" vertical="center"/>
    </xf>
    <xf numFmtId="0" fontId="15" fillId="0" borderId="17" xfId="0" applyFont="1" applyBorder="1" applyAlignment="1">
      <alignment vertical="center"/>
    </xf>
    <xf numFmtId="0" fontId="82" fillId="8" borderId="0" xfId="4" applyFont="1" applyFill="1" applyAlignment="1">
      <alignment vertical="center"/>
    </xf>
    <xf numFmtId="0" fontId="19" fillId="8" borderId="0" xfId="4" applyFont="1" applyFill="1" applyAlignment="1">
      <alignment vertical="center"/>
    </xf>
    <xf numFmtId="0" fontId="98" fillId="0" borderId="0" xfId="4" applyFont="1" applyAlignment="1">
      <alignment vertical="center"/>
    </xf>
    <xf numFmtId="0" fontId="99" fillId="0" borderId="13" xfId="4" applyFont="1" applyBorder="1" applyAlignment="1">
      <alignment vertical="center"/>
    </xf>
    <xf numFmtId="2" fontId="100" fillId="0" borderId="13" xfId="4" applyNumberFormat="1" applyFont="1" applyBorder="1" applyAlignment="1">
      <alignment horizontal="center" vertical="center"/>
    </xf>
    <xf numFmtId="2" fontId="13" fillId="10" borderId="13" xfId="4" applyNumberFormat="1" applyFont="1" applyFill="1" applyBorder="1" applyAlignment="1">
      <alignment vertical="center"/>
    </xf>
    <xf numFmtId="2" fontId="100" fillId="10" borderId="13" xfId="4" applyNumberFormat="1" applyFont="1" applyFill="1" applyBorder="1" applyAlignment="1">
      <alignment horizontal="center" vertical="center"/>
    </xf>
    <xf numFmtId="1" fontId="97" fillId="10" borderId="13" xfId="4" applyNumberFormat="1" applyFont="1" applyFill="1" applyBorder="1" applyAlignment="1">
      <alignment vertical="center"/>
    </xf>
    <xf numFmtId="2" fontId="100" fillId="14" borderId="13" xfId="4" applyNumberFormat="1" applyFont="1" applyFill="1" applyBorder="1" applyAlignment="1">
      <alignment horizontal="center" vertical="center"/>
    </xf>
    <xf numFmtId="2" fontId="13" fillId="0" borderId="13" xfId="4" applyNumberFormat="1" applyFont="1" applyBorder="1" applyAlignment="1">
      <alignment vertical="center"/>
    </xf>
    <xf numFmtId="1" fontId="97" fillId="0" borderId="13" xfId="4" applyNumberFormat="1" applyFont="1" applyBorder="1" applyAlignment="1">
      <alignment vertical="center"/>
    </xf>
    <xf numFmtId="0" fontId="13" fillId="0" borderId="13" xfId="4" applyFont="1" applyBorder="1" applyAlignment="1">
      <alignment vertical="center"/>
    </xf>
    <xf numFmtId="2" fontId="100" fillId="5" borderId="13" xfId="4" applyNumberFormat="1" applyFont="1" applyFill="1" applyBorder="1" applyAlignment="1">
      <alignment horizontal="center" vertical="center"/>
    </xf>
    <xf numFmtId="0" fontId="13" fillId="14" borderId="13" xfId="4" applyFont="1" applyFill="1" applyBorder="1" applyAlignment="1">
      <alignment vertical="center"/>
    </xf>
    <xf numFmtId="2" fontId="13" fillId="18" borderId="13" xfId="4" applyNumberFormat="1" applyFont="1" applyFill="1" applyBorder="1" applyAlignment="1">
      <alignment vertical="center"/>
    </xf>
    <xf numFmtId="2" fontId="100" fillId="18" borderId="13" xfId="4" applyNumberFormat="1" applyFont="1" applyFill="1" applyBorder="1" applyAlignment="1">
      <alignment horizontal="center" vertical="center"/>
    </xf>
    <xf numFmtId="1" fontId="97" fillId="18" borderId="13" xfId="4" applyNumberFormat="1" applyFont="1" applyFill="1" applyBorder="1" applyAlignment="1">
      <alignment vertical="center"/>
    </xf>
    <xf numFmtId="0" fontId="101" fillId="18" borderId="13" xfId="4" applyFont="1" applyFill="1" applyBorder="1" applyAlignment="1">
      <alignment vertical="center"/>
    </xf>
    <xf numFmtId="0" fontId="13" fillId="18" borderId="13" xfId="4" applyFont="1" applyFill="1" applyBorder="1" applyAlignment="1">
      <alignment vertical="center"/>
    </xf>
    <xf numFmtId="1" fontId="9" fillId="0" borderId="0" xfId="4" applyNumberFormat="1" applyFont="1" applyAlignment="1">
      <alignment vertical="center"/>
    </xf>
    <xf numFmtId="1" fontId="56" fillId="0" borderId="0" xfId="4" applyNumberFormat="1" applyFont="1" applyAlignment="1">
      <alignment horizontal="left" vertical="center"/>
    </xf>
    <xf numFmtId="0" fontId="102" fillId="0" borderId="0" xfId="4" applyFont="1" applyAlignment="1">
      <alignment vertical="center"/>
    </xf>
    <xf numFmtId="2" fontId="24" fillId="18" borderId="12" xfId="0" applyNumberFormat="1" applyFont="1" applyFill="1" applyBorder="1" applyAlignment="1">
      <alignment horizontal="center" vertical="center"/>
    </xf>
    <xf numFmtId="0" fontId="13" fillId="0" borderId="24" xfId="4" applyFont="1" applyBorder="1" applyAlignment="1">
      <alignment horizontal="center" vertical="center"/>
    </xf>
    <xf numFmtId="1" fontId="22" fillId="0" borderId="24" xfId="4" applyNumberFormat="1" applyFont="1" applyBorder="1" applyAlignment="1">
      <alignment vertical="center"/>
    </xf>
    <xf numFmtId="1" fontId="13" fillId="0" borderId="24" xfId="4" applyNumberFormat="1" applyFont="1" applyBorder="1" applyAlignment="1">
      <alignment vertical="center"/>
    </xf>
    <xf numFmtId="2" fontId="24" fillId="0" borderId="24" xfId="4" applyNumberFormat="1" applyFont="1" applyBorder="1" applyAlignment="1">
      <alignment horizontal="center" vertical="center"/>
    </xf>
    <xf numFmtId="0" fontId="13" fillId="0" borderId="24" xfId="4" applyFont="1" applyBorder="1" applyAlignment="1">
      <alignment vertical="center"/>
    </xf>
    <xf numFmtId="0" fontId="101" fillId="0" borderId="24" xfId="4" applyFont="1" applyBorder="1" applyAlignment="1">
      <alignment vertical="center"/>
    </xf>
    <xf numFmtId="2" fontId="100" fillId="0" borderId="24" xfId="4" applyNumberFormat="1" applyFont="1" applyBorder="1" applyAlignment="1">
      <alignment horizontal="center" vertical="center"/>
    </xf>
    <xf numFmtId="2" fontId="97" fillId="0" borderId="24" xfId="4" applyNumberFormat="1" applyFont="1" applyBorder="1" applyAlignment="1">
      <alignment vertical="center"/>
    </xf>
    <xf numFmtId="0" fontId="13" fillId="11" borderId="12" xfId="4" applyFont="1" applyFill="1" applyBorder="1" applyAlignment="1">
      <alignment vertical="center"/>
    </xf>
    <xf numFmtId="0" fontId="13" fillId="11" borderId="13" xfId="4" applyFont="1" applyFill="1" applyBorder="1" applyAlignment="1">
      <alignment horizontal="center" vertical="center"/>
    </xf>
    <xf numFmtId="2" fontId="13" fillId="11" borderId="13" xfId="4" applyNumberFormat="1" applyFont="1" applyFill="1" applyBorder="1" applyAlignment="1">
      <alignment vertical="center"/>
    </xf>
    <xf numFmtId="0" fontId="13" fillId="11" borderId="13" xfId="4" applyFont="1" applyFill="1" applyBorder="1" applyAlignment="1">
      <alignment vertical="center"/>
    </xf>
    <xf numFmtId="0" fontId="23" fillId="0" borderId="12" xfId="4" applyFont="1" applyBorder="1" applyAlignment="1">
      <alignment vertical="center"/>
    </xf>
    <xf numFmtId="0" fontId="13" fillId="0" borderId="13" xfId="4" applyFont="1" applyBorder="1" applyAlignment="1">
      <alignment horizontal="center" vertical="center"/>
    </xf>
    <xf numFmtId="1" fontId="13" fillId="0" borderId="13" xfId="4" applyNumberFormat="1" applyFont="1" applyBorder="1" applyAlignment="1">
      <alignment horizontal="center" vertical="center"/>
    </xf>
    <xf numFmtId="2" fontId="97" fillId="0" borderId="13" xfId="4" applyNumberFormat="1" applyFont="1" applyBorder="1" applyAlignment="1">
      <alignment vertical="center"/>
    </xf>
    <xf numFmtId="0" fontId="13" fillId="0" borderId="13" xfId="4" quotePrefix="1" applyFont="1" applyBorder="1" applyAlignment="1">
      <alignment horizontal="center" vertical="center"/>
    </xf>
    <xf numFmtId="43" fontId="22" fillId="0" borderId="13" xfId="5" applyFont="1" applyFill="1" applyBorder="1" applyAlignment="1">
      <alignment vertical="center"/>
    </xf>
    <xf numFmtId="43" fontId="103" fillId="0" borderId="13" xfId="5" applyFont="1" applyFill="1" applyBorder="1" applyAlignment="1">
      <alignment horizontal="center" vertical="center"/>
    </xf>
    <xf numFmtId="1" fontId="97" fillId="0" borderId="13" xfId="4" quotePrefix="1" applyNumberFormat="1" applyFont="1" applyBorder="1" applyAlignment="1">
      <alignment vertical="center"/>
    </xf>
    <xf numFmtId="43" fontId="84" fillId="0" borderId="13" xfId="5" quotePrefix="1" applyFont="1" applyFill="1" applyBorder="1" applyAlignment="1">
      <alignment horizontal="center" vertical="center"/>
    </xf>
    <xf numFmtId="2" fontId="100" fillId="0" borderId="13" xfId="4" applyNumberFormat="1" applyFont="1" applyBorder="1" applyAlignment="1">
      <alignment vertical="center"/>
    </xf>
    <xf numFmtId="178" fontId="100" fillId="0" borderId="13" xfId="4" applyNumberFormat="1" applyFont="1" applyBorder="1" applyAlignment="1">
      <alignment vertical="center"/>
    </xf>
    <xf numFmtId="43" fontId="84" fillId="0" borderId="13" xfId="5" applyFont="1" applyFill="1" applyBorder="1" applyAlignment="1">
      <alignment horizontal="center" vertical="center"/>
    </xf>
    <xf numFmtId="178" fontId="100" fillId="0" borderId="13" xfId="4" quotePrefix="1" applyNumberFormat="1" applyFont="1" applyBorder="1" applyAlignment="1">
      <alignment vertical="center"/>
    </xf>
    <xf numFmtId="178" fontId="97" fillId="23" borderId="13" xfId="4" applyNumberFormat="1" applyFont="1" applyFill="1" applyBorder="1" applyAlignment="1">
      <alignment vertical="center"/>
    </xf>
    <xf numFmtId="2" fontId="97" fillId="0" borderId="14" xfId="4" applyNumberFormat="1" applyFont="1" applyBorder="1" applyAlignment="1">
      <alignment vertical="center"/>
    </xf>
    <xf numFmtId="178" fontId="97" fillId="0" borderId="13" xfId="4" applyNumberFormat="1" applyFont="1" applyBorder="1" applyAlignment="1">
      <alignment vertical="center"/>
    </xf>
    <xf numFmtId="0" fontId="97" fillId="0" borderId="14" xfId="4" applyFont="1" applyBorder="1" applyAlignment="1">
      <alignment vertical="center"/>
    </xf>
    <xf numFmtId="0" fontId="23" fillId="0" borderId="14" xfId="4" applyFont="1" applyBorder="1" applyAlignment="1">
      <alignment vertical="center"/>
    </xf>
    <xf numFmtId="0" fontId="13" fillId="0" borderId="14" xfId="4" applyFont="1" applyBorder="1" applyAlignment="1">
      <alignment horizontal="center" vertical="center"/>
    </xf>
    <xf numFmtId="0" fontId="13" fillId="0" borderId="12" xfId="4" applyFont="1" applyBorder="1" applyAlignment="1">
      <alignment horizontal="center" vertical="center"/>
    </xf>
    <xf numFmtId="43" fontId="13" fillId="0" borderId="14" xfId="5" applyFont="1" applyFill="1" applyBorder="1" applyAlignment="1">
      <alignment vertical="center"/>
    </xf>
    <xf numFmtId="2" fontId="24" fillId="0" borderId="14" xfId="4" applyNumberFormat="1" applyFont="1" applyBorder="1" applyAlignment="1">
      <alignment vertical="center"/>
    </xf>
    <xf numFmtId="178" fontId="101" fillId="0" borderId="14" xfId="4" applyNumberFormat="1" applyFont="1" applyBorder="1" applyAlignment="1">
      <alignment vertical="center"/>
    </xf>
    <xf numFmtId="0" fontId="13" fillId="0" borderId="14" xfId="4" applyFont="1" applyBorder="1" applyAlignment="1">
      <alignment vertical="center"/>
    </xf>
    <xf numFmtId="0" fontId="23" fillId="0" borderId="21" xfId="4" applyFont="1" applyBorder="1" applyAlignment="1">
      <alignment vertical="center"/>
    </xf>
    <xf numFmtId="0" fontId="13" fillId="0" borderId="21" xfId="4" applyFont="1" applyBorder="1" applyAlignment="1">
      <alignment horizontal="center" vertical="center"/>
    </xf>
    <xf numFmtId="43" fontId="22" fillId="0" borderId="29" xfId="5" applyFont="1" applyFill="1" applyBorder="1" applyAlignment="1">
      <alignment vertical="center"/>
    </xf>
    <xf numFmtId="0" fontId="24" fillId="0" borderId="21" xfId="4" applyFont="1" applyBorder="1" applyAlignment="1">
      <alignment vertical="center"/>
    </xf>
    <xf numFmtId="2" fontId="24" fillId="0" borderId="21" xfId="4" applyNumberFormat="1" applyFont="1" applyBorder="1" applyAlignment="1">
      <alignment vertical="center"/>
    </xf>
    <xf numFmtId="178" fontId="101" fillId="0" borderId="21" xfId="4" applyNumberFormat="1" applyFont="1" applyBorder="1" applyAlignment="1">
      <alignment vertical="center"/>
    </xf>
    <xf numFmtId="178" fontId="13" fillId="0" borderId="21" xfId="4" applyNumberFormat="1" applyFont="1" applyBorder="1" applyAlignment="1">
      <alignment vertical="center"/>
    </xf>
    <xf numFmtId="0" fontId="13" fillId="0" borderId="21" xfId="4" applyFont="1" applyBorder="1" applyAlignment="1">
      <alignment vertical="center"/>
    </xf>
    <xf numFmtId="0" fontId="97" fillId="0" borderId="21" xfId="4" applyFont="1" applyBorder="1" applyAlignment="1">
      <alignment vertical="center"/>
    </xf>
    <xf numFmtId="0" fontId="104" fillId="0" borderId="0" xfId="4" applyFont="1" applyAlignment="1">
      <alignment horizontal="right" vertical="center"/>
    </xf>
    <xf numFmtId="2" fontId="13" fillId="0" borderId="0" xfId="4" applyNumberFormat="1" applyFont="1" applyAlignment="1">
      <alignment vertical="center"/>
    </xf>
    <xf numFmtId="0" fontId="13" fillId="0" borderId="0" xfId="4" quotePrefix="1" applyFont="1" applyAlignment="1">
      <alignment vertical="center"/>
    </xf>
    <xf numFmtId="178" fontId="23" fillId="0" borderId="0" xfId="4" applyNumberFormat="1" applyFont="1" applyAlignment="1">
      <alignment vertical="center"/>
    </xf>
    <xf numFmtId="0" fontId="101" fillId="0" borderId="10" xfId="4" applyFont="1" applyBorder="1" applyAlignment="1">
      <alignment horizontal="center" vertical="center"/>
    </xf>
    <xf numFmtId="0" fontId="100" fillId="0" borderId="10" xfId="4" applyFont="1" applyBorder="1" applyAlignment="1">
      <alignment horizontal="center" vertical="center"/>
    </xf>
    <xf numFmtId="0" fontId="97" fillId="0" borderId="2" xfId="4" applyFont="1" applyBorder="1" applyAlignment="1">
      <alignment horizontal="center" vertical="center"/>
    </xf>
    <xf numFmtId="0" fontId="13" fillId="0" borderId="4" xfId="4" applyFont="1" applyBorder="1" applyAlignment="1">
      <alignment vertical="center"/>
    </xf>
    <xf numFmtId="0" fontId="22" fillId="0" borderId="11" xfId="4" applyFont="1" applyBorder="1" applyAlignment="1">
      <alignment vertical="center"/>
    </xf>
    <xf numFmtId="0" fontId="13" fillId="0" borderId="11" xfId="4" applyFont="1" applyBorder="1" applyAlignment="1">
      <alignment vertical="center"/>
    </xf>
    <xf numFmtId="0" fontId="24" fillId="0" borderId="11" xfId="4" applyFont="1" applyBorder="1" applyAlignment="1">
      <alignment vertical="center"/>
    </xf>
    <xf numFmtId="0" fontId="101" fillId="0" borderId="11" xfId="4" applyFont="1" applyBorder="1" applyAlignment="1">
      <alignment vertical="center"/>
    </xf>
    <xf numFmtId="0" fontId="101" fillId="0" borderId="11" xfId="4" applyFont="1" applyBorder="1" applyAlignment="1">
      <alignment horizontal="center" vertical="center"/>
    </xf>
    <xf numFmtId="0" fontId="100" fillId="0" borderId="11" xfId="4" applyFont="1" applyBorder="1" applyAlignment="1">
      <alignment vertical="center"/>
    </xf>
    <xf numFmtId="0" fontId="21" fillId="0" borderId="4" xfId="4" applyFont="1" applyBorder="1" applyAlignment="1">
      <alignment vertical="center"/>
    </xf>
    <xf numFmtId="0" fontId="13" fillId="10" borderId="12" xfId="4" applyFont="1" applyFill="1" applyBorder="1" applyAlignment="1">
      <alignment vertical="center"/>
    </xf>
    <xf numFmtId="0" fontId="13" fillId="10" borderId="13" xfId="4" applyFont="1" applyFill="1" applyBorder="1" applyAlignment="1">
      <alignment horizontal="center" vertical="center"/>
    </xf>
    <xf numFmtId="0" fontId="13" fillId="10" borderId="13" xfId="4" applyFont="1" applyFill="1" applyBorder="1" applyAlignment="1">
      <alignment horizontal="center" vertical="center" wrapText="1"/>
    </xf>
    <xf numFmtId="1" fontId="23" fillId="10" borderId="13" xfId="4" applyNumberFormat="1" applyFont="1" applyFill="1" applyBorder="1" applyAlignment="1">
      <alignment vertical="center"/>
    </xf>
    <xf numFmtId="1" fontId="22" fillId="10" borderId="13" xfId="4" applyNumberFormat="1" applyFont="1" applyFill="1" applyBorder="1" applyAlignment="1">
      <alignment vertical="center"/>
    </xf>
    <xf numFmtId="1" fontId="13" fillId="10" borderId="13" xfId="4" applyNumberFormat="1" applyFont="1" applyFill="1" applyBorder="1" applyAlignment="1">
      <alignment vertical="center"/>
    </xf>
    <xf numFmtId="2" fontId="24" fillId="10" borderId="13" xfId="4" applyNumberFormat="1" applyFont="1" applyFill="1" applyBorder="1" applyAlignment="1">
      <alignment horizontal="center" vertical="center"/>
    </xf>
    <xf numFmtId="1" fontId="111" fillId="10" borderId="13" xfId="4" applyNumberFormat="1" applyFont="1" applyFill="1" applyBorder="1" applyAlignment="1">
      <alignment vertical="center"/>
    </xf>
    <xf numFmtId="0" fontId="101" fillId="10" borderId="13" xfId="4" applyFont="1" applyFill="1" applyBorder="1" applyAlignment="1">
      <alignment vertical="center"/>
    </xf>
    <xf numFmtId="0" fontId="100" fillId="10" borderId="13" xfId="4" applyFont="1" applyFill="1" applyBorder="1" applyAlignment="1">
      <alignment horizontal="center" vertical="center"/>
    </xf>
    <xf numFmtId="0" fontId="97" fillId="10" borderId="3" xfId="4" applyFont="1" applyFill="1" applyBorder="1" applyAlignment="1">
      <alignment vertical="center"/>
    </xf>
    <xf numFmtId="0" fontId="13" fillId="14" borderId="12" xfId="4" applyFont="1" applyFill="1" applyBorder="1" applyAlignment="1">
      <alignment vertical="center"/>
    </xf>
    <xf numFmtId="0" fontId="13" fillId="14" borderId="13" xfId="4" applyFont="1" applyFill="1" applyBorder="1" applyAlignment="1">
      <alignment horizontal="center" vertical="center"/>
    </xf>
    <xf numFmtId="1" fontId="23" fillId="14" borderId="13" xfId="4" applyNumberFormat="1" applyFont="1" applyFill="1" applyBorder="1" applyAlignment="1">
      <alignment vertical="center"/>
    </xf>
    <xf numFmtId="1" fontId="22" fillId="14" borderId="13" xfId="4" applyNumberFormat="1" applyFont="1" applyFill="1" applyBorder="1" applyAlignment="1">
      <alignment vertical="center"/>
    </xf>
    <xf numFmtId="1" fontId="13" fillId="14" borderId="13" xfId="4" applyNumberFormat="1" applyFont="1" applyFill="1" applyBorder="1" applyAlignment="1">
      <alignment vertical="center"/>
    </xf>
    <xf numFmtId="2" fontId="24" fillId="14" borderId="13" xfId="4" applyNumberFormat="1" applyFont="1" applyFill="1" applyBorder="1" applyAlignment="1">
      <alignment horizontal="center" vertical="center"/>
    </xf>
    <xf numFmtId="1" fontId="111" fillId="14" borderId="13" xfId="4" applyNumberFormat="1" applyFont="1" applyFill="1" applyBorder="1" applyAlignment="1">
      <alignment vertical="center"/>
    </xf>
    <xf numFmtId="0" fontId="101" fillId="14" borderId="13" xfId="4" applyFont="1" applyFill="1" applyBorder="1" applyAlignment="1">
      <alignment vertical="center"/>
    </xf>
    <xf numFmtId="2" fontId="13" fillId="14" borderId="13" xfId="4" applyNumberFormat="1" applyFont="1" applyFill="1" applyBorder="1" applyAlignment="1">
      <alignment vertical="center"/>
    </xf>
    <xf numFmtId="0" fontId="100" fillId="14" borderId="13" xfId="4" applyFont="1" applyFill="1" applyBorder="1" applyAlignment="1">
      <alignment horizontal="center" vertical="center"/>
    </xf>
    <xf numFmtId="2" fontId="97" fillId="14" borderId="14" xfId="4" applyNumberFormat="1" applyFont="1" applyFill="1" applyBorder="1" applyAlignment="1">
      <alignment vertical="center"/>
    </xf>
    <xf numFmtId="0" fontId="13" fillId="0" borderId="12" xfId="4" applyFont="1" applyBorder="1" applyAlignment="1">
      <alignment vertical="center"/>
    </xf>
    <xf numFmtId="1" fontId="23" fillId="0" borderId="13" xfId="4" applyNumberFormat="1" applyFont="1" applyBorder="1" applyAlignment="1">
      <alignment vertical="center"/>
    </xf>
    <xf numFmtId="1" fontId="22" fillId="0" borderId="13" xfId="4" applyNumberFormat="1" applyFont="1" applyBorder="1" applyAlignment="1">
      <alignment vertical="center"/>
    </xf>
    <xf numFmtId="1" fontId="13" fillId="0" borderId="13" xfId="4" applyNumberFormat="1" applyFont="1" applyBorder="1" applyAlignment="1">
      <alignment vertical="center"/>
    </xf>
    <xf numFmtId="1" fontId="111" fillId="0" borderId="13" xfId="4" applyNumberFormat="1" applyFont="1" applyBorder="1" applyAlignment="1">
      <alignment vertical="center"/>
    </xf>
    <xf numFmtId="0" fontId="101" fillId="0" borderId="13" xfId="4" applyFont="1" applyBorder="1" applyAlignment="1">
      <alignment horizontal="center" vertical="center"/>
    </xf>
    <xf numFmtId="0" fontId="100" fillId="0" borderId="13" xfId="4" applyFont="1" applyBorder="1" applyAlignment="1">
      <alignment horizontal="center" vertical="center"/>
    </xf>
    <xf numFmtId="0" fontId="13" fillId="0" borderId="13" xfId="4" applyFont="1" applyBorder="1" applyAlignment="1">
      <alignment horizontal="left" vertical="center"/>
    </xf>
    <xf numFmtId="0" fontId="23" fillId="0" borderId="13" xfId="4" applyFont="1" applyBorder="1" applyAlignment="1">
      <alignment vertical="center"/>
    </xf>
    <xf numFmtId="0" fontId="22" fillId="0" borderId="13" xfId="4" applyFont="1" applyBorder="1" applyAlignment="1">
      <alignment vertical="center"/>
    </xf>
    <xf numFmtId="2" fontId="21" fillId="0" borderId="13" xfId="4" applyNumberFormat="1" applyFont="1" applyBorder="1" applyAlignment="1">
      <alignment vertical="center"/>
    </xf>
    <xf numFmtId="2" fontId="22" fillId="0" borderId="13" xfId="4" applyNumberFormat="1" applyFont="1" applyBorder="1" applyAlignment="1">
      <alignment vertical="center"/>
    </xf>
    <xf numFmtId="0" fontId="13" fillId="0" borderId="13" xfId="0" applyFont="1" applyBorder="1" applyAlignment="1">
      <alignment horizontal="right" vertical="center"/>
    </xf>
    <xf numFmtId="1" fontId="112" fillId="0" borderId="13" xfId="4" applyNumberFormat="1" applyFont="1" applyBorder="1" applyAlignment="1">
      <alignment vertical="center"/>
    </xf>
    <xf numFmtId="0" fontId="13" fillId="18" borderId="12" xfId="4" applyFont="1" applyFill="1" applyBorder="1" applyAlignment="1">
      <alignment vertical="center"/>
    </xf>
    <xf numFmtId="0" fontId="13" fillId="18" borderId="13" xfId="4" applyFont="1" applyFill="1" applyBorder="1" applyAlignment="1">
      <alignment horizontal="center" vertical="center"/>
    </xf>
    <xf numFmtId="1" fontId="22" fillId="18" borderId="13" xfId="4" applyNumberFormat="1" applyFont="1" applyFill="1" applyBorder="1" applyAlignment="1">
      <alignment vertical="center"/>
    </xf>
    <xf numFmtId="2" fontId="24" fillId="18" borderId="13" xfId="4" applyNumberFormat="1" applyFont="1" applyFill="1" applyBorder="1" applyAlignment="1">
      <alignment horizontal="center" vertical="center"/>
    </xf>
    <xf numFmtId="1" fontId="111" fillId="18" borderId="13" xfId="4" applyNumberFormat="1" applyFont="1" applyFill="1" applyBorder="1" applyAlignment="1">
      <alignment vertical="center"/>
    </xf>
    <xf numFmtId="0" fontId="101" fillId="18" borderId="13" xfId="4" applyFont="1" applyFill="1" applyBorder="1" applyAlignment="1">
      <alignment horizontal="center" vertical="center"/>
    </xf>
    <xf numFmtId="0" fontId="100" fillId="18" borderId="13" xfId="4" applyFont="1" applyFill="1" applyBorder="1" applyAlignment="1">
      <alignment horizontal="center" vertical="center"/>
    </xf>
    <xf numFmtId="0" fontId="24" fillId="0" borderId="13" xfId="4" applyFont="1" applyBorder="1" applyAlignment="1">
      <alignment horizontal="left" vertical="center"/>
    </xf>
    <xf numFmtId="0" fontId="13" fillId="5" borderId="12" xfId="0" applyFont="1" applyFill="1" applyBorder="1" applyAlignment="1">
      <alignment horizontal="right" vertical="center"/>
    </xf>
    <xf numFmtId="0" fontId="101" fillId="0" borderId="13" xfId="0" applyFont="1" applyBorder="1" applyAlignment="1">
      <alignment horizontal="center" vertical="center"/>
    </xf>
    <xf numFmtId="1" fontId="13" fillId="0" borderId="12" xfId="4" applyNumberFormat="1" applyFont="1" applyBorder="1" applyAlignment="1">
      <alignment vertical="center"/>
    </xf>
    <xf numFmtId="2" fontId="13" fillId="0" borderId="13" xfId="4" applyNumberFormat="1" applyFont="1" applyBorder="1" applyAlignment="1">
      <alignment horizontal="right" vertical="center"/>
    </xf>
    <xf numFmtId="0" fontId="113" fillId="0" borderId="13" xfId="4" applyFont="1" applyBorder="1" applyAlignment="1">
      <alignment horizontal="left" vertical="center"/>
    </xf>
    <xf numFmtId="0" fontId="13" fillId="5" borderId="13" xfId="0" applyFont="1" applyFill="1" applyBorder="1" applyAlignment="1">
      <alignment horizontal="right" vertical="center"/>
    </xf>
    <xf numFmtId="2" fontId="111" fillId="0" borderId="13" xfId="4" applyNumberFormat="1" applyFont="1" applyBorder="1" applyAlignment="1">
      <alignment vertical="center"/>
    </xf>
    <xf numFmtId="0" fontId="101" fillId="0" borderId="12" xfId="0" applyFont="1" applyBorder="1" applyAlignment="1">
      <alignment horizontal="center" vertical="center"/>
    </xf>
    <xf numFmtId="1" fontId="112" fillId="0" borderId="13" xfId="0" applyNumberFormat="1" applyFont="1" applyBorder="1" applyAlignment="1">
      <alignment horizontal="right" vertical="center"/>
    </xf>
    <xf numFmtId="0" fontId="13" fillId="5" borderId="12" xfId="4" applyFont="1" applyFill="1" applyBorder="1" applyAlignment="1">
      <alignment vertical="center"/>
    </xf>
    <xf numFmtId="0" fontId="13" fillId="5" borderId="13" xfId="4" applyFont="1" applyFill="1" applyBorder="1" applyAlignment="1">
      <alignment horizontal="center" vertical="center"/>
    </xf>
    <xf numFmtId="0" fontId="23" fillId="5" borderId="13" xfId="4" applyFont="1" applyFill="1" applyBorder="1" applyAlignment="1">
      <alignment vertical="center"/>
    </xf>
    <xf numFmtId="0" fontId="22" fillId="5" borderId="13" xfId="4" applyFont="1" applyFill="1" applyBorder="1" applyAlignment="1">
      <alignment vertical="center"/>
    </xf>
    <xf numFmtId="2" fontId="13" fillId="5" borderId="13" xfId="4" applyNumberFormat="1" applyFont="1" applyFill="1" applyBorder="1" applyAlignment="1">
      <alignment vertical="center"/>
    </xf>
    <xf numFmtId="2" fontId="24" fillId="5" borderId="13" xfId="4" applyNumberFormat="1" applyFont="1" applyFill="1" applyBorder="1" applyAlignment="1">
      <alignment horizontal="center" vertical="center"/>
    </xf>
    <xf numFmtId="2" fontId="13" fillId="5" borderId="13" xfId="0" applyNumberFormat="1" applyFont="1" applyFill="1" applyBorder="1" applyAlignment="1">
      <alignment horizontal="right" vertical="center"/>
    </xf>
    <xf numFmtId="0" fontId="101" fillId="5" borderId="13" xfId="0" applyFont="1" applyFill="1" applyBorder="1" applyAlignment="1">
      <alignment horizontal="center" vertical="center"/>
    </xf>
    <xf numFmtId="0" fontId="13" fillId="5" borderId="13" xfId="4" applyFont="1" applyFill="1" applyBorder="1" applyAlignment="1">
      <alignment vertical="center"/>
    </xf>
    <xf numFmtId="1" fontId="97" fillId="5" borderId="13" xfId="4" applyNumberFormat="1" applyFont="1" applyFill="1" applyBorder="1" applyAlignment="1">
      <alignment vertical="center"/>
    </xf>
    <xf numFmtId="2" fontId="13" fillId="0" borderId="13" xfId="0" applyNumberFormat="1" applyFont="1" applyBorder="1" applyAlignment="1">
      <alignment horizontal="right" vertical="center"/>
    </xf>
    <xf numFmtId="0" fontId="13" fillId="8" borderId="12" xfId="4" applyFont="1" applyFill="1" applyBorder="1" applyAlignment="1">
      <alignment vertical="center"/>
    </xf>
    <xf numFmtId="0" fontId="13" fillId="8" borderId="13" xfId="4" applyFont="1" applyFill="1" applyBorder="1" applyAlignment="1">
      <alignment horizontal="center" vertical="center"/>
    </xf>
    <xf numFmtId="0" fontId="13" fillId="8" borderId="13" xfId="4" quotePrefix="1" applyFont="1" applyFill="1" applyBorder="1" applyAlignment="1">
      <alignment horizontal="center" vertical="center"/>
    </xf>
    <xf numFmtId="2" fontId="24" fillId="8" borderId="13" xfId="4" applyNumberFormat="1" applyFont="1" applyFill="1" applyBorder="1" applyAlignment="1">
      <alignment horizontal="center" vertical="center"/>
    </xf>
    <xf numFmtId="2" fontId="111" fillId="8" borderId="13" xfId="4" applyNumberFormat="1" applyFont="1" applyFill="1" applyBorder="1" applyAlignment="1">
      <alignment vertical="center"/>
    </xf>
    <xf numFmtId="0" fontId="101" fillId="8" borderId="13" xfId="4" applyFont="1" applyFill="1" applyBorder="1" applyAlignment="1">
      <alignment horizontal="center" vertical="center"/>
    </xf>
    <xf numFmtId="2" fontId="13" fillId="8" borderId="13" xfId="4" applyNumberFormat="1" applyFont="1" applyFill="1" applyBorder="1" applyAlignment="1">
      <alignment vertical="center"/>
    </xf>
    <xf numFmtId="0" fontId="100" fillId="8" borderId="13" xfId="4" applyFont="1" applyFill="1" applyBorder="1" applyAlignment="1">
      <alignment horizontal="center" vertical="center"/>
    </xf>
    <xf numFmtId="1" fontId="97" fillId="8" borderId="13" xfId="4" applyNumberFormat="1" applyFont="1" applyFill="1" applyBorder="1" applyAlignment="1">
      <alignment vertical="center"/>
    </xf>
    <xf numFmtId="0" fontId="99" fillId="5" borderId="13" xfId="4" applyFont="1" applyFill="1" applyBorder="1" applyAlignment="1">
      <alignment horizontal="left" vertical="center"/>
    </xf>
    <xf numFmtId="0" fontId="101" fillId="5" borderId="12" xfId="4" applyFont="1" applyFill="1" applyBorder="1" applyAlignment="1">
      <alignment horizontal="center" vertical="center"/>
    </xf>
    <xf numFmtId="0" fontId="101" fillId="0" borderId="13" xfId="4" applyFont="1" applyBorder="1" applyAlignment="1">
      <alignment vertical="center"/>
    </xf>
    <xf numFmtId="1" fontId="111" fillId="18" borderId="12" xfId="4" applyNumberFormat="1" applyFont="1" applyFill="1" applyBorder="1" applyAlignment="1">
      <alignment vertical="center"/>
    </xf>
    <xf numFmtId="0" fontId="101" fillId="18" borderId="12" xfId="4" applyFont="1" applyFill="1" applyBorder="1" applyAlignment="1">
      <alignment horizontal="center" vertical="center"/>
    </xf>
    <xf numFmtId="2" fontId="13" fillId="18" borderId="12" xfId="4" applyNumberFormat="1" applyFont="1" applyFill="1" applyBorder="1" applyAlignment="1">
      <alignment vertical="center"/>
    </xf>
    <xf numFmtId="2" fontId="100" fillId="18" borderId="12" xfId="4" applyNumberFormat="1" applyFont="1" applyFill="1" applyBorder="1" applyAlignment="1">
      <alignment horizontal="center" vertical="center"/>
    </xf>
    <xf numFmtId="1" fontId="97" fillId="18" borderId="12" xfId="4" applyNumberFormat="1" applyFont="1" applyFill="1" applyBorder="1" applyAlignment="1">
      <alignment vertical="center"/>
    </xf>
    <xf numFmtId="16" fontId="13" fillId="0" borderId="12" xfId="4" applyNumberFormat="1" applyFont="1" applyBorder="1" applyAlignment="1">
      <alignment horizontal="center" vertical="center"/>
    </xf>
    <xf numFmtId="1" fontId="23" fillId="0" borderId="12" xfId="4" applyNumberFormat="1" applyFont="1" applyBorder="1" applyAlignment="1">
      <alignment vertical="center"/>
    </xf>
    <xf numFmtId="1" fontId="23" fillId="8" borderId="12" xfId="4" applyNumberFormat="1" applyFont="1" applyFill="1" applyBorder="1" applyAlignment="1">
      <alignment vertical="center"/>
    </xf>
    <xf numFmtId="1" fontId="111" fillId="0" borderId="12" xfId="4" applyNumberFormat="1" applyFont="1" applyBorder="1" applyAlignment="1">
      <alignment vertical="center"/>
    </xf>
    <xf numFmtId="0" fontId="101" fillId="0" borderId="12" xfId="4" applyFont="1" applyBorder="1" applyAlignment="1">
      <alignment horizontal="center" vertical="center"/>
    </xf>
    <xf numFmtId="0" fontId="100" fillId="0" borderId="12" xfId="4" applyFont="1" applyBorder="1" applyAlignment="1">
      <alignment horizontal="center" vertical="center"/>
    </xf>
    <xf numFmtId="1" fontId="97" fillId="0" borderId="12" xfId="4" applyNumberFormat="1" applyFont="1" applyBorder="1" applyAlignment="1">
      <alignment vertical="center"/>
    </xf>
    <xf numFmtId="0" fontId="99" fillId="0" borderId="12" xfId="4" applyFont="1" applyBorder="1" applyAlignment="1">
      <alignment horizontal="left" vertical="center"/>
    </xf>
    <xf numFmtId="0" fontId="22" fillId="0" borderId="12" xfId="4" applyFont="1" applyBorder="1" applyAlignment="1">
      <alignment vertical="center"/>
    </xf>
    <xf numFmtId="2" fontId="13" fillId="0" borderId="12" xfId="4" applyNumberFormat="1" applyFont="1" applyBorder="1" applyAlignment="1">
      <alignment vertical="center"/>
    </xf>
    <xf numFmtId="2" fontId="100" fillId="0" borderId="12" xfId="4" applyNumberFormat="1" applyFont="1" applyBorder="1" applyAlignment="1">
      <alignment horizontal="center" vertical="center"/>
    </xf>
    <xf numFmtId="0" fontId="13" fillId="0" borderId="12" xfId="4" applyFont="1" applyBorder="1" applyAlignment="1">
      <alignment horizontal="left" vertical="center"/>
    </xf>
    <xf numFmtId="0" fontId="101" fillId="23" borderId="12" xfId="4" applyFont="1" applyFill="1" applyBorder="1" applyAlignment="1">
      <alignment horizontal="center" vertical="center"/>
    </xf>
    <xf numFmtId="0" fontId="13" fillId="5" borderId="12" xfId="4" applyFont="1" applyFill="1" applyBorder="1" applyAlignment="1">
      <alignment horizontal="center" vertical="center"/>
    </xf>
    <xf numFmtId="0" fontId="23" fillId="5" borderId="12" xfId="4" applyFont="1" applyFill="1" applyBorder="1" applyAlignment="1">
      <alignment vertical="center"/>
    </xf>
    <xf numFmtId="2" fontId="13" fillId="5" borderId="12" xfId="4" applyNumberFormat="1" applyFont="1" applyFill="1" applyBorder="1" applyAlignment="1">
      <alignment vertical="center"/>
    </xf>
    <xf numFmtId="2" fontId="100" fillId="5" borderId="12" xfId="4" applyNumberFormat="1" applyFont="1" applyFill="1" applyBorder="1" applyAlignment="1">
      <alignment horizontal="center" vertical="center"/>
    </xf>
    <xf numFmtId="1" fontId="97" fillId="5" borderId="12" xfId="4" applyNumberFormat="1" applyFont="1" applyFill="1" applyBorder="1" applyAlignment="1">
      <alignment vertical="center"/>
    </xf>
    <xf numFmtId="2" fontId="111" fillId="0" borderId="12" xfId="4" applyNumberFormat="1" applyFont="1" applyBorder="1" applyAlignment="1">
      <alignment vertical="center"/>
    </xf>
    <xf numFmtId="1" fontId="22" fillId="5" borderId="13" xfId="4" applyNumberFormat="1" applyFont="1" applyFill="1" applyBorder="1" applyAlignment="1">
      <alignment vertical="center"/>
    </xf>
    <xf numFmtId="1" fontId="13" fillId="5" borderId="13" xfId="4" applyNumberFormat="1" applyFont="1" applyFill="1" applyBorder="1" applyAlignment="1">
      <alignment vertical="center"/>
    </xf>
    <xf numFmtId="1" fontId="114" fillId="0" borderId="13" xfId="0" applyNumberFormat="1" applyFont="1" applyBorder="1" applyAlignment="1">
      <alignment horizontal="right" vertical="center"/>
    </xf>
    <xf numFmtId="0" fontId="101" fillId="8" borderId="13" xfId="0" applyFont="1" applyFill="1" applyBorder="1" applyAlignment="1">
      <alignment horizontal="center" vertical="center"/>
    </xf>
    <xf numFmtId="1" fontId="100" fillId="0" borderId="12" xfId="4" applyNumberFormat="1" applyFont="1" applyBorder="1" applyAlignment="1">
      <alignment horizontal="center" vertical="center"/>
    </xf>
    <xf numFmtId="2" fontId="13" fillId="5" borderId="13" xfId="4" applyNumberFormat="1" applyFont="1" applyFill="1" applyBorder="1" applyAlignment="1">
      <alignment horizontal="right" vertical="center"/>
    </xf>
    <xf numFmtId="0" fontId="13" fillId="8" borderId="12" xfId="4" applyFont="1" applyFill="1" applyBorder="1" applyAlignment="1">
      <alignment horizontal="center" vertical="center"/>
    </xf>
    <xf numFmtId="0" fontId="23" fillId="8" borderId="12" xfId="4" applyFont="1" applyFill="1" applyBorder="1" applyAlignment="1">
      <alignment vertical="center"/>
    </xf>
    <xf numFmtId="0" fontId="22" fillId="8" borderId="13" xfId="4" applyFont="1" applyFill="1" applyBorder="1" applyAlignment="1">
      <alignment vertical="center"/>
    </xf>
    <xf numFmtId="2" fontId="13" fillId="8" borderId="13" xfId="0" applyNumberFormat="1" applyFont="1" applyFill="1" applyBorder="1" applyAlignment="1">
      <alignment horizontal="right" vertical="center"/>
    </xf>
    <xf numFmtId="2" fontId="100" fillId="8" borderId="12" xfId="4" applyNumberFormat="1" applyFont="1" applyFill="1" applyBorder="1" applyAlignment="1">
      <alignment horizontal="center" vertical="center"/>
    </xf>
    <xf numFmtId="1" fontId="97" fillId="8" borderId="12" xfId="4" applyNumberFormat="1" applyFont="1" applyFill="1" applyBorder="1" applyAlignment="1">
      <alignment vertical="center"/>
    </xf>
    <xf numFmtId="0" fontId="13" fillId="18" borderId="12" xfId="4" applyFont="1" applyFill="1" applyBorder="1" applyAlignment="1">
      <alignment horizontal="center" vertical="center"/>
    </xf>
    <xf numFmtId="2" fontId="111" fillId="18" borderId="12" xfId="4" applyNumberFormat="1" applyFont="1" applyFill="1" applyBorder="1" applyAlignment="1">
      <alignment vertical="center"/>
    </xf>
    <xf numFmtId="0" fontId="100" fillId="18" borderId="12" xfId="4" applyFont="1" applyFill="1" applyBorder="1" applyAlignment="1">
      <alignment horizontal="center" vertical="center"/>
    </xf>
    <xf numFmtId="0" fontId="13" fillId="14" borderId="12" xfId="4" applyFont="1" applyFill="1" applyBorder="1" applyAlignment="1">
      <alignment horizontal="center" vertical="center"/>
    </xf>
    <xf numFmtId="1" fontId="101" fillId="0" borderId="13" xfId="4" applyNumberFormat="1" applyFont="1" applyBorder="1" applyAlignment="1">
      <alignment vertical="center"/>
    </xf>
    <xf numFmtId="1" fontId="13" fillId="0" borderId="12" xfId="0" applyNumberFormat="1" applyFont="1" applyBorder="1" applyAlignment="1">
      <alignment horizontal="right" vertical="center"/>
    </xf>
    <xf numFmtId="0" fontId="24" fillId="0" borderId="12" xfId="4" applyFont="1" applyBorder="1" applyAlignment="1">
      <alignment vertical="center"/>
    </xf>
    <xf numFmtId="0" fontId="13" fillId="0" borderId="3" xfId="4" applyFont="1" applyBorder="1" applyAlignment="1">
      <alignment horizontal="center" vertical="center"/>
    </xf>
    <xf numFmtId="0" fontId="23" fillId="0" borderId="12" xfId="0" applyFont="1" applyBorder="1" applyAlignment="1">
      <alignment horizontal="right" vertical="center"/>
    </xf>
    <xf numFmtId="0" fontId="13" fillId="6" borderId="12" xfId="4" applyFont="1" applyFill="1" applyBorder="1" applyAlignment="1">
      <alignment vertical="center"/>
    </xf>
    <xf numFmtId="0" fontId="13" fillId="6" borderId="12" xfId="4" applyFont="1" applyFill="1" applyBorder="1" applyAlignment="1">
      <alignment horizontal="center" vertical="center"/>
    </xf>
    <xf numFmtId="0" fontId="115" fillId="6" borderId="14" xfId="0" applyFont="1" applyFill="1" applyBorder="1" applyAlignment="1">
      <alignment vertical="center" wrapText="1"/>
    </xf>
    <xf numFmtId="0" fontId="23" fillId="6" borderId="12" xfId="4" applyFont="1" applyFill="1" applyBorder="1" applyAlignment="1">
      <alignment vertical="center"/>
    </xf>
    <xf numFmtId="0" fontId="22" fillId="6" borderId="13" xfId="4" applyFont="1" applyFill="1" applyBorder="1" applyAlignment="1">
      <alignment vertical="center"/>
    </xf>
    <xf numFmtId="2" fontId="24" fillId="6" borderId="13" xfId="4" applyNumberFormat="1" applyFont="1" applyFill="1" applyBorder="1" applyAlignment="1">
      <alignment horizontal="center" vertical="center"/>
    </xf>
    <xf numFmtId="1" fontId="111" fillId="6" borderId="12" xfId="4" applyNumberFormat="1" applyFont="1" applyFill="1" applyBorder="1" applyAlignment="1">
      <alignment vertical="center"/>
    </xf>
    <xf numFmtId="0" fontId="101" fillId="6" borderId="12" xfId="4" applyFont="1" applyFill="1" applyBorder="1" applyAlignment="1">
      <alignment horizontal="center" vertical="center"/>
    </xf>
    <xf numFmtId="2" fontId="13" fillId="6" borderId="12" xfId="4" applyNumberFormat="1" applyFont="1" applyFill="1" applyBorder="1" applyAlignment="1">
      <alignment vertical="center"/>
    </xf>
    <xf numFmtId="0" fontId="100" fillId="6" borderId="12" xfId="4" applyFont="1" applyFill="1" applyBorder="1" applyAlignment="1">
      <alignment horizontal="center" vertical="center"/>
    </xf>
    <xf numFmtId="1" fontId="97" fillId="6" borderId="12" xfId="4" applyNumberFormat="1" applyFont="1" applyFill="1" applyBorder="1" applyAlignment="1">
      <alignment vertical="center"/>
    </xf>
    <xf numFmtId="0" fontId="115" fillId="0" borderId="14" xfId="0" applyFont="1" applyBorder="1" applyAlignment="1">
      <alignment vertical="center" wrapText="1"/>
    </xf>
    <xf numFmtId="0" fontId="99" fillId="0" borderId="12" xfId="4" applyFont="1" applyBorder="1" applyAlignment="1">
      <alignment vertical="center"/>
    </xf>
    <xf numFmtId="0" fontId="13" fillId="8" borderId="14" xfId="4" applyFont="1" applyFill="1" applyBorder="1" applyAlignment="1">
      <alignment vertical="center"/>
    </xf>
    <xf numFmtId="2" fontId="13" fillId="0" borderId="14" xfId="4" applyNumberFormat="1" applyFont="1" applyBorder="1" applyAlignment="1">
      <alignment vertical="center"/>
    </xf>
    <xf numFmtId="1" fontId="13" fillId="0" borderId="14" xfId="4" applyNumberFormat="1" applyFont="1" applyBorder="1" applyAlignment="1">
      <alignment vertical="center"/>
    </xf>
    <xf numFmtId="1" fontId="24" fillId="0" borderId="12" xfId="4" applyNumberFormat="1" applyFont="1" applyBorder="1" applyAlignment="1">
      <alignment vertical="center"/>
    </xf>
    <xf numFmtId="0" fontId="13" fillId="0" borderId="12" xfId="4" quotePrefix="1" applyFont="1" applyBorder="1" applyAlignment="1">
      <alignment horizontal="center" vertical="center"/>
    </xf>
    <xf numFmtId="1" fontId="13" fillId="5" borderId="12" xfId="4" applyNumberFormat="1" applyFont="1" applyFill="1" applyBorder="1" applyAlignment="1">
      <alignment vertical="center"/>
    </xf>
    <xf numFmtId="0" fontId="13" fillId="0" borderId="12" xfId="4" quotePrefix="1" applyFont="1" applyBorder="1" applyAlignment="1">
      <alignment horizontal="left" vertical="center"/>
    </xf>
    <xf numFmtId="1" fontId="22" fillId="6" borderId="13" xfId="4" applyNumberFormat="1" applyFont="1" applyFill="1" applyBorder="1" applyAlignment="1">
      <alignment vertical="center"/>
    </xf>
    <xf numFmtId="0" fontId="100" fillId="5" borderId="12" xfId="4" applyFont="1" applyFill="1" applyBorder="1" applyAlignment="1">
      <alignment horizontal="center" vertical="center"/>
    </xf>
    <xf numFmtId="0" fontId="13" fillId="6" borderId="13" xfId="4" applyFont="1" applyFill="1" applyBorder="1" applyAlignment="1">
      <alignment horizontal="center" vertical="center" wrapText="1"/>
    </xf>
    <xf numFmtId="0" fontId="13" fillId="6" borderId="13" xfId="4" applyFont="1" applyFill="1" applyBorder="1" applyAlignment="1">
      <alignment horizontal="center" vertical="center"/>
    </xf>
    <xf numFmtId="1" fontId="111" fillId="6" borderId="12" xfId="4" applyNumberFormat="1" applyFont="1" applyFill="1" applyBorder="1" applyAlignment="1">
      <alignment horizontal="right" vertical="center"/>
    </xf>
    <xf numFmtId="2" fontId="116" fillId="6" borderId="13" xfId="4" applyNumberFormat="1" applyFont="1" applyFill="1" applyBorder="1" applyAlignment="1">
      <alignment horizontal="center" vertical="center"/>
    </xf>
    <xf numFmtId="1" fontId="111" fillId="14" borderId="12" xfId="4" applyNumberFormat="1" applyFont="1" applyFill="1" applyBorder="1" applyAlignment="1">
      <alignment vertical="center"/>
    </xf>
    <xf numFmtId="0" fontId="101" fillId="14" borderId="12" xfId="4" applyFont="1" applyFill="1" applyBorder="1" applyAlignment="1">
      <alignment horizontal="center" vertical="center"/>
    </xf>
    <xf numFmtId="2" fontId="13" fillId="14" borderId="12" xfId="4" applyNumberFormat="1" applyFont="1" applyFill="1" applyBorder="1" applyAlignment="1">
      <alignment vertical="center"/>
    </xf>
    <xf numFmtId="0" fontId="100" fillId="14" borderId="12" xfId="4" applyFont="1" applyFill="1" applyBorder="1" applyAlignment="1">
      <alignment horizontal="center" vertical="center"/>
    </xf>
    <xf numFmtId="1" fontId="97" fillId="14" borderId="12" xfId="4" applyNumberFormat="1" applyFont="1" applyFill="1" applyBorder="1" applyAlignment="1">
      <alignment vertical="center"/>
    </xf>
    <xf numFmtId="0" fontId="13" fillId="0" borderId="12" xfId="0" applyFont="1" applyBorder="1" applyAlignment="1">
      <alignment horizontal="center" vertical="center"/>
    </xf>
    <xf numFmtId="1" fontId="112" fillId="0" borderId="12" xfId="4" applyNumberFormat="1" applyFont="1" applyBorder="1" applyAlignment="1">
      <alignment vertical="center"/>
    </xf>
    <xf numFmtId="175" fontId="23" fillId="0" borderId="12" xfId="4" applyNumberFormat="1" applyFont="1" applyBorder="1" applyAlignment="1">
      <alignment vertical="center"/>
    </xf>
    <xf numFmtId="175" fontId="22" fillId="0" borderId="13" xfId="4" applyNumberFormat="1" applyFont="1" applyBorder="1" applyAlignment="1">
      <alignment vertical="center"/>
    </xf>
    <xf numFmtId="0" fontId="117" fillId="0" borderId="12" xfId="0" applyFont="1" applyBorder="1" applyAlignment="1">
      <alignment vertical="center"/>
    </xf>
    <xf numFmtId="2" fontId="24" fillId="0" borderId="13" xfId="4" applyNumberFormat="1" applyFont="1" applyBorder="1" applyAlignment="1">
      <alignment horizontal="left" vertical="center"/>
    </xf>
    <xf numFmtId="0" fontId="13" fillId="0" borderId="13" xfId="0" applyFont="1" applyBorder="1" applyAlignment="1">
      <alignment horizontal="center" vertical="center"/>
    </xf>
    <xf numFmtId="2" fontId="24" fillId="0" borderId="13" xfId="0" applyNumberFormat="1" applyFont="1" applyBorder="1" applyAlignment="1">
      <alignment horizontal="center" vertical="center"/>
    </xf>
    <xf numFmtId="1" fontId="13" fillId="0" borderId="13" xfId="0" applyNumberFormat="1" applyFont="1" applyBorder="1" applyAlignment="1">
      <alignment horizontal="right" vertical="center"/>
    </xf>
    <xf numFmtId="0" fontId="23" fillId="0" borderId="13" xfId="4" applyFont="1" applyBorder="1" applyAlignment="1">
      <alignment horizontal="right" vertical="center"/>
    </xf>
    <xf numFmtId="0" fontId="13" fillId="5" borderId="12" xfId="0" applyFont="1" applyFill="1" applyBorder="1" applyAlignment="1">
      <alignment vertical="center"/>
    </xf>
    <xf numFmtId="1" fontId="101" fillId="0" borderId="12" xfId="4" applyNumberFormat="1" applyFont="1" applyBorder="1" applyAlignment="1">
      <alignment horizontal="center" vertical="center"/>
    </xf>
    <xf numFmtId="2" fontId="23" fillId="0" borderId="12" xfId="4" applyNumberFormat="1" applyFont="1" applyBorder="1" applyAlignment="1">
      <alignment vertical="center"/>
    </xf>
    <xf numFmtId="1" fontId="111" fillId="14" borderId="14" xfId="4" applyNumberFormat="1" applyFont="1" applyFill="1" applyBorder="1" applyAlignment="1">
      <alignment vertical="center"/>
    </xf>
    <xf numFmtId="178" fontId="13" fillId="14" borderId="12" xfId="4" applyNumberFormat="1" applyFont="1" applyFill="1" applyBorder="1" applyAlignment="1">
      <alignment vertical="center"/>
    </xf>
    <xf numFmtId="1" fontId="23" fillId="0" borderId="12" xfId="0" applyNumberFormat="1" applyFont="1" applyBorder="1" applyAlignment="1">
      <alignment horizontal="right" vertical="center"/>
    </xf>
    <xf numFmtId="1" fontId="23" fillId="8" borderId="12" xfId="0" applyNumberFormat="1" applyFont="1" applyFill="1" applyBorder="1" applyAlignment="1">
      <alignment horizontal="right" vertical="center"/>
    </xf>
    <xf numFmtId="2" fontId="116" fillId="0" borderId="12" xfId="4" applyNumberFormat="1" applyFont="1" applyBorder="1" applyAlignment="1">
      <alignment vertical="center"/>
    </xf>
    <xf numFmtId="1" fontId="114" fillId="0" borderId="14" xfId="4" applyNumberFormat="1" applyFont="1" applyBorder="1" applyAlignment="1">
      <alignment vertical="center"/>
    </xf>
    <xf numFmtId="2" fontId="100" fillId="0" borderId="12" xfId="4" applyNumberFormat="1" applyFont="1" applyBorder="1" applyAlignment="1">
      <alignment vertical="center"/>
    </xf>
    <xf numFmtId="0" fontId="101" fillId="0" borderId="13" xfId="4" applyFont="1" applyBorder="1" applyAlignment="1">
      <alignment horizontal="left" vertical="center"/>
    </xf>
    <xf numFmtId="2" fontId="119" fillId="14" borderId="13" xfId="4" applyNumberFormat="1" applyFont="1" applyFill="1" applyBorder="1" applyAlignment="1">
      <alignment vertical="center"/>
    </xf>
    <xf numFmtId="2" fontId="119" fillId="0" borderId="13" xfId="4" applyNumberFormat="1" applyFont="1" applyBorder="1" applyAlignment="1">
      <alignment vertical="center"/>
    </xf>
    <xf numFmtId="16" fontId="13" fillId="10" borderId="12" xfId="4" applyNumberFormat="1" applyFont="1" applyFill="1" applyBorder="1" applyAlignment="1">
      <alignment horizontal="center" vertical="center"/>
    </xf>
    <xf numFmtId="0" fontId="13" fillId="10" borderId="12" xfId="4" applyFont="1" applyFill="1" applyBorder="1" applyAlignment="1">
      <alignment horizontal="center" vertical="center"/>
    </xf>
    <xf numFmtId="0" fontId="101" fillId="10" borderId="12" xfId="4" applyFont="1" applyFill="1" applyBorder="1" applyAlignment="1">
      <alignment horizontal="center" vertical="center"/>
    </xf>
    <xf numFmtId="2" fontId="13" fillId="10" borderId="12" xfId="4" applyNumberFormat="1" applyFont="1" applyFill="1" applyBorder="1" applyAlignment="1">
      <alignment vertical="center"/>
    </xf>
    <xf numFmtId="0" fontId="100" fillId="10" borderId="12" xfId="4" applyFont="1" applyFill="1" applyBorder="1" applyAlignment="1">
      <alignment horizontal="center" vertical="center"/>
    </xf>
    <xf numFmtId="1" fontId="97" fillId="10" borderId="12" xfId="4" applyNumberFormat="1" applyFont="1" applyFill="1" applyBorder="1" applyAlignment="1">
      <alignment vertical="center"/>
    </xf>
    <xf numFmtId="16" fontId="13" fillId="18" borderId="12" xfId="4" applyNumberFormat="1" applyFont="1" applyFill="1" applyBorder="1" applyAlignment="1">
      <alignment horizontal="center" vertical="center"/>
    </xf>
    <xf numFmtId="1" fontId="13" fillId="18" borderId="13" xfId="4" applyNumberFormat="1" applyFont="1" applyFill="1" applyBorder="1" applyAlignment="1">
      <alignment vertical="center"/>
    </xf>
    <xf numFmtId="1" fontId="114" fillId="0" borderId="12" xfId="4" applyNumberFormat="1" applyFont="1" applyBorder="1" applyAlignment="1">
      <alignment vertical="center"/>
    </xf>
    <xf numFmtId="0" fontId="13" fillId="22" borderId="12" xfId="4" applyFont="1" applyFill="1" applyBorder="1" applyAlignment="1">
      <alignment vertical="center"/>
    </xf>
    <xf numFmtId="16" fontId="13" fillId="22" borderId="12" xfId="4" applyNumberFormat="1" applyFont="1" applyFill="1" applyBorder="1" applyAlignment="1">
      <alignment horizontal="left" vertical="center"/>
    </xf>
    <xf numFmtId="0" fontId="13" fillId="22" borderId="12" xfId="4" applyFont="1" applyFill="1" applyBorder="1" applyAlignment="1">
      <alignment horizontal="center" vertical="center"/>
    </xf>
    <xf numFmtId="1" fontId="23" fillId="22" borderId="12" xfId="4" applyNumberFormat="1" applyFont="1" applyFill="1" applyBorder="1" applyAlignment="1">
      <alignment vertical="center"/>
    </xf>
    <xf numFmtId="1" fontId="22" fillId="22" borderId="13" xfId="4" applyNumberFormat="1" applyFont="1" applyFill="1" applyBorder="1" applyAlignment="1">
      <alignment vertical="center"/>
    </xf>
    <xf numFmtId="1" fontId="13" fillId="22" borderId="12" xfId="4" applyNumberFormat="1" applyFont="1" applyFill="1" applyBorder="1" applyAlignment="1">
      <alignment vertical="center"/>
    </xf>
    <xf numFmtId="2" fontId="24" fillId="22" borderId="13" xfId="4" applyNumberFormat="1" applyFont="1" applyFill="1" applyBorder="1" applyAlignment="1">
      <alignment horizontal="center" vertical="center"/>
    </xf>
    <xf numFmtId="0" fontId="101" fillId="22" borderId="12" xfId="4" applyFont="1" applyFill="1" applyBorder="1" applyAlignment="1">
      <alignment horizontal="center" vertical="center"/>
    </xf>
    <xf numFmtId="2" fontId="13" fillId="22" borderId="12" xfId="4" applyNumberFormat="1" applyFont="1" applyFill="1" applyBorder="1" applyAlignment="1">
      <alignment vertical="center"/>
    </xf>
    <xf numFmtId="2" fontId="100" fillId="22" borderId="12" xfId="4" applyNumberFormat="1" applyFont="1" applyFill="1" applyBorder="1" applyAlignment="1">
      <alignment vertical="center"/>
    </xf>
    <xf numFmtId="1" fontId="97" fillId="22" borderId="12" xfId="4" applyNumberFormat="1" applyFont="1" applyFill="1" applyBorder="1" applyAlignment="1">
      <alignment vertical="center"/>
    </xf>
    <xf numFmtId="0" fontId="99" fillId="0" borderId="12" xfId="4" applyFont="1" applyBorder="1" applyAlignment="1">
      <alignment horizontal="center" vertical="center"/>
    </xf>
    <xf numFmtId="0" fontId="13" fillId="0" borderId="12" xfId="4" applyFont="1" applyBorder="1" applyAlignment="1">
      <alignment horizontal="right" vertical="center"/>
    </xf>
    <xf numFmtId="16" fontId="13" fillId="0" borderId="13" xfId="4" applyNumberFormat="1" applyFont="1" applyBorder="1" applyAlignment="1">
      <alignment horizontal="left" vertical="center"/>
    </xf>
    <xf numFmtId="2" fontId="24" fillId="0" borderId="12" xfId="0" applyNumberFormat="1" applyFont="1" applyBorder="1" applyAlignment="1">
      <alignment horizontal="center" vertical="center"/>
    </xf>
    <xf numFmtId="16" fontId="13" fillId="5" borderId="12" xfId="4" applyNumberFormat="1" applyFont="1" applyFill="1" applyBorder="1" applyAlignment="1">
      <alignment horizontal="center" vertical="center"/>
    </xf>
    <xf numFmtId="0" fontId="13" fillId="5" borderId="12" xfId="4" applyFont="1" applyFill="1" applyBorder="1" applyAlignment="1">
      <alignment horizontal="right" vertical="center"/>
    </xf>
    <xf numFmtId="2" fontId="100" fillId="5" borderId="13" xfId="4" applyNumberFormat="1" applyFont="1" applyFill="1" applyBorder="1" applyAlignment="1">
      <alignment vertical="center"/>
    </xf>
    <xf numFmtId="2" fontId="13" fillId="0" borderId="12" xfId="4" applyNumberFormat="1" applyFont="1" applyBorder="1" applyAlignment="1">
      <alignment horizontal="right" vertical="center"/>
    </xf>
    <xf numFmtId="2" fontId="22" fillId="5" borderId="13" xfId="4" applyNumberFormat="1" applyFont="1" applyFill="1" applyBorder="1" applyAlignment="1">
      <alignment vertical="center"/>
    </xf>
    <xf numFmtId="2" fontId="13" fillId="5" borderId="12" xfId="4" applyNumberFormat="1" applyFont="1" applyFill="1" applyBorder="1" applyAlignment="1">
      <alignment horizontal="right" vertical="center"/>
    </xf>
    <xf numFmtId="2" fontId="100" fillId="5" borderId="12" xfId="4" applyNumberFormat="1" applyFont="1" applyFill="1" applyBorder="1" applyAlignment="1">
      <alignment vertical="center"/>
    </xf>
    <xf numFmtId="16" fontId="99" fillId="0" borderId="12" xfId="4" quotePrefix="1" applyNumberFormat="1" applyFont="1" applyBorder="1" applyAlignment="1">
      <alignment horizontal="left" vertical="center"/>
    </xf>
    <xf numFmtId="0" fontId="99" fillId="0" borderId="13" xfId="4" applyFont="1" applyBorder="1" applyAlignment="1">
      <alignment horizontal="center" vertical="center"/>
    </xf>
    <xf numFmtId="16" fontId="13" fillId="0" borderId="13" xfId="4" quotePrefix="1" applyNumberFormat="1" applyFont="1" applyBorder="1" applyAlignment="1">
      <alignment horizontal="center" vertical="center"/>
    </xf>
    <xf numFmtId="0" fontId="13" fillId="18" borderId="12" xfId="4" quotePrefix="1" applyFont="1" applyFill="1" applyBorder="1" applyAlignment="1">
      <alignment horizontal="center" vertical="center"/>
    </xf>
    <xf numFmtId="0" fontId="23" fillId="18" borderId="12" xfId="0" applyFont="1" applyFill="1" applyBorder="1" applyAlignment="1">
      <alignment horizontal="right" vertical="center"/>
    </xf>
    <xf numFmtId="0" fontId="22" fillId="18" borderId="13" xfId="4" applyFont="1" applyFill="1" applyBorder="1" applyAlignment="1">
      <alignment vertical="center"/>
    </xf>
    <xf numFmtId="175" fontId="111" fillId="18" borderId="13" xfId="4" applyNumberFormat="1" applyFont="1" applyFill="1" applyBorder="1" applyAlignment="1">
      <alignment vertical="center"/>
    </xf>
    <xf numFmtId="0" fontId="13" fillId="18" borderId="12" xfId="4" applyFont="1" applyFill="1" applyBorder="1" applyAlignment="1">
      <alignment horizontal="right" vertical="center"/>
    </xf>
    <xf numFmtId="2" fontId="100" fillId="18" borderId="13" xfId="4" applyNumberFormat="1" applyFont="1" applyFill="1" applyBorder="1" applyAlignment="1">
      <alignment vertical="center"/>
    </xf>
    <xf numFmtId="0" fontId="13" fillId="18" borderId="12" xfId="0" applyFont="1" applyFill="1" applyBorder="1" applyAlignment="1">
      <alignment horizontal="center" vertical="center"/>
    </xf>
    <xf numFmtId="0" fontId="13" fillId="18" borderId="14" xfId="4" applyFont="1" applyFill="1" applyBorder="1" applyAlignment="1">
      <alignment horizontal="center" vertical="center"/>
    </xf>
    <xf numFmtId="0" fontId="115" fillId="14" borderId="14" xfId="0" applyFont="1" applyFill="1" applyBorder="1" applyAlignment="1">
      <alignment vertical="center" wrapText="1"/>
    </xf>
    <xf numFmtId="0" fontId="23" fillId="14" borderId="12" xfId="0" applyFont="1" applyFill="1" applyBorder="1" applyAlignment="1">
      <alignment horizontal="right" vertical="center"/>
    </xf>
    <xf numFmtId="16" fontId="13" fillId="14" borderId="12" xfId="4" applyNumberFormat="1" applyFont="1" applyFill="1" applyBorder="1" applyAlignment="1">
      <alignment horizontal="center" vertical="center"/>
    </xf>
    <xf numFmtId="0" fontId="23" fillId="14" borderId="12" xfId="4" applyFont="1" applyFill="1" applyBorder="1" applyAlignment="1">
      <alignment vertical="center"/>
    </xf>
    <xf numFmtId="0" fontId="22" fillId="14" borderId="13" xfId="4" applyFont="1" applyFill="1" applyBorder="1" applyAlignment="1">
      <alignment vertical="center"/>
    </xf>
    <xf numFmtId="1" fontId="112" fillId="18" borderId="12" xfId="4" applyNumberFormat="1" applyFont="1" applyFill="1" applyBorder="1" applyAlignment="1">
      <alignment vertical="center"/>
    </xf>
    <xf numFmtId="16" fontId="13" fillId="0" borderId="13" xfId="4" applyNumberFormat="1" applyFont="1" applyBorder="1" applyAlignment="1">
      <alignment horizontal="center" vertical="center"/>
    </xf>
    <xf numFmtId="0" fontId="13" fillId="0" borderId="13" xfId="4" applyFont="1" applyBorder="1" applyAlignment="1">
      <alignment horizontal="right" vertical="center"/>
    </xf>
    <xf numFmtId="2" fontId="13" fillId="18" borderId="13" xfId="4" applyNumberFormat="1" applyFont="1" applyFill="1" applyBorder="1" applyAlignment="1">
      <alignment horizontal="right" vertical="center"/>
    </xf>
    <xf numFmtId="0" fontId="100" fillId="18" borderId="13" xfId="4" applyFont="1" applyFill="1" applyBorder="1" applyAlignment="1">
      <alignment vertical="center"/>
    </xf>
    <xf numFmtId="0" fontId="100" fillId="0" borderId="13" xfId="4" applyFont="1" applyBorder="1" applyAlignment="1">
      <alignment vertical="center"/>
    </xf>
    <xf numFmtId="175" fontId="13" fillId="0" borderId="13" xfId="4" applyNumberFormat="1" applyFont="1" applyBorder="1" applyAlignment="1">
      <alignment vertical="center"/>
    </xf>
    <xf numFmtId="0" fontId="13" fillId="23" borderId="12" xfId="4" applyFont="1" applyFill="1" applyBorder="1" applyAlignment="1">
      <alignment vertical="center"/>
    </xf>
    <xf numFmtId="1" fontId="111" fillId="18" borderId="13" xfId="0" applyNumberFormat="1" applyFont="1" applyFill="1" applyBorder="1" applyAlignment="1">
      <alignment horizontal="right" vertical="center"/>
    </xf>
    <xf numFmtId="2" fontId="111" fillId="0" borderId="13" xfId="0" applyNumberFormat="1" applyFont="1" applyBorder="1" applyAlignment="1">
      <alignment horizontal="right" vertical="center"/>
    </xf>
    <xf numFmtId="1" fontId="112" fillId="18" borderId="13" xfId="0" applyNumberFormat="1" applyFont="1" applyFill="1" applyBorder="1" applyAlignment="1">
      <alignment horizontal="right" vertical="center"/>
    </xf>
    <xf numFmtId="2" fontId="116" fillId="10" borderId="13" xfId="4" applyNumberFormat="1" applyFont="1" applyFill="1" applyBorder="1" applyAlignment="1">
      <alignment horizontal="center" vertical="center"/>
    </xf>
    <xf numFmtId="2" fontId="100" fillId="10" borderId="13" xfId="4" applyNumberFormat="1" applyFont="1" applyFill="1" applyBorder="1" applyAlignment="1">
      <alignment vertical="center"/>
    </xf>
    <xf numFmtId="1" fontId="114" fillId="0" borderId="13" xfId="4" applyNumberFormat="1" applyFont="1" applyBorder="1" applyAlignment="1">
      <alignment vertical="center"/>
    </xf>
    <xf numFmtId="0" fontId="23" fillId="0" borderId="13" xfId="4" applyFont="1" applyBorder="1" applyAlignment="1">
      <alignment horizontal="center" vertical="center"/>
    </xf>
    <xf numFmtId="0" fontId="13" fillId="18" borderId="14" xfId="4" applyFont="1" applyFill="1" applyBorder="1" applyAlignment="1">
      <alignment vertical="center"/>
    </xf>
    <xf numFmtId="0" fontId="13" fillId="18" borderId="24" xfId="4" applyFont="1" applyFill="1" applyBorder="1" applyAlignment="1">
      <alignment horizontal="center" vertical="center"/>
    </xf>
    <xf numFmtId="1" fontId="111" fillId="18" borderId="24" xfId="4" applyNumberFormat="1" applyFont="1" applyFill="1" applyBorder="1" applyAlignment="1">
      <alignment vertical="center"/>
    </xf>
    <xf numFmtId="0" fontId="101" fillId="18" borderId="24" xfId="4" applyFont="1" applyFill="1" applyBorder="1" applyAlignment="1">
      <alignment horizontal="center" vertical="center"/>
    </xf>
    <xf numFmtId="2" fontId="13" fillId="18" borderId="24" xfId="4" applyNumberFormat="1" applyFont="1" applyFill="1" applyBorder="1" applyAlignment="1">
      <alignment vertical="center"/>
    </xf>
    <xf numFmtId="2" fontId="100" fillId="18" borderId="24" xfId="4" applyNumberFormat="1" applyFont="1" applyFill="1" applyBorder="1" applyAlignment="1">
      <alignment vertical="center"/>
    </xf>
    <xf numFmtId="1" fontId="97" fillId="18" borderId="24" xfId="4" applyNumberFormat="1" applyFont="1" applyFill="1" applyBorder="1" applyAlignment="1">
      <alignment vertical="center"/>
    </xf>
    <xf numFmtId="1" fontId="23" fillId="5" borderId="12" xfId="4" applyNumberFormat="1" applyFont="1" applyFill="1" applyBorder="1" applyAlignment="1">
      <alignment vertical="center"/>
    </xf>
    <xf numFmtId="0" fontId="101" fillId="5" borderId="13" xfId="4" applyFont="1" applyFill="1" applyBorder="1" applyAlignment="1">
      <alignment horizontal="center" vertical="center"/>
    </xf>
    <xf numFmtId="0" fontId="13" fillId="5" borderId="13" xfId="0" applyFont="1" applyFill="1" applyBorder="1" applyAlignment="1">
      <alignment horizontal="center" vertical="center"/>
    </xf>
    <xf numFmtId="1" fontId="23" fillId="23" borderId="12" xfId="0" applyNumberFormat="1" applyFont="1" applyFill="1" applyBorder="1" applyAlignment="1">
      <alignment horizontal="right" vertical="center"/>
    </xf>
    <xf numFmtId="1" fontId="99" fillId="5" borderId="12" xfId="0" applyNumberFormat="1" applyFont="1" applyFill="1" applyBorder="1" applyAlignment="1">
      <alignment horizontal="right" vertical="center"/>
    </xf>
    <xf numFmtId="0" fontId="99" fillId="0" borderId="14" xfId="4" applyFont="1" applyBorder="1" applyAlignment="1">
      <alignment horizontal="center" vertical="center"/>
    </xf>
    <xf numFmtId="16" fontId="13" fillId="0" borderId="12" xfId="4" applyNumberFormat="1" applyFont="1" applyBorder="1" applyAlignment="1">
      <alignment horizontal="left" vertical="center"/>
    </xf>
    <xf numFmtId="16" fontId="24" fillId="0" borderId="12" xfId="4" applyNumberFormat="1" applyFont="1" applyBorder="1" applyAlignment="1">
      <alignment horizontal="center" vertical="center"/>
    </xf>
    <xf numFmtId="0" fontId="24" fillId="0" borderId="12" xfId="4" applyFont="1" applyBorder="1" applyAlignment="1">
      <alignment horizontal="center" vertical="center"/>
    </xf>
    <xf numFmtId="1" fontId="24" fillId="0" borderId="13" xfId="4" applyNumberFormat="1" applyFont="1" applyBorder="1" applyAlignment="1">
      <alignment vertical="center"/>
    </xf>
    <xf numFmtId="2" fontId="120" fillId="0" borderId="12" xfId="4" applyNumberFormat="1" applyFont="1" applyBorder="1" applyAlignment="1">
      <alignment vertical="center"/>
    </xf>
    <xf numFmtId="2" fontId="24" fillId="0" borderId="12" xfId="4" applyNumberFormat="1" applyFont="1" applyBorder="1" applyAlignment="1">
      <alignment horizontal="right" vertical="center"/>
    </xf>
    <xf numFmtId="0" fontId="13" fillId="5" borderId="12" xfId="4" applyFont="1" applyFill="1" applyBorder="1" applyAlignment="1">
      <alignment horizontal="left" vertical="center"/>
    </xf>
    <xf numFmtId="1" fontId="23" fillId="5" borderId="12" xfId="0" applyNumberFormat="1" applyFont="1" applyFill="1" applyBorder="1" applyAlignment="1">
      <alignment horizontal="right" vertical="center"/>
    </xf>
    <xf numFmtId="1" fontId="111" fillId="18" borderId="12" xfId="0" applyNumberFormat="1" applyFont="1" applyFill="1" applyBorder="1" applyAlignment="1">
      <alignment horizontal="right" vertical="center"/>
    </xf>
    <xf numFmtId="0" fontId="13" fillId="0" borderId="12" xfId="0" applyFont="1" applyBorder="1" applyAlignment="1">
      <alignment horizontal="left" vertical="center"/>
    </xf>
    <xf numFmtId="2" fontId="13" fillId="0" borderId="12" xfId="0" applyNumberFormat="1" applyFont="1" applyBorder="1" applyAlignment="1">
      <alignment horizontal="left" vertical="center"/>
    </xf>
    <xf numFmtId="0" fontId="13" fillId="0" borderId="13" xfId="0" applyFont="1" applyBorder="1" applyAlignment="1">
      <alignment horizontal="left" vertical="center"/>
    </xf>
    <xf numFmtId="1" fontId="121" fillId="18" borderId="13" xfId="0" applyNumberFormat="1" applyFont="1" applyFill="1" applyBorder="1" applyAlignment="1">
      <alignment horizontal="right" vertical="center"/>
    </xf>
    <xf numFmtId="0" fontId="23" fillId="0" borderId="13" xfId="0" applyFont="1" applyBorder="1" applyAlignment="1">
      <alignment horizontal="left" vertical="center"/>
    </xf>
    <xf numFmtId="0" fontId="115" fillId="5" borderId="14" xfId="0" applyFont="1" applyFill="1" applyBorder="1" applyAlignment="1">
      <alignment vertical="center" wrapText="1"/>
    </xf>
    <xf numFmtId="0" fontId="23" fillId="5" borderId="12" xfId="0" applyFont="1" applyFill="1" applyBorder="1" applyAlignment="1">
      <alignment horizontal="right" vertical="center"/>
    </xf>
    <xf numFmtId="1" fontId="112" fillId="5" borderId="13" xfId="0" applyNumberFormat="1" applyFont="1" applyFill="1" applyBorder="1" applyAlignment="1">
      <alignment horizontal="center" vertical="center"/>
    </xf>
    <xf numFmtId="0" fontId="23" fillId="5" borderId="13" xfId="0" applyFont="1" applyFill="1" applyBorder="1" applyAlignment="1">
      <alignment horizontal="left" vertical="center"/>
    </xf>
    <xf numFmtId="0" fontId="13" fillId="10" borderId="12" xfId="0" applyFont="1" applyFill="1" applyBorder="1" applyAlignment="1">
      <alignment vertical="center"/>
    </xf>
    <xf numFmtId="0" fontId="13" fillId="10" borderId="13" xfId="0" applyFont="1" applyFill="1" applyBorder="1" applyAlignment="1">
      <alignment horizontal="center" vertical="center"/>
    </xf>
    <xf numFmtId="2" fontId="24" fillId="10" borderId="12" xfId="0" applyNumberFormat="1" applyFont="1" applyFill="1" applyBorder="1" applyAlignment="1">
      <alignment horizontal="center" vertical="center"/>
    </xf>
    <xf numFmtId="1" fontId="111" fillId="10" borderId="13" xfId="0" applyNumberFormat="1" applyFont="1" applyFill="1" applyBorder="1" applyAlignment="1">
      <alignment horizontal="right" vertical="center"/>
    </xf>
    <xf numFmtId="0" fontId="101" fillId="10" borderId="13" xfId="0" applyFont="1" applyFill="1" applyBorder="1" applyAlignment="1">
      <alignment horizontal="center" vertical="center"/>
    </xf>
    <xf numFmtId="2" fontId="100" fillId="10" borderId="13" xfId="0" applyNumberFormat="1" applyFont="1" applyFill="1" applyBorder="1" applyAlignment="1">
      <alignment horizontal="center" vertical="center"/>
    </xf>
    <xf numFmtId="1" fontId="97" fillId="10" borderId="13" xfId="0" applyNumberFormat="1" applyFont="1" applyFill="1" applyBorder="1" applyAlignment="1">
      <alignment horizontal="right" vertical="center"/>
    </xf>
    <xf numFmtId="2" fontId="100" fillId="0" borderId="13" xfId="0" applyNumberFormat="1" applyFont="1" applyBorder="1" applyAlignment="1">
      <alignment horizontal="center" vertical="center"/>
    </xf>
    <xf numFmtId="1" fontId="97" fillId="0" borderId="13" xfId="0" applyNumberFormat="1" applyFont="1" applyBorder="1" applyAlignment="1">
      <alignment horizontal="right" vertical="center"/>
    </xf>
    <xf numFmtId="0" fontId="13" fillId="18" borderId="12" xfId="0" applyFont="1" applyFill="1" applyBorder="1" applyAlignment="1">
      <alignment vertical="center"/>
    </xf>
    <xf numFmtId="0" fontId="13" fillId="18" borderId="13" xfId="0" applyFont="1" applyFill="1" applyBorder="1" applyAlignment="1">
      <alignment horizontal="center" vertical="center"/>
    </xf>
    <xf numFmtId="2" fontId="13" fillId="18" borderId="13" xfId="0" applyNumberFormat="1" applyFont="1" applyFill="1" applyBorder="1" applyAlignment="1">
      <alignment horizontal="left" vertical="center"/>
    </xf>
    <xf numFmtId="0" fontId="101" fillId="18" borderId="13" xfId="0" applyFont="1" applyFill="1" applyBorder="1" applyAlignment="1">
      <alignment horizontal="center" vertical="center"/>
    </xf>
    <xf numFmtId="2" fontId="100" fillId="18" borderId="13" xfId="0" applyNumberFormat="1" applyFont="1" applyFill="1" applyBorder="1" applyAlignment="1">
      <alignment horizontal="center" vertical="center"/>
    </xf>
    <xf numFmtId="1" fontId="97" fillId="18" borderId="13" xfId="0" applyNumberFormat="1" applyFont="1" applyFill="1" applyBorder="1" applyAlignment="1">
      <alignment horizontal="right" vertical="center"/>
    </xf>
    <xf numFmtId="0" fontId="22" fillId="23" borderId="13" xfId="4" applyFont="1" applyFill="1" applyBorder="1" applyAlignment="1">
      <alignment vertical="center"/>
    </xf>
    <xf numFmtId="2" fontId="13" fillId="23" borderId="14" xfId="4" applyNumberFormat="1" applyFont="1" applyFill="1" applyBorder="1" applyAlignment="1">
      <alignment vertical="center"/>
    </xf>
    <xf numFmtId="2" fontId="24" fillId="23" borderId="13" xfId="0" applyNumberFormat="1" applyFont="1" applyFill="1" applyBorder="1" applyAlignment="1">
      <alignment horizontal="center" vertical="center"/>
    </xf>
    <xf numFmtId="2" fontId="111" fillId="23" borderId="13" xfId="0" applyNumberFormat="1" applyFont="1" applyFill="1" applyBorder="1" applyAlignment="1">
      <alignment horizontal="right" vertical="center"/>
    </xf>
    <xf numFmtId="0" fontId="101" fillId="23" borderId="13" xfId="0" applyFont="1" applyFill="1" applyBorder="1" applyAlignment="1">
      <alignment horizontal="center" vertical="center"/>
    </xf>
    <xf numFmtId="2" fontId="13" fillId="23" borderId="13" xfId="0" applyNumberFormat="1" applyFont="1" applyFill="1" applyBorder="1" applyAlignment="1">
      <alignment horizontal="center" vertical="center"/>
    </xf>
    <xf numFmtId="2" fontId="100" fillId="23" borderId="13" xfId="0" applyNumberFormat="1" applyFont="1" applyFill="1" applyBorder="1" applyAlignment="1">
      <alignment horizontal="center" vertical="center"/>
    </xf>
    <xf numFmtId="1" fontId="97" fillId="23" borderId="13" xfId="0" applyNumberFormat="1" applyFont="1" applyFill="1" applyBorder="1" applyAlignment="1">
      <alignment horizontal="right" vertical="center"/>
    </xf>
    <xf numFmtId="0" fontId="13" fillId="10" borderId="12" xfId="0" applyFont="1" applyFill="1" applyBorder="1" applyAlignment="1">
      <alignment horizontal="center" vertical="center"/>
    </xf>
    <xf numFmtId="1" fontId="111" fillId="10" borderId="12" xfId="0" applyNumberFormat="1" applyFont="1" applyFill="1" applyBorder="1" applyAlignment="1">
      <alignment horizontal="right" vertical="center"/>
    </xf>
    <xf numFmtId="0" fontId="101" fillId="10" borderId="12" xfId="0" applyFont="1" applyFill="1" applyBorder="1" applyAlignment="1">
      <alignment horizontal="center" vertical="center"/>
    </xf>
    <xf numFmtId="2" fontId="13" fillId="10" borderId="12" xfId="0" applyNumberFormat="1" applyFont="1" applyFill="1" applyBorder="1" applyAlignment="1">
      <alignment horizontal="center" vertical="center"/>
    </xf>
    <xf numFmtId="0" fontId="100" fillId="10" borderId="12" xfId="0" applyFont="1" applyFill="1" applyBorder="1" applyAlignment="1">
      <alignment horizontal="center" vertical="center"/>
    </xf>
    <xf numFmtId="1" fontId="97" fillId="10" borderId="12" xfId="0" applyNumberFormat="1" applyFont="1" applyFill="1" applyBorder="1" applyAlignment="1">
      <alignment horizontal="right" vertical="center"/>
    </xf>
    <xf numFmtId="0" fontId="122" fillId="18" borderId="12" xfId="0" applyFont="1" applyFill="1" applyBorder="1" applyAlignment="1">
      <alignment vertical="center"/>
    </xf>
    <xf numFmtId="0" fontId="13" fillId="14" borderId="13" xfId="0" applyFont="1" applyFill="1" applyBorder="1" applyAlignment="1">
      <alignment horizontal="center" vertical="center"/>
    </xf>
    <xf numFmtId="1" fontId="13" fillId="18" borderId="12" xfId="0" applyNumberFormat="1" applyFont="1" applyFill="1" applyBorder="1" applyAlignment="1">
      <alignment horizontal="right" vertical="center"/>
    </xf>
    <xf numFmtId="0" fontId="101" fillId="18" borderId="12" xfId="0" applyFont="1" applyFill="1" applyBorder="1" applyAlignment="1">
      <alignment horizontal="center" vertical="center"/>
    </xf>
    <xf numFmtId="2" fontId="13" fillId="18" borderId="12" xfId="0" applyNumberFormat="1" applyFont="1" applyFill="1" applyBorder="1" applyAlignment="1">
      <alignment horizontal="center" vertical="center"/>
    </xf>
    <xf numFmtId="0" fontId="100" fillId="18" borderId="12" xfId="0" applyFont="1" applyFill="1" applyBorder="1" applyAlignment="1">
      <alignment horizontal="center" vertical="center"/>
    </xf>
    <xf numFmtId="1" fontId="97" fillId="18" borderId="12" xfId="0" applyNumberFormat="1" applyFont="1" applyFill="1" applyBorder="1" applyAlignment="1">
      <alignment horizontal="right" vertical="center"/>
    </xf>
    <xf numFmtId="0" fontId="13" fillId="0" borderId="12" xfId="0" quotePrefix="1" applyFont="1" applyBorder="1" applyAlignment="1">
      <alignment horizontal="center" vertical="center"/>
    </xf>
    <xf numFmtId="2" fontId="100" fillId="0" borderId="12" xfId="0" applyNumberFormat="1" applyFont="1" applyBorder="1" applyAlignment="1">
      <alignment horizontal="center" vertical="center"/>
    </xf>
    <xf numFmtId="1" fontId="97" fillId="0" borderId="12" xfId="0" applyNumberFormat="1" applyFont="1" applyBorder="1" applyAlignment="1">
      <alignment horizontal="right" vertical="center"/>
    </xf>
    <xf numFmtId="1" fontId="13" fillId="0" borderId="12" xfId="0" applyNumberFormat="1" applyFont="1" applyBorder="1" applyAlignment="1">
      <alignment horizontal="center" vertical="center"/>
    </xf>
    <xf numFmtId="0" fontId="24" fillId="0" borderId="12" xfId="0" applyFont="1" applyBorder="1" applyAlignment="1">
      <alignment horizontal="center" vertical="center"/>
    </xf>
    <xf numFmtId="0" fontId="13" fillId="18" borderId="12" xfId="0" applyFont="1" applyFill="1" applyBorder="1" applyAlignment="1">
      <alignment horizontal="right" vertical="center"/>
    </xf>
    <xf numFmtId="2" fontId="100" fillId="18" borderId="12" xfId="0" applyNumberFormat="1" applyFont="1" applyFill="1" applyBorder="1" applyAlignment="1">
      <alignment horizontal="center" vertical="center"/>
    </xf>
    <xf numFmtId="2" fontId="111" fillId="0" borderId="12" xfId="0" applyNumberFormat="1" applyFont="1" applyBorder="1" applyAlignment="1">
      <alignment horizontal="right" vertical="center"/>
    </xf>
    <xf numFmtId="1" fontId="13" fillId="0" borderId="13" xfId="0" applyNumberFormat="1" applyFont="1" applyBorder="1" applyAlignment="1">
      <alignment horizontal="center" vertical="center"/>
    </xf>
    <xf numFmtId="1" fontId="13" fillId="5" borderId="12" xfId="0" applyNumberFormat="1" applyFont="1" applyFill="1" applyBorder="1" applyAlignment="1">
      <alignment horizontal="right" vertical="center"/>
    </xf>
    <xf numFmtId="175" fontId="13" fillId="0" borderId="13" xfId="0" applyNumberFormat="1" applyFont="1" applyBorder="1" applyAlignment="1">
      <alignment horizontal="center" vertical="center"/>
    </xf>
    <xf numFmtId="175" fontId="13" fillId="0" borderId="12" xfId="0" applyNumberFormat="1" applyFont="1" applyBorder="1" applyAlignment="1">
      <alignment horizontal="right" vertical="center"/>
    </xf>
    <xf numFmtId="2" fontId="13" fillId="18" borderId="12" xfId="0" applyNumberFormat="1" applyFont="1" applyFill="1" applyBorder="1" applyAlignment="1">
      <alignment horizontal="right" vertical="center"/>
    </xf>
    <xf numFmtId="0" fontId="122" fillId="0" borderId="12" xfId="0" applyFont="1" applyBorder="1" applyAlignment="1">
      <alignment vertical="center"/>
    </xf>
    <xf numFmtId="0" fontId="100" fillId="0" borderId="12" xfId="0" applyFont="1" applyBorder="1" applyAlignment="1">
      <alignment horizontal="center" vertical="center"/>
    </xf>
    <xf numFmtId="175" fontId="111" fillId="0" borderId="12" xfId="0" applyNumberFormat="1" applyFont="1" applyBorder="1" applyAlignment="1">
      <alignment horizontal="right" vertical="center"/>
    </xf>
    <xf numFmtId="0" fontId="122" fillId="0" borderId="14" xfId="0" applyFont="1" applyBorder="1" applyAlignment="1">
      <alignment vertical="center"/>
    </xf>
    <xf numFmtId="1" fontId="13" fillId="5" borderId="14" xfId="4" applyNumberFormat="1" applyFont="1" applyFill="1" applyBorder="1" applyAlignment="1">
      <alignment vertical="center"/>
    </xf>
    <xf numFmtId="0" fontId="13" fillId="0" borderId="14" xfId="0" quotePrefix="1" applyFont="1" applyBorder="1" applyAlignment="1">
      <alignment horizontal="center" vertical="center"/>
    </xf>
    <xf numFmtId="0" fontId="13" fillId="5" borderId="12" xfId="0" applyFont="1" applyFill="1" applyBorder="1" applyAlignment="1">
      <alignment horizontal="center" vertical="center"/>
    </xf>
    <xf numFmtId="0" fontId="13" fillId="5" borderId="12" xfId="0" quotePrefix="1" applyFont="1" applyFill="1" applyBorder="1" applyAlignment="1">
      <alignment horizontal="center" vertical="center"/>
    </xf>
    <xf numFmtId="2" fontId="24" fillId="5" borderId="12" xfId="0" applyNumberFormat="1" applyFont="1" applyFill="1" applyBorder="1" applyAlignment="1">
      <alignment horizontal="center" vertical="center"/>
    </xf>
    <xf numFmtId="0" fontId="101" fillId="5" borderId="12" xfId="0" applyFont="1" applyFill="1" applyBorder="1" applyAlignment="1">
      <alignment horizontal="center" vertical="center"/>
    </xf>
    <xf numFmtId="2" fontId="100" fillId="5" borderId="12" xfId="0" applyNumberFormat="1" applyFont="1" applyFill="1" applyBorder="1" applyAlignment="1">
      <alignment horizontal="center" vertical="center"/>
    </xf>
    <xf numFmtId="1" fontId="97" fillId="5" borderId="12" xfId="0" applyNumberFormat="1" applyFont="1" applyFill="1" applyBorder="1" applyAlignment="1">
      <alignment horizontal="right" vertical="center"/>
    </xf>
    <xf numFmtId="0" fontId="122" fillId="5" borderId="14" xfId="0" applyFont="1" applyFill="1" applyBorder="1" applyAlignment="1">
      <alignment vertical="center"/>
    </xf>
    <xf numFmtId="2" fontId="13" fillId="0" borderId="12" xfId="0" applyNumberFormat="1" applyFont="1" applyBorder="1" applyAlignment="1">
      <alignment horizontal="center" vertical="center"/>
    </xf>
    <xf numFmtId="2" fontId="13" fillId="0" borderId="13" xfId="0" applyNumberFormat="1" applyFont="1" applyBorder="1" applyAlignment="1">
      <alignment horizontal="center" vertical="center"/>
    </xf>
    <xf numFmtId="0" fontId="13" fillId="5" borderId="14" xfId="0" applyFont="1" applyFill="1" applyBorder="1" applyAlignment="1">
      <alignment vertical="center"/>
    </xf>
    <xf numFmtId="0" fontId="13" fillId="0" borderId="14" xfId="0" applyFont="1" applyBorder="1" applyAlignment="1">
      <alignment vertical="center"/>
    </xf>
    <xf numFmtId="175" fontId="13" fillId="0" borderId="12" xfId="0" quotePrefix="1" applyNumberFormat="1" applyFont="1" applyBorder="1" applyAlignment="1">
      <alignment horizontal="right" vertical="center"/>
    </xf>
    <xf numFmtId="180" fontId="13" fillId="0" borderId="12" xfId="0" applyNumberFormat="1" applyFont="1" applyBorder="1" applyAlignment="1">
      <alignment horizontal="center" vertical="center"/>
    </xf>
    <xf numFmtId="0" fontId="13" fillId="18" borderId="12" xfId="0" quotePrefix="1" applyFont="1" applyFill="1" applyBorder="1" applyAlignment="1">
      <alignment horizontal="center" vertical="center"/>
    </xf>
    <xf numFmtId="2" fontId="119" fillId="18" borderId="12" xfId="0" applyNumberFormat="1" applyFont="1" applyFill="1" applyBorder="1" applyAlignment="1">
      <alignment horizontal="right" vertical="center"/>
    </xf>
    <xf numFmtId="0" fontId="13" fillId="18" borderId="12" xfId="0" applyFont="1" applyFill="1" applyBorder="1" applyAlignment="1">
      <alignment horizontal="left" vertical="center"/>
    </xf>
    <xf numFmtId="0" fontId="13" fillId="0" borderId="12" xfId="0" quotePrefix="1" applyFont="1" applyBorder="1" applyAlignment="1">
      <alignment horizontal="left" vertical="center"/>
    </xf>
    <xf numFmtId="175" fontId="100" fillId="0" borderId="12" xfId="0" applyNumberFormat="1" applyFont="1" applyBorder="1" applyAlignment="1">
      <alignment horizontal="center" vertical="center"/>
    </xf>
    <xf numFmtId="175" fontId="100" fillId="18" borderId="12" xfId="0" applyNumberFormat="1" applyFont="1" applyFill="1" applyBorder="1" applyAlignment="1">
      <alignment horizontal="center" vertical="center"/>
    </xf>
    <xf numFmtId="1" fontId="114" fillId="18" borderId="12" xfId="0" applyNumberFormat="1" applyFont="1" applyFill="1" applyBorder="1" applyAlignment="1">
      <alignment horizontal="right" vertical="center"/>
    </xf>
    <xf numFmtId="0" fontId="101" fillId="10" borderId="12" xfId="0" applyFont="1" applyFill="1" applyBorder="1" applyAlignment="1">
      <alignment vertical="center"/>
    </xf>
    <xf numFmtId="0" fontId="13" fillId="6" borderId="13" xfId="0" applyFont="1" applyFill="1" applyBorder="1" applyAlignment="1">
      <alignment horizontal="center" vertical="center"/>
    </xf>
    <xf numFmtId="0" fontId="22" fillId="10" borderId="13" xfId="4" applyFont="1" applyFill="1" applyBorder="1" applyAlignment="1">
      <alignment vertical="center"/>
    </xf>
    <xf numFmtId="2" fontId="101" fillId="10" borderId="12" xfId="0" applyNumberFormat="1" applyFont="1" applyFill="1" applyBorder="1" applyAlignment="1">
      <alignment horizontal="center" vertical="center"/>
    </xf>
    <xf numFmtId="2" fontId="100" fillId="10" borderId="12" xfId="0" applyNumberFormat="1" applyFont="1" applyFill="1" applyBorder="1" applyAlignment="1">
      <alignment horizontal="center" vertical="center"/>
    </xf>
    <xf numFmtId="2" fontId="111" fillId="18" borderId="12" xfId="0" applyNumberFormat="1" applyFont="1" applyFill="1" applyBorder="1" applyAlignment="1">
      <alignment horizontal="right" vertical="center"/>
    </xf>
    <xf numFmtId="2" fontId="20" fillId="0" borderId="12" xfId="0" applyNumberFormat="1" applyFont="1" applyBorder="1" applyAlignment="1">
      <alignment horizontal="right" vertical="center"/>
    </xf>
    <xf numFmtId="0" fontId="13" fillId="0" borderId="14" xfId="0" applyFont="1" applyBorder="1" applyAlignment="1">
      <alignment horizontal="center" vertical="center"/>
    </xf>
    <xf numFmtId="0" fontId="22" fillId="0" borderId="14" xfId="4" applyFont="1" applyBorder="1" applyAlignment="1">
      <alignment vertical="center"/>
    </xf>
    <xf numFmtId="2" fontId="24" fillId="0" borderId="14" xfId="0" applyNumberFormat="1" applyFont="1" applyBorder="1" applyAlignment="1">
      <alignment horizontal="center" vertical="center"/>
    </xf>
    <xf numFmtId="2" fontId="20" fillId="0" borderId="14" xfId="0" applyNumberFormat="1" applyFont="1" applyBorder="1" applyAlignment="1">
      <alignment horizontal="right" vertical="center"/>
    </xf>
    <xf numFmtId="2" fontId="100" fillId="0" borderId="14" xfId="0" applyNumberFormat="1" applyFont="1" applyBorder="1" applyAlignment="1">
      <alignment horizontal="center" vertical="center"/>
    </xf>
    <xf numFmtId="1" fontId="97" fillId="0" borderId="14" xfId="0" applyNumberFormat="1" applyFont="1" applyBorder="1" applyAlignment="1">
      <alignment horizontal="right" vertical="center"/>
    </xf>
    <xf numFmtId="2" fontId="5" fillId="18" borderId="12" xfId="0" applyNumberFormat="1" applyFont="1" applyFill="1" applyBorder="1" applyAlignment="1">
      <alignment horizontal="right" vertical="center"/>
    </xf>
    <xf numFmtId="2" fontId="101" fillId="18" borderId="12" xfId="0" applyNumberFormat="1" applyFont="1" applyFill="1" applyBorder="1" applyAlignment="1">
      <alignment horizontal="center" vertical="center"/>
    </xf>
    <xf numFmtId="1" fontId="13" fillId="5" borderId="13" xfId="0" applyNumberFormat="1" applyFont="1" applyFill="1" applyBorder="1" applyAlignment="1">
      <alignment horizontal="right" vertical="center"/>
    </xf>
    <xf numFmtId="2" fontId="111" fillId="5" borderId="12" xfId="0" applyNumberFormat="1" applyFont="1" applyFill="1" applyBorder="1" applyAlignment="1">
      <alignment horizontal="right" vertical="center"/>
    </xf>
    <xf numFmtId="2" fontId="13" fillId="5" borderId="12" xfId="0" applyNumberFormat="1" applyFont="1" applyFill="1" applyBorder="1" applyAlignment="1">
      <alignment horizontal="center" vertical="center"/>
    </xf>
    <xf numFmtId="0" fontId="22" fillId="18" borderId="12" xfId="0" applyFont="1" applyFill="1" applyBorder="1" applyAlignment="1">
      <alignment horizontal="center" vertical="center"/>
    </xf>
    <xf numFmtId="0" fontId="22" fillId="0" borderId="12" xfId="0" applyFont="1" applyBorder="1" applyAlignment="1">
      <alignment horizontal="center" vertical="center"/>
    </xf>
    <xf numFmtId="1" fontId="22" fillId="0" borderId="13" xfId="0" applyNumberFormat="1" applyFont="1" applyBorder="1" applyAlignment="1">
      <alignment horizontal="right" vertical="center"/>
    </xf>
    <xf numFmtId="1" fontId="111" fillId="0" borderId="12" xfId="0" applyNumberFormat="1" applyFont="1" applyBorder="1" applyAlignment="1">
      <alignment horizontal="right" vertical="center"/>
    </xf>
    <xf numFmtId="1" fontId="24" fillId="18" borderId="12" xfId="0" applyNumberFormat="1" applyFont="1" applyFill="1" applyBorder="1" applyAlignment="1">
      <alignment horizontal="center" vertical="center"/>
    </xf>
    <xf numFmtId="175" fontId="13" fillId="10" borderId="12" xfId="0" applyNumberFormat="1" applyFont="1" applyFill="1" applyBorder="1" applyAlignment="1">
      <alignment horizontal="center" vertical="center"/>
    </xf>
    <xf numFmtId="0" fontId="23" fillId="23" borderId="12" xfId="0" applyFont="1" applyFill="1" applyBorder="1" applyAlignment="1">
      <alignment horizontal="right" vertical="center"/>
    </xf>
    <xf numFmtId="1" fontId="13" fillId="23" borderId="12" xfId="0" applyNumberFormat="1" applyFont="1" applyFill="1" applyBorder="1" applyAlignment="1">
      <alignment horizontal="right" vertical="center"/>
    </xf>
    <xf numFmtId="2" fontId="24" fillId="23" borderId="12" xfId="0" applyNumberFormat="1" applyFont="1" applyFill="1" applyBorder="1" applyAlignment="1">
      <alignment horizontal="center" vertical="center"/>
    </xf>
    <xf numFmtId="1" fontId="101" fillId="0" borderId="12" xfId="0" applyNumberFormat="1" applyFont="1" applyBorder="1" applyAlignment="1">
      <alignment horizontal="center" vertical="center"/>
    </xf>
    <xf numFmtId="0" fontId="23" fillId="0" borderId="13" xfId="0" applyFont="1" applyBorder="1" applyAlignment="1">
      <alignment horizontal="center" vertical="center"/>
    </xf>
    <xf numFmtId="0" fontId="23" fillId="18" borderId="12" xfId="4" applyFont="1" applyFill="1" applyBorder="1" applyAlignment="1">
      <alignment vertical="center"/>
    </xf>
    <xf numFmtId="0" fontId="13" fillId="10" borderId="12" xfId="0" quotePrefix="1" applyFont="1" applyFill="1" applyBorder="1" applyAlignment="1">
      <alignment horizontal="center" vertical="center"/>
    </xf>
    <xf numFmtId="2" fontId="116" fillId="10" borderId="12" xfId="0" applyNumberFormat="1" applyFont="1" applyFill="1" applyBorder="1" applyAlignment="1">
      <alignment horizontal="right" vertical="center"/>
    </xf>
    <xf numFmtId="0" fontId="13" fillId="14" borderId="13" xfId="4" applyFont="1" applyFill="1" applyBorder="1" applyAlignment="1">
      <alignment horizontal="center" vertical="center" wrapText="1"/>
    </xf>
    <xf numFmtId="1" fontId="13" fillId="0" borderId="14" xfId="0" applyNumberFormat="1" applyFont="1" applyBorder="1" applyAlignment="1">
      <alignment horizontal="center" vertical="center"/>
    </xf>
    <xf numFmtId="0" fontId="101" fillId="0" borderId="12" xfId="0" quotePrefix="1" applyFont="1" applyBorder="1" applyAlignment="1">
      <alignment horizontal="center" vertical="center"/>
    </xf>
    <xf numFmtId="0" fontId="100" fillId="0" borderId="12" xfId="0" quotePrefix="1" applyFont="1" applyBorder="1" applyAlignment="1">
      <alignment horizontal="center" vertical="center"/>
    </xf>
    <xf numFmtId="0" fontId="13" fillId="8" borderId="13" xfId="4" applyFont="1" applyFill="1" applyBorder="1" applyAlignment="1">
      <alignment horizontal="center" vertical="center" wrapText="1"/>
    </xf>
    <xf numFmtId="2" fontId="99" fillId="0" borderId="12" xfId="0" applyNumberFormat="1" applyFont="1" applyBorder="1" applyAlignment="1">
      <alignment horizontal="left" vertical="center"/>
    </xf>
    <xf numFmtId="0" fontId="99" fillId="0" borderId="12" xfId="0" applyFont="1" applyBorder="1" applyAlignment="1">
      <alignment vertical="center"/>
    </xf>
    <xf numFmtId="2" fontId="24" fillId="0" borderId="12" xfId="0" applyNumberFormat="1" applyFont="1" applyBorder="1" applyAlignment="1">
      <alignment horizontal="left" vertical="center"/>
    </xf>
    <xf numFmtId="0" fontId="23" fillId="5" borderId="12" xfId="0" applyFont="1" applyFill="1" applyBorder="1" applyAlignment="1">
      <alignment horizontal="center" vertical="center"/>
    </xf>
    <xf numFmtId="1" fontId="13" fillId="5" borderId="13" xfId="0" applyNumberFormat="1" applyFont="1" applyFill="1" applyBorder="1" applyAlignment="1">
      <alignment horizontal="center" vertical="center"/>
    </xf>
    <xf numFmtId="0" fontId="13" fillId="5" borderId="13" xfId="4" applyFont="1" applyFill="1" applyBorder="1" applyAlignment="1">
      <alignment horizontal="center" vertical="center" wrapText="1"/>
    </xf>
    <xf numFmtId="0" fontId="13" fillId="5" borderId="12" xfId="0" applyFont="1" applyFill="1" applyBorder="1" applyAlignment="1">
      <alignment horizontal="left" vertical="center"/>
    </xf>
    <xf numFmtId="2" fontId="13" fillId="5" borderId="13" xfId="0" applyNumberFormat="1" applyFont="1" applyFill="1" applyBorder="1" applyAlignment="1">
      <alignment horizontal="center" vertical="center"/>
    </xf>
    <xf numFmtId="2" fontId="13" fillId="5" borderId="12" xfId="0" applyNumberFormat="1" applyFont="1" applyFill="1" applyBorder="1" applyAlignment="1">
      <alignment horizontal="right" vertical="center"/>
    </xf>
    <xf numFmtId="1" fontId="111" fillId="5" borderId="12" xfId="0" applyNumberFormat="1" applyFont="1" applyFill="1" applyBorder="1" applyAlignment="1">
      <alignment horizontal="right" vertical="center"/>
    </xf>
    <xf numFmtId="0" fontId="101" fillId="5" borderId="12" xfId="0" quotePrefix="1" applyFont="1" applyFill="1" applyBorder="1" applyAlignment="1">
      <alignment horizontal="center" vertical="center"/>
    </xf>
    <xf numFmtId="0" fontId="100" fillId="5" borderId="12" xfId="0" quotePrefix="1" applyFont="1" applyFill="1" applyBorder="1" applyAlignment="1">
      <alignment horizontal="center" vertical="center"/>
    </xf>
    <xf numFmtId="0" fontId="99" fillId="5" borderId="12" xfId="4" applyFont="1" applyFill="1" applyBorder="1" applyAlignment="1">
      <alignment vertical="center"/>
    </xf>
    <xf numFmtId="16" fontId="99" fillId="5" borderId="13" xfId="4" applyNumberFormat="1" applyFont="1" applyFill="1" applyBorder="1" applyAlignment="1">
      <alignment horizontal="center" vertical="center"/>
    </xf>
    <xf numFmtId="0" fontId="99" fillId="5" borderId="13" xfId="4" applyFont="1" applyFill="1" applyBorder="1" applyAlignment="1">
      <alignment horizontal="center" vertical="center"/>
    </xf>
    <xf numFmtId="0" fontId="99" fillId="5" borderId="13" xfId="4" applyFont="1" applyFill="1" applyBorder="1" applyAlignment="1">
      <alignment horizontal="center" vertical="center" wrapText="1"/>
    </xf>
    <xf numFmtId="0" fontId="13" fillId="5" borderId="13" xfId="4" applyFont="1" applyFill="1" applyBorder="1" applyAlignment="1">
      <alignment horizontal="right" vertical="center"/>
    </xf>
    <xf numFmtId="1" fontId="24" fillId="5" borderId="12" xfId="0" applyNumberFormat="1" applyFont="1" applyFill="1" applyBorder="1" applyAlignment="1">
      <alignment horizontal="center" vertical="center"/>
    </xf>
    <xf numFmtId="2" fontId="13" fillId="5" borderId="12" xfId="0" applyNumberFormat="1" applyFont="1" applyFill="1" applyBorder="1" applyAlignment="1">
      <alignment horizontal="left" vertical="center"/>
    </xf>
    <xf numFmtId="2" fontId="100" fillId="0" borderId="12" xfId="0" quotePrefix="1" applyNumberFormat="1" applyFont="1" applyBorder="1" applyAlignment="1">
      <alignment horizontal="center" vertical="center"/>
    </xf>
    <xf numFmtId="0" fontId="23" fillId="5" borderId="12" xfId="4" applyFont="1" applyFill="1" applyBorder="1" applyAlignment="1">
      <alignment horizontal="right" vertical="center"/>
    </xf>
    <xf numFmtId="2" fontId="100" fillId="5" borderId="12" xfId="0" quotePrefix="1" applyNumberFormat="1" applyFont="1" applyFill="1" applyBorder="1" applyAlignment="1">
      <alignment horizontal="center" vertical="center"/>
    </xf>
    <xf numFmtId="0" fontId="101" fillId="0" borderId="12" xfId="0" applyFont="1" applyBorder="1" applyAlignment="1">
      <alignment horizontal="left" vertical="center"/>
    </xf>
    <xf numFmtId="2" fontId="23" fillId="5" borderId="12" xfId="4" applyNumberFormat="1" applyFont="1" applyFill="1" applyBorder="1" applyAlignment="1">
      <alignment vertical="center"/>
    </xf>
    <xf numFmtId="2" fontId="23" fillId="5" borderId="12" xfId="0" applyNumberFormat="1" applyFont="1" applyFill="1" applyBorder="1" applyAlignment="1">
      <alignment horizontal="right" vertical="center"/>
    </xf>
    <xf numFmtId="1" fontId="13" fillId="18" borderId="13" xfId="0" quotePrefix="1" applyNumberFormat="1" applyFont="1" applyFill="1" applyBorder="1" applyAlignment="1">
      <alignment horizontal="center" vertical="center"/>
    </xf>
    <xf numFmtId="2" fontId="101" fillId="0" borderId="13" xfId="0" quotePrefix="1" applyNumberFormat="1" applyFont="1" applyBorder="1" applyAlignment="1">
      <alignment horizontal="left" vertical="center"/>
    </xf>
    <xf numFmtId="0" fontId="13" fillId="8" borderId="13" xfId="0" applyFont="1" applyFill="1" applyBorder="1" applyAlignment="1">
      <alignment horizontal="center" vertical="center"/>
    </xf>
    <xf numFmtId="2" fontId="101" fillId="0" borderId="12" xfId="0" quotePrefix="1" applyNumberFormat="1" applyFont="1" applyBorder="1" applyAlignment="1">
      <alignment horizontal="left" vertical="center"/>
    </xf>
    <xf numFmtId="0" fontId="101" fillId="0" borderId="12" xfId="4" applyFont="1" applyBorder="1" applyAlignment="1">
      <alignment vertical="center"/>
    </xf>
    <xf numFmtId="175" fontId="13" fillId="0" borderId="13" xfId="0" applyNumberFormat="1" applyFont="1" applyBorder="1" applyAlignment="1">
      <alignment horizontal="right" vertical="center"/>
    </xf>
    <xf numFmtId="0" fontId="23" fillId="0" borderId="13" xfId="0" applyFont="1" applyBorder="1" applyAlignment="1">
      <alignment horizontal="right" vertical="center"/>
    </xf>
    <xf numFmtId="0" fontId="13" fillId="10" borderId="13" xfId="0" applyFont="1" applyFill="1" applyBorder="1" applyAlignment="1">
      <alignment horizontal="left" vertical="center"/>
    </xf>
    <xf numFmtId="0" fontId="23" fillId="10" borderId="12" xfId="4" applyFont="1" applyFill="1" applyBorder="1" applyAlignment="1">
      <alignment vertical="center"/>
    </xf>
    <xf numFmtId="2" fontId="111" fillId="10" borderId="13" xfId="0" applyNumberFormat="1" applyFont="1" applyFill="1" applyBorder="1" applyAlignment="1">
      <alignment horizontal="right" vertical="center"/>
    </xf>
    <xf numFmtId="0" fontId="13" fillId="14" borderId="13" xfId="0" applyFont="1" applyFill="1" applyBorder="1" applyAlignment="1">
      <alignment horizontal="left" vertical="center"/>
    </xf>
    <xf numFmtId="2" fontId="13" fillId="18" borderId="13" xfId="0" applyNumberFormat="1" applyFont="1" applyFill="1" applyBorder="1" applyAlignment="1">
      <alignment horizontal="right" vertical="center"/>
    </xf>
    <xf numFmtId="2" fontId="111" fillId="18" borderId="14" xfId="4" applyNumberFormat="1" applyFont="1" applyFill="1" applyBorder="1" applyAlignment="1">
      <alignment vertical="center"/>
    </xf>
    <xf numFmtId="1" fontId="13" fillId="18" borderId="14" xfId="4" applyNumberFormat="1" applyFont="1" applyFill="1" applyBorder="1" applyAlignment="1">
      <alignment vertical="center"/>
    </xf>
    <xf numFmtId="0" fontId="13" fillId="18" borderId="14" xfId="0" applyFont="1" applyFill="1" applyBorder="1" applyAlignment="1">
      <alignment horizontal="center" vertical="center"/>
    </xf>
    <xf numFmtId="0" fontId="23" fillId="18" borderId="14" xfId="4" applyFont="1" applyFill="1" applyBorder="1" applyAlignment="1">
      <alignment vertical="center"/>
    </xf>
    <xf numFmtId="0" fontId="13" fillId="18" borderId="13" xfId="0" applyFont="1" applyFill="1" applyBorder="1" applyAlignment="1">
      <alignment horizontal="right" vertical="center"/>
    </xf>
    <xf numFmtId="16" fontId="23" fillId="0" borderId="14" xfId="4" applyNumberFormat="1" applyFont="1" applyBorder="1" applyAlignment="1">
      <alignment vertical="center"/>
    </xf>
    <xf numFmtId="0" fontId="22" fillId="18" borderId="14" xfId="4" applyFont="1" applyFill="1" applyBorder="1" applyAlignment="1">
      <alignment vertical="center"/>
    </xf>
    <xf numFmtId="2" fontId="13" fillId="18" borderId="14" xfId="0" applyNumberFormat="1" applyFont="1" applyFill="1" applyBorder="1" applyAlignment="1">
      <alignment horizontal="left" vertical="center"/>
    </xf>
    <xf numFmtId="2" fontId="13" fillId="18" borderId="14" xfId="0" applyNumberFormat="1" applyFont="1" applyFill="1" applyBorder="1" applyAlignment="1">
      <alignment horizontal="center" vertical="center"/>
    </xf>
    <xf numFmtId="2" fontId="13" fillId="18" borderId="13" xfId="0" applyNumberFormat="1" applyFont="1" applyFill="1" applyBorder="1" applyAlignment="1">
      <alignment horizontal="center" vertical="center"/>
    </xf>
    <xf numFmtId="2" fontId="24" fillId="6" borderId="12" xfId="0" applyNumberFormat="1" applyFont="1" applyFill="1" applyBorder="1" applyAlignment="1">
      <alignment horizontal="center" vertical="center"/>
    </xf>
    <xf numFmtId="2" fontId="13" fillId="10" borderId="13" xfId="0" applyNumberFormat="1" applyFont="1" applyFill="1" applyBorder="1" applyAlignment="1">
      <alignment horizontal="center" vertical="center"/>
    </xf>
    <xf numFmtId="1" fontId="13" fillId="18" borderId="13" xfId="4" applyNumberFormat="1" applyFont="1" applyFill="1" applyBorder="1" applyAlignment="1">
      <alignment horizontal="right" vertical="center"/>
    </xf>
    <xf numFmtId="0" fontId="90" fillId="0" borderId="12" xfId="0" applyFont="1" applyBorder="1" applyAlignment="1">
      <alignment vertical="center"/>
    </xf>
    <xf numFmtId="0" fontId="13" fillId="0" borderId="13" xfId="4" applyFont="1" applyBorder="1" applyAlignment="1">
      <alignment horizontal="center" vertical="center" wrapText="1"/>
    </xf>
    <xf numFmtId="1" fontId="13" fillId="0" borderId="13" xfId="4" applyNumberFormat="1" applyFont="1" applyBorder="1" applyAlignment="1">
      <alignment horizontal="right" vertical="center"/>
    </xf>
    <xf numFmtId="2" fontId="24" fillId="18" borderId="13" xfId="0" applyNumberFormat="1" applyFont="1" applyFill="1" applyBorder="1" applyAlignment="1">
      <alignment horizontal="center" vertical="center"/>
    </xf>
    <xf numFmtId="0" fontId="23" fillId="8" borderId="12" xfId="0" applyFont="1" applyFill="1" applyBorder="1" applyAlignment="1">
      <alignment horizontal="right" vertical="center"/>
    </xf>
    <xf numFmtId="0" fontId="13" fillId="20" borderId="12" xfId="0" applyFont="1" applyFill="1" applyBorder="1" applyAlignment="1">
      <alignment vertical="center"/>
    </xf>
    <xf numFmtId="0" fontId="13" fillId="20" borderId="13" xfId="0" applyFont="1" applyFill="1" applyBorder="1" applyAlignment="1">
      <alignment horizontal="center" vertical="center"/>
    </xf>
    <xf numFmtId="0" fontId="115" fillId="20" borderId="14" xfId="0" applyFont="1" applyFill="1" applyBorder="1" applyAlignment="1">
      <alignment vertical="center" wrapText="1"/>
    </xf>
    <xf numFmtId="0" fontId="13" fillId="20" borderId="13" xfId="4" applyFont="1" applyFill="1" applyBorder="1" applyAlignment="1">
      <alignment horizontal="center" vertical="center"/>
    </xf>
    <xf numFmtId="0" fontId="23" fillId="20" borderId="12" xfId="0" applyFont="1" applyFill="1" applyBorder="1" applyAlignment="1">
      <alignment horizontal="right" vertical="center"/>
    </xf>
    <xf numFmtId="0" fontId="22" fillId="20" borderId="13" xfId="4" applyFont="1" applyFill="1" applyBorder="1" applyAlignment="1">
      <alignment vertical="center"/>
    </xf>
    <xf numFmtId="2" fontId="13" fillId="20" borderId="13" xfId="0" applyNumberFormat="1" applyFont="1" applyFill="1" applyBorder="1" applyAlignment="1">
      <alignment horizontal="center" vertical="center"/>
    </xf>
    <xf numFmtId="2" fontId="24" fillId="20" borderId="13" xfId="0" applyNumberFormat="1" applyFont="1" applyFill="1" applyBorder="1" applyAlignment="1">
      <alignment horizontal="center" vertical="center"/>
    </xf>
    <xf numFmtId="0" fontId="13" fillId="20" borderId="13" xfId="0" applyFont="1" applyFill="1" applyBorder="1" applyAlignment="1">
      <alignment horizontal="right" vertical="center"/>
    </xf>
    <xf numFmtId="0" fontId="101" fillId="20" borderId="13" xfId="0" applyFont="1" applyFill="1" applyBorder="1" applyAlignment="1">
      <alignment horizontal="center" vertical="center"/>
    </xf>
    <xf numFmtId="2" fontId="100" fillId="20" borderId="13" xfId="0" applyNumberFormat="1" applyFont="1" applyFill="1" applyBorder="1" applyAlignment="1">
      <alignment horizontal="center" vertical="center"/>
    </xf>
    <xf numFmtId="1" fontId="97" fillId="20" borderId="13" xfId="0" applyNumberFormat="1" applyFont="1" applyFill="1" applyBorder="1" applyAlignment="1">
      <alignment horizontal="right" vertical="center"/>
    </xf>
    <xf numFmtId="0" fontId="115" fillId="0" borderId="13" xfId="0" applyFont="1" applyBorder="1" applyAlignment="1">
      <alignment vertical="center" wrapText="1"/>
    </xf>
    <xf numFmtId="0" fontId="13" fillId="14" borderId="12" xfId="0" applyFont="1" applyFill="1" applyBorder="1" applyAlignment="1">
      <alignment vertical="center"/>
    </xf>
    <xf numFmtId="0" fontId="115" fillId="14" borderId="13" xfId="0" applyFont="1" applyFill="1" applyBorder="1" applyAlignment="1">
      <alignment vertical="center" wrapText="1"/>
    </xf>
    <xf numFmtId="2" fontId="24" fillId="14" borderId="13" xfId="0" applyNumberFormat="1" applyFont="1" applyFill="1" applyBorder="1" applyAlignment="1">
      <alignment horizontal="center" vertical="center"/>
    </xf>
    <xf numFmtId="1" fontId="13" fillId="14" borderId="13" xfId="0" applyNumberFormat="1" applyFont="1" applyFill="1" applyBorder="1" applyAlignment="1">
      <alignment horizontal="right" vertical="center"/>
    </xf>
    <xf numFmtId="0" fontId="101" fillId="14" borderId="13" xfId="0" applyFont="1" applyFill="1" applyBorder="1" applyAlignment="1">
      <alignment horizontal="center" vertical="center"/>
    </xf>
    <xf numFmtId="2" fontId="100" fillId="14" borderId="13" xfId="0" applyNumberFormat="1" applyFont="1" applyFill="1" applyBorder="1" applyAlignment="1">
      <alignment horizontal="center" vertical="center"/>
    </xf>
    <xf numFmtId="1" fontId="97" fillId="14" borderId="13" xfId="0" applyNumberFormat="1" applyFont="1" applyFill="1" applyBorder="1" applyAlignment="1">
      <alignment horizontal="right" vertical="center"/>
    </xf>
    <xf numFmtId="1" fontId="97" fillId="0" borderId="14" xfId="4" applyNumberFormat="1" applyFont="1" applyBorder="1" applyAlignment="1">
      <alignment vertical="center"/>
    </xf>
    <xf numFmtId="2" fontId="24" fillId="0" borderId="13" xfId="0" applyNumberFormat="1" applyFont="1" applyBorder="1" applyAlignment="1">
      <alignment horizontal="left" vertical="center"/>
    </xf>
    <xf numFmtId="1" fontId="99" fillId="0" borderId="13" xfId="0" applyNumberFormat="1" applyFont="1" applyBorder="1" applyAlignment="1">
      <alignment horizontal="left" vertical="center"/>
    </xf>
    <xf numFmtId="1" fontId="114" fillId="18" borderId="13" xfId="0" applyNumberFormat="1" applyFont="1" applyFill="1" applyBorder="1" applyAlignment="1">
      <alignment horizontal="right" vertical="center"/>
    </xf>
    <xf numFmtId="2" fontId="22" fillId="0" borderId="13" xfId="0" applyNumberFormat="1" applyFont="1" applyBorder="1" applyAlignment="1">
      <alignment horizontal="right" vertical="center"/>
    </xf>
    <xf numFmtId="2" fontId="114" fillId="18" borderId="13" xfId="0" applyNumberFormat="1" applyFont="1" applyFill="1" applyBorder="1" applyAlignment="1">
      <alignment horizontal="right" vertical="center"/>
    </xf>
    <xf numFmtId="0" fontId="99" fillId="18" borderId="12" xfId="0" applyFont="1" applyFill="1" applyBorder="1" applyAlignment="1">
      <alignment vertical="center"/>
    </xf>
    <xf numFmtId="2" fontId="116" fillId="0" borderId="13" xfId="0" applyNumberFormat="1" applyFont="1" applyBorder="1" applyAlignment="1">
      <alignment horizontal="right" vertical="center"/>
    </xf>
    <xf numFmtId="0" fontId="13" fillId="8" borderId="12" xfId="0" applyFont="1" applyFill="1" applyBorder="1" applyAlignment="1">
      <alignment vertical="center"/>
    </xf>
    <xf numFmtId="0" fontId="23" fillId="0" borderId="3" xfId="4" applyFont="1" applyBorder="1" applyAlignment="1">
      <alignment vertical="center"/>
    </xf>
    <xf numFmtId="2" fontId="100" fillId="5" borderId="13" xfId="0" applyNumberFormat="1" applyFont="1" applyFill="1" applyBorder="1" applyAlignment="1">
      <alignment horizontal="center" vertical="center"/>
    </xf>
    <xf numFmtId="1" fontId="97" fillId="5" borderId="13" xfId="0" applyNumberFormat="1" applyFont="1" applyFill="1" applyBorder="1" applyAlignment="1">
      <alignment horizontal="right" vertical="center"/>
    </xf>
    <xf numFmtId="1" fontId="22" fillId="8" borderId="13" xfId="4" applyNumberFormat="1" applyFont="1" applyFill="1" applyBorder="1" applyAlignment="1">
      <alignment vertical="center"/>
    </xf>
    <xf numFmtId="2" fontId="24" fillId="8" borderId="12" xfId="0" applyNumberFormat="1" applyFont="1" applyFill="1" applyBorder="1" applyAlignment="1">
      <alignment horizontal="center" vertical="center"/>
    </xf>
    <xf numFmtId="2" fontId="100" fillId="8" borderId="13" xfId="0" applyNumberFormat="1" applyFont="1" applyFill="1" applyBorder="1" applyAlignment="1">
      <alignment horizontal="center" vertical="center"/>
    </xf>
    <xf numFmtId="1" fontId="97" fillId="8" borderId="13" xfId="0" applyNumberFormat="1" applyFont="1" applyFill="1" applyBorder="1" applyAlignment="1">
      <alignment horizontal="right" vertical="center"/>
    </xf>
    <xf numFmtId="1" fontId="13" fillId="8" borderId="13" xfId="4" applyNumberFormat="1" applyFont="1" applyFill="1" applyBorder="1" applyAlignment="1">
      <alignment vertical="center"/>
    </xf>
    <xf numFmtId="1" fontId="111" fillId="8" borderId="13" xfId="0" applyNumberFormat="1" applyFont="1" applyFill="1" applyBorder="1" applyAlignment="1">
      <alignment horizontal="right" vertical="center"/>
    </xf>
    <xf numFmtId="0" fontId="13" fillId="0" borderId="13" xfId="0" quotePrefix="1" applyFont="1" applyBorder="1" applyAlignment="1">
      <alignment horizontal="center" vertical="center"/>
    </xf>
    <xf numFmtId="1" fontId="111" fillId="0" borderId="13" xfId="0" applyNumberFormat="1" applyFont="1" applyBorder="1" applyAlignment="1">
      <alignment horizontal="right" vertical="center"/>
    </xf>
    <xf numFmtId="1" fontId="97" fillId="0" borderId="24" xfId="0" applyNumberFormat="1" applyFont="1" applyBorder="1" applyAlignment="1">
      <alignment horizontal="right" vertical="center"/>
    </xf>
    <xf numFmtId="2" fontId="111" fillId="0" borderId="14" xfId="0" applyNumberFormat="1" applyFont="1" applyBorder="1" applyAlignment="1">
      <alignment horizontal="right" vertical="center"/>
    </xf>
    <xf numFmtId="0" fontId="13" fillId="0" borderId="23" xfId="4" applyFont="1" applyBorder="1" applyAlignment="1">
      <alignment vertical="center"/>
    </xf>
    <xf numFmtId="2" fontId="111" fillId="18" borderId="13" xfId="0" applyNumberFormat="1" applyFont="1" applyFill="1" applyBorder="1" applyAlignment="1">
      <alignment horizontal="right" vertical="center"/>
    </xf>
    <xf numFmtId="1" fontId="13" fillId="18" borderId="13" xfId="0" applyNumberFormat="1" applyFont="1" applyFill="1" applyBorder="1" applyAlignment="1">
      <alignment horizontal="center" vertical="center"/>
    </xf>
    <xf numFmtId="16" fontId="13" fillId="0" borderId="13" xfId="0" applyNumberFormat="1" applyFont="1" applyBorder="1" applyAlignment="1">
      <alignment horizontal="center" vertical="center"/>
    </xf>
    <xf numFmtId="1" fontId="111" fillId="18" borderId="14" xfId="4" applyNumberFormat="1" applyFont="1" applyFill="1" applyBorder="1" applyAlignment="1">
      <alignment vertical="center"/>
    </xf>
    <xf numFmtId="0" fontId="13" fillId="18" borderId="13" xfId="0" applyFont="1" applyFill="1" applyBorder="1" applyAlignment="1">
      <alignment horizontal="left" vertical="center"/>
    </xf>
    <xf numFmtId="2" fontId="13" fillId="0" borderId="13" xfId="0" applyNumberFormat="1" applyFont="1" applyBorder="1" applyAlignment="1">
      <alignment horizontal="left" vertical="center"/>
    </xf>
    <xf numFmtId="2" fontId="101" fillId="0" borderId="13" xfId="0" applyNumberFormat="1" applyFont="1" applyBorder="1" applyAlignment="1">
      <alignment horizontal="left" vertical="center"/>
    </xf>
    <xf numFmtId="2" fontId="101" fillId="18" borderId="13" xfId="0" applyNumberFormat="1" applyFont="1" applyFill="1" applyBorder="1" applyAlignment="1">
      <alignment horizontal="left" vertical="center"/>
    </xf>
    <xf numFmtId="2" fontId="101" fillId="0" borderId="13" xfId="0" applyNumberFormat="1" applyFont="1" applyBorder="1" applyAlignment="1">
      <alignment horizontal="right" vertical="center"/>
    </xf>
    <xf numFmtId="0" fontId="101" fillId="0" borderId="13" xfId="0" applyFont="1" applyBorder="1" applyAlignment="1">
      <alignment horizontal="left" vertical="center"/>
    </xf>
    <xf numFmtId="2" fontId="23" fillId="8" borderId="12" xfId="4" applyNumberFormat="1" applyFont="1" applyFill="1" applyBorder="1" applyAlignment="1">
      <alignment vertical="center"/>
    </xf>
    <xf numFmtId="0" fontId="101" fillId="5" borderId="13" xfId="0" applyFont="1" applyFill="1" applyBorder="1" applyAlignment="1">
      <alignment horizontal="left" vertical="center"/>
    </xf>
    <xf numFmtId="2" fontId="24" fillId="5" borderId="13" xfId="0" applyNumberFormat="1" applyFont="1" applyFill="1" applyBorder="1" applyAlignment="1">
      <alignment horizontal="center" vertical="center"/>
    </xf>
    <xf numFmtId="1" fontId="24" fillId="0" borderId="13" xfId="4" applyNumberFormat="1" applyFont="1" applyBorder="1" applyAlignment="1">
      <alignment horizontal="center" vertical="center"/>
    </xf>
    <xf numFmtId="1" fontId="112" fillId="14" borderId="13" xfId="0" applyNumberFormat="1" applyFont="1" applyFill="1" applyBorder="1" applyAlignment="1">
      <alignment horizontal="right" vertical="center"/>
    </xf>
    <xf numFmtId="2" fontId="112" fillId="0" borderId="13" xfId="0" applyNumberFormat="1" applyFont="1" applyBorder="1" applyAlignment="1">
      <alignment horizontal="right" vertical="center"/>
    </xf>
    <xf numFmtId="0" fontId="99" fillId="0" borderId="12" xfId="0" applyFont="1" applyBorder="1" applyAlignment="1">
      <alignment horizontal="center" vertical="center"/>
    </xf>
    <xf numFmtId="1" fontId="112" fillId="14" borderId="13" xfId="4" applyNumberFormat="1" applyFont="1" applyFill="1" applyBorder="1" applyAlignment="1">
      <alignment vertical="center"/>
    </xf>
    <xf numFmtId="0" fontId="101" fillId="14" borderId="13" xfId="4" applyFont="1" applyFill="1" applyBorder="1" applyAlignment="1">
      <alignment horizontal="center" vertical="center"/>
    </xf>
    <xf numFmtId="1" fontId="97" fillId="14" borderId="13" xfId="4" applyNumberFormat="1" applyFont="1" applyFill="1" applyBorder="1" applyAlignment="1">
      <alignment vertical="center"/>
    </xf>
    <xf numFmtId="0" fontId="21" fillId="0" borderId="12" xfId="0" applyFont="1" applyBorder="1" applyAlignment="1">
      <alignment vertical="center"/>
    </xf>
    <xf numFmtId="0" fontId="99" fillId="0" borderId="13" xfId="4" applyFont="1" applyBorder="1" applyAlignment="1">
      <alignment horizontal="left" vertical="center"/>
    </xf>
    <xf numFmtId="1" fontId="24" fillId="5" borderId="13" xfId="4" applyNumberFormat="1" applyFont="1" applyFill="1" applyBorder="1" applyAlignment="1">
      <alignment horizontal="center" vertical="center"/>
    </xf>
    <xf numFmtId="0" fontId="99" fillId="5" borderId="12" xfId="0" applyFont="1" applyFill="1" applyBorder="1" applyAlignment="1">
      <alignment vertical="center"/>
    </xf>
    <xf numFmtId="1" fontId="99" fillId="0" borderId="13" xfId="4" applyNumberFormat="1" applyFont="1" applyBorder="1" applyAlignment="1">
      <alignment vertical="center"/>
    </xf>
    <xf numFmtId="2" fontId="99" fillId="0" borderId="12" xfId="0" applyNumberFormat="1" applyFont="1" applyBorder="1" applyAlignment="1">
      <alignment horizontal="center" vertical="center"/>
    </xf>
    <xf numFmtId="0" fontId="99" fillId="0" borderId="13" xfId="4" applyFont="1" applyBorder="1" applyAlignment="1">
      <alignment horizontal="right" vertical="center"/>
    </xf>
    <xf numFmtId="2" fontId="99" fillId="0" borderId="13" xfId="0" applyNumberFormat="1" applyFont="1" applyBorder="1" applyAlignment="1">
      <alignment horizontal="center" vertical="center"/>
    </xf>
    <xf numFmtId="2" fontId="22" fillId="8" borderId="13" xfId="4" applyNumberFormat="1" applyFont="1" applyFill="1" applyBorder="1" applyAlignment="1">
      <alignment vertical="center"/>
    </xf>
    <xf numFmtId="1" fontId="114" fillId="0" borderId="12" xfId="0" applyNumberFormat="1" applyFont="1" applyBorder="1" applyAlignment="1">
      <alignment horizontal="right" vertical="center"/>
    </xf>
    <xf numFmtId="1" fontId="114" fillId="18" borderId="13" xfId="0" applyNumberFormat="1" applyFont="1" applyFill="1" applyBorder="1" applyAlignment="1">
      <alignment horizontal="center" vertical="center"/>
    </xf>
    <xf numFmtId="1" fontId="24" fillId="5" borderId="13" xfId="0" applyNumberFormat="1" applyFont="1" applyFill="1" applyBorder="1" applyAlignment="1">
      <alignment horizontal="center" vertical="center"/>
    </xf>
    <xf numFmtId="0" fontId="21" fillId="5" borderId="13" xfId="4" applyFont="1" applyFill="1" applyBorder="1" applyAlignment="1">
      <alignment vertical="center"/>
    </xf>
    <xf numFmtId="0" fontId="21" fillId="0" borderId="13" xfId="4" applyFont="1" applyBorder="1" applyAlignment="1">
      <alignment vertical="center"/>
    </xf>
    <xf numFmtId="2" fontId="99" fillId="0" borderId="13" xfId="0" applyNumberFormat="1" applyFont="1" applyBorder="1" applyAlignment="1">
      <alignment horizontal="left" vertical="center"/>
    </xf>
    <xf numFmtId="2" fontId="22" fillId="0" borderId="13" xfId="4" applyNumberFormat="1" applyFont="1" applyBorder="1" applyAlignment="1">
      <alignment horizontal="right" vertical="center"/>
    </xf>
    <xf numFmtId="2" fontId="100" fillId="8" borderId="13" xfId="4" applyNumberFormat="1" applyFont="1" applyFill="1" applyBorder="1" applyAlignment="1">
      <alignment horizontal="center" vertical="center"/>
    </xf>
    <xf numFmtId="0" fontId="13" fillId="18" borderId="14" xfId="0" applyFont="1" applyFill="1" applyBorder="1" applyAlignment="1">
      <alignment vertical="center"/>
    </xf>
    <xf numFmtId="1" fontId="13" fillId="8" borderId="13" xfId="0" applyNumberFormat="1" applyFont="1" applyFill="1" applyBorder="1" applyAlignment="1">
      <alignment horizontal="center" vertical="center"/>
    </xf>
    <xf numFmtId="178" fontId="23" fillId="0" borderId="12" xfId="0" applyNumberFormat="1" applyFont="1" applyBorder="1" applyAlignment="1">
      <alignment horizontal="right" vertical="center"/>
    </xf>
    <xf numFmtId="178" fontId="23" fillId="8" borderId="12" xfId="0" applyNumberFormat="1" applyFont="1" applyFill="1" applyBorder="1" applyAlignment="1">
      <alignment horizontal="right" vertical="center"/>
    </xf>
    <xf numFmtId="2" fontId="112" fillId="14" borderId="13" xfId="0" applyNumberFormat="1" applyFont="1" applyFill="1" applyBorder="1" applyAlignment="1">
      <alignment horizontal="right" vertical="center"/>
    </xf>
    <xf numFmtId="0" fontId="23" fillId="11" borderId="12" xfId="4" applyFont="1" applyFill="1" applyBorder="1" applyAlignment="1">
      <alignment vertical="center"/>
    </xf>
    <xf numFmtId="1" fontId="22" fillId="11" borderId="13" xfId="4" applyNumberFormat="1" applyFont="1" applyFill="1" applyBorder="1" applyAlignment="1">
      <alignment vertical="center"/>
    </xf>
    <xf numFmtId="1" fontId="13" fillId="11" borderId="13" xfId="4" applyNumberFormat="1" applyFont="1" applyFill="1" applyBorder="1" applyAlignment="1">
      <alignment vertical="center"/>
    </xf>
    <xf numFmtId="2" fontId="24" fillId="11" borderId="13" xfId="4" applyNumberFormat="1" applyFont="1" applyFill="1" applyBorder="1" applyAlignment="1">
      <alignment horizontal="center" vertical="center"/>
    </xf>
    <xf numFmtId="1" fontId="97" fillId="11" borderId="13" xfId="4" applyNumberFormat="1" applyFont="1" applyFill="1" applyBorder="1" applyAlignment="1">
      <alignment vertical="center"/>
    </xf>
    <xf numFmtId="0" fontId="97" fillId="0" borderId="13" xfId="4" applyFont="1" applyBorder="1" applyAlignment="1">
      <alignment vertical="center"/>
    </xf>
    <xf numFmtId="2" fontId="13" fillId="0" borderId="13" xfId="4" applyNumberFormat="1" applyFont="1" applyBorder="1" applyAlignment="1">
      <alignment horizontal="center" vertical="center"/>
    </xf>
    <xf numFmtId="0" fontId="13" fillId="0" borderId="15" xfId="4" applyFont="1" applyBorder="1" applyAlignment="1">
      <alignment vertical="center"/>
    </xf>
    <xf numFmtId="181" fontId="13" fillId="0" borderId="14" xfId="4" applyNumberFormat="1" applyFont="1" applyBorder="1" applyAlignment="1">
      <alignment vertical="center"/>
    </xf>
    <xf numFmtId="175" fontId="13" fillId="0" borderId="14" xfId="4" applyNumberFormat="1" applyFont="1" applyBorder="1" applyAlignment="1">
      <alignment vertical="center"/>
    </xf>
    <xf numFmtId="178" fontId="13" fillId="0" borderId="14" xfId="4" applyNumberFormat="1" applyFont="1" applyBorder="1" applyAlignment="1">
      <alignment vertical="center"/>
    </xf>
    <xf numFmtId="43" fontId="13" fillId="0" borderId="0" xfId="5" applyFont="1" applyAlignment="1">
      <alignment vertical="center"/>
    </xf>
    <xf numFmtId="0" fontId="22" fillId="0" borderId="0" xfId="4" applyFont="1" applyAlignment="1">
      <alignment vertical="center"/>
    </xf>
    <xf numFmtId="0" fontId="13" fillId="5" borderId="0" xfId="4" applyFont="1" applyFill="1" applyAlignment="1">
      <alignment vertical="center"/>
    </xf>
    <xf numFmtId="175" fontId="13" fillId="0" borderId="0" xfId="4" applyNumberFormat="1" applyFont="1" applyAlignment="1">
      <alignment vertical="center"/>
    </xf>
    <xf numFmtId="0" fontId="99" fillId="0" borderId="0" xfId="4" applyFont="1" applyAlignment="1">
      <alignment vertical="center"/>
    </xf>
    <xf numFmtId="4" fontId="13" fillId="0" borderId="0" xfId="4" applyNumberFormat="1" applyFont="1" applyAlignment="1">
      <alignment vertical="center"/>
    </xf>
    <xf numFmtId="0" fontId="23" fillId="5" borderId="0" xfId="4" applyFont="1" applyFill="1" applyAlignment="1">
      <alignment vertical="center"/>
    </xf>
    <xf numFmtId="17" fontId="13" fillId="0" borderId="0" xfId="4" applyNumberFormat="1" applyFont="1" applyAlignment="1">
      <alignment vertical="center"/>
    </xf>
    <xf numFmtId="175" fontId="23" fillId="0" borderId="0" xfId="4" applyNumberFormat="1" applyFont="1" applyAlignment="1">
      <alignment vertical="center"/>
    </xf>
    <xf numFmtId="0" fontId="3" fillId="0" borderId="0" xfId="0" applyFont="1" applyAlignment="1">
      <alignment horizontal="right" vertical="center"/>
    </xf>
    <xf numFmtId="1" fontId="99" fillId="14" borderId="13" xfId="4" applyNumberFormat="1" applyFont="1" applyFill="1" applyBorder="1" applyAlignment="1">
      <alignment vertical="center"/>
    </xf>
    <xf numFmtId="0" fontId="99" fillId="6" borderId="12" xfId="4" applyFont="1" applyFill="1" applyBorder="1" applyAlignment="1">
      <alignment vertical="center"/>
    </xf>
    <xf numFmtId="1" fontId="99" fillId="5" borderId="12" xfId="4" applyNumberFormat="1" applyFont="1" applyFill="1" applyBorder="1" applyAlignment="1">
      <alignment vertical="center"/>
    </xf>
    <xf numFmtId="0" fontId="13" fillId="0" borderId="12" xfId="0" applyFont="1" applyBorder="1" applyAlignment="1">
      <alignment vertical="center" wrapText="1"/>
    </xf>
    <xf numFmtId="0" fontId="46" fillId="22" borderId="15" xfId="4" applyFont="1" applyFill="1" applyBorder="1" applyAlignment="1">
      <alignment horizontal="center" vertical="center"/>
    </xf>
    <xf numFmtId="0" fontId="46" fillId="22" borderId="3" xfId="4" applyFont="1" applyFill="1" applyBorder="1" applyAlignment="1">
      <alignment horizontal="center" vertical="center"/>
    </xf>
    <xf numFmtId="0" fontId="46" fillId="22" borderId="12" xfId="4" applyFont="1" applyFill="1" applyBorder="1" applyAlignment="1">
      <alignment horizontal="center" vertical="center"/>
    </xf>
    <xf numFmtId="0" fontId="14" fillId="25" borderId="5" xfId="0" applyFont="1" applyFill="1" applyBorder="1" applyAlignment="1">
      <alignment horizontal="center"/>
    </xf>
    <xf numFmtId="0" fontId="14" fillId="25" borderId="8" xfId="0" applyFont="1" applyFill="1" applyBorder="1" applyAlignment="1">
      <alignment horizontal="center"/>
    </xf>
    <xf numFmtId="0" fontId="14" fillId="25" borderId="9" xfId="0" applyFont="1" applyFill="1" applyBorder="1" applyAlignment="1">
      <alignment horizontal="center"/>
    </xf>
    <xf numFmtId="17" fontId="13" fillId="0" borderId="0" xfId="4" applyNumberFormat="1" applyFont="1" applyAlignment="1">
      <alignment horizontal="center" vertical="center"/>
    </xf>
    <xf numFmtId="0" fontId="69" fillId="8" borderId="8" xfId="0" applyFont="1" applyFill="1" applyBorder="1" applyAlignment="1">
      <alignment horizontal="center"/>
    </xf>
    <xf numFmtId="0" fontId="14" fillId="8" borderId="5" xfId="0" applyFont="1" applyFill="1" applyBorder="1" applyAlignment="1">
      <alignment horizontal="center"/>
    </xf>
    <xf numFmtId="0" fontId="14" fillId="8" borderId="8" xfId="0" applyFont="1" applyFill="1" applyBorder="1" applyAlignment="1">
      <alignment horizontal="center"/>
    </xf>
    <xf numFmtId="0" fontId="14" fillId="8" borderId="9" xfId="0" applyFont="1" applyFill="1" applyBorder="1" applyAlignment="1">
      <alignment horizontal="center"/>
    </xf>
    <xf numFmtId="0" fontId="14" fillId="7" borderId="5" xfId="0" applyFont="1" applyFill="1" applyBorder="1" applyAlignment="1">
      <alignment horizontal="center"/>
    </xf>
    <xf numFmtId="0" fontId="14" fillId="7" borderId="8" xfId="0" applyFont="1" applyFill="1" applyBorder="1" applyAlignment="1">
      <alignment horizontal="center"/>
    </xf>
    <xf numFmtId="0" fontId="14" fillId="7" borderId="9" xfId="0" applyFont="1" applyFill="1" applyBorder="1" applyAlignment="1">
      <alignment horizontal="center"/>
    </xf>
    <xf numFmtId="0" fontId="4" fillId="0" borderId="17" xfId="4" applyFont="1" applyBorder="1" applyAlignment="1">
      <alignment horizontal="center" vertical="center"/>
    </xf>
    <xf numFmtId="0" fontId="13" fillId="5" borderId="0" xfId="4" applyFont="1" applyFill="1" applyAlignment="1">
      <alignment horizontal="center" vertical="center"/>
    </xf>
    <xf numFmtId="43" fontId="63" fillId="6" borderId="2" xfId="5" applyFont="1" applyFill="1" applyBorder="1" applyAlignment="1">
      <alignment horizontal="center" vertical="center"/>
    </xf>
    <xf numFmtId="43" fontId="63" fillId="6" borderId="3" xfId="5" applyFont="1" applyFill="1" applyBorder="1" applyAlignment="1">
      <alignment horizontal="center" vertical="center"/>
    </xf>
    <xf numFmtId="43" fontId="63" fillId="6" borderId="4" xfId="5" applyFont="1" applyFill="1" applyBorder="1" applyAlignment="1">
      <alignment horizontal="center" vertical="center"/>
    </xf>
    <xf numFmtId="0" fontId="14" fillId="6" borderId="5" xfId="0" applyFont="1" applyFill="1" applyBorder="1" applyAlignment="1">
      <alignment horizontal="center"/>
    </xf>
    <xf numFmtId="0" fontId="14" fillId="6" borderId="8" xfId="0" applyFont="1" applyFill="1" applyBorder="1" applyAlignment="1">
      <alignment horizontal="center"/>
    </xf>
    <xf numFmtId="0" fontId="14" fillId="6" borderId="9" xfId="0" applyFont="1" applyFill="1" applyBorder="1" applyAlignment="1">
      <alignment horizontal="center"/>
    </xf>
    <xf numFmtId="177" fontId="63" fillId="19" borderId="2" xfId="5" applyNumberFormat="1" applyFont="1" applyFill="1" applyBorder="1" applyAlignment="1">
      <alignment horizontal="center"/>
    </xf>
    <xf numFmtId="177" fontId="63" fillId="19" borderId="4" xfId="5" applyNumberFormat="1" applyFont="1" applyFill="1" applyBorder="1" applyAlignment="1">
      <alignment horizontal="center"/>
    </xf>
    <xf numFmtId="43" fontId="14" fillId="20" borderId="2" xfId="5" applyFont="1" applyFill="1" applyBorder="1" applyAlignment="1">
      <alignment horizontal="center"/>
    </xf>
    <xf numFmtId="43" fontId="14" fillId="20" borderId="3" xfId="5" applyFont="1" applyFill="1" applyBorder="1" applyAlignment="1">
      <alignment horizontal="center"/>
    </xf>
    <xf numFmtId="43" fontId="14" fillId="20" borderId="4" xfId="5" applyFont="1" applyFill="1" applyBorder="1" applyAlignment="1">
      <alignment horizontal="center"/>
    </xf>
    <xf numFmtId="0" fontId="14" fillId="20" borderId="5" xfId="0" applyFont="1" applyFill="1" applyBorder="1" applyAlignment="1">
      <alignment horizontal="center"/>
    </xf>
    <xf numFmtId="0" fontId="14" fillId="20" borderId="8" xfId="0" applyFont="1" applyFill="1" applyBorder="1" applyAlignment="1">
      <alignment horizontal="center"/>
    </xf>
    <xf numFmtId="0" fontId="14" fillId="20" borderId="9" xfId="0" applyFont="1" applyFill="1" applyBorder="1" applyAlignment="1">
      <alignment horizontal="center"/>
    </xf>
    <xf numFmtId="43" fontId="14" fillId="21" borderId="2" xfId="5" applyFont="1" applyFill="1" applyBorder="1" applyAlignment="1">
      <alignment horizontal="center"/>
    </xf>
    <xf numFmtId="43" fontId="14" fillId="21" borderId="3" xfId="5" applyFont="1" applyFill="1" applyBorder="1" applyAlignment="1">
      <alignment horizontal="center"/>
    </xf>
    <xf numFmtId="43" fontId="14" fillId="21" borderId="4" xfId="5" applyFont="1" applyFill="1" applyBorder="1" applyAlignment="1">
      <alignment horizontal="center"/>
    </xf>
    <xf numFmtId="0" fontId="14" fillId="21" borderId="5" xfId="0" applyFont="1" applyFill="1" applyBorder="1" applyAlignment="1">
      <alignment horizontal="center"/>
    </xf>
    <xf numFmtId="0" fontId="14" fillId="21" borderId="8" xfId="0" applyFont="1" applyFill="1" applyBorder="1" applyAlignment="1">
      <alignment horizontal="center"/>
    </xf>
    <xf numFmtId="0" fontId="14" fillId="21" borderId="9" xfId="0" applyFont="1" applyFill="1" applyBorder="1" applyAlignment="1">
      <alignment horizontal="center"/>
    </xf>
    <xf numFmtId="177" fontId="14" fillId="2" borderId="2" xfId="5" applyNumberFormat="1" applyFont="1" applyFill="1" applyBorder="1" applyAlignment="1">
      <alignment horizontal="center"/>
    </xf>
    <xf numFmtId="177" fontId="14" fillId="2" borderId="3" xfId="5" applyNumberFormat="1" applyFont="1" applyFill="1" applyBorder="1" applyAlignment="1">
      <alignment horizontal="center"/>
    </xf>
    <xf numFmtId="177" fontId="14" fillId="2" borderId="4" xfId="5" applyNumberFormat="1" applyFont="1" applyFill="1" applyBorder="1" applyAlignment="1">
      <alignment horizontal="center"/>
    </xf>
    <xf numFmtId="43" fontId="14" fillId="2" borderId="2" xfId="5" applyFont="1" applyFill="1" applyBorder="1" applyAlignment="1">
      <alignment horizontal="center"/>
    </xf>
    <xf numFmtId="43" fontId="14" fillId="2" borderId="3" xfId="5" applyFont="1" applyFill="1" applyBorder="1" applyAlignment="1">
      <alignment horizontal="center"/>
    </xf>
    <xf numFmtId="43" fontId="14" fillId="2" borderId="4" xfId="5" applyFont="1" applyFill="1" applyBorder="1" applyAlignment="1">
      <alignment horizontal="center"/>
    </xf>
    <xf numFmtId="0" fontId="14" fillId="2" borderId="5" xfId="0" applyFont="1" applyFill="1" applyBorder="1" applyAlignment="1">
      <alignment horizontal="center"/>
    </xf>
    <xf numFmtId="0" fontId="14" fillId="2" borderId="8" xfId="0" applyFont="1" applyFill="1" applyBorder="1" applyAlignment="1">
      <alignment horizontal="center"/>
    </xf>
    <xf numFmtId="0" fontId="14" fillId="2" borderId="9" xfId="0" applyFont="1" applyFill="1" applyBorder="1" applyAlignment="1">
      <alignment horizontal="center"/>
    </xf>
    <xf numFmtId="0" fontId="14" fillId="19" borderId="5" xfId="0" applyFont="1" applyFill="1" applyBorder="1" applyAlignment="1">
      <alignment horizontal="center"/>
    </xf>
    <xf numFmtId="0" fontId="14" fillId="19" borderId="8" xfId="0" applyFont="1" applyFill="1" applyBorder="1" applyAlignment="1">
      <alignment horizontal="center"/>
    </xf>
    <xf numFmtId="0" fontId="14" fillId="19" borderId="9" xfId="0" applyFont="1" applyFill="1" applyBorder="1" applyAlignment="1">
      <alignment horizontal="center"/>
    </xf>
    <xf numFmtId="0" fontId="14" fillId="8" borderId="2" xfId="0" applyFont="1" applyFill="1" applyBorder="1" applyAlignment="1">
      <alignment horizontal="center" vertical="center" wrapText="1"/>
    </xf>
    <xf numFmtId="0" fontId="14" fillId="8" borderId="4" xfId="0" applyFont="1" applyFill="1" applyBorder="1" applyAlignment="1">
      <alignment horizontal="center" vertical="center" wrapText="1"/>
    </xf>
    <xf numFmtId="43" fontId="14" fillId="8" borderId="2" xfId="5" applyFont="1" applyFill="1" applyBorder="1" applyAlignment="1">
      <alignment horizontal="center" vertical="center"/>
    </xf>
    <xf numFmtId="43" fontId="14" fillId="8" borderId="4" xfId="5" applyFont="1" applyFill="1" applyBorder="1" applyAlignment="1">
      <alignment horizontal="center" vertical="center"/>
    </xf>
    <xf numFmtId="43" fontId="14" fillId="8" borderId="2" xfId="5" applyFont="1" applyFill="1" applyBorder="1" applyAlignment="1">
      <alignment horizontal="center"/>
    </xf>
    <xf numFmtId="43" fontId="14" fillId="8" borderId="4" xfId="5" applyFont="1" applyFill="1" applyBorder="1" applyAlignment="1">
      <alignment horizontal="center"/>
    </xf>
    <xf numFmtId="0" fontId="13" fillId="0" borderId="2" xfId="4" applyFont="1" applyBorder="1" applyAlignment="1">
      <alignment horizontal="center" vertical="center" wrapText="1"/>
    </xf>
    <xf numFmtId="0" fontId="13" fillId="0" borderId="4" xfId="4" applyFont="1" applyBorder="1" applyAlignment="1">
      <alignment horizontal="center" vertical="center" wrapText="1"/>
    </xf>
    <xf numFmtId="0" fontId="21" fillId="0" borderId="2" xfId="4" applyFont="1" applyBorder="1" applyAlignment="1">
      <alignment horizontal="center" vertical="center" wrapText="1"/>
    </xf>
    <xf numFmtId="0" fontId="21" fillId="0" borderId="4" xfId="4" applyFont="1" applyBorder="1" applyAlignment="1">
      <alignment horizontal="center" vertical="center" wrapText="1"/>
    </xf>
    <xf numFmtId="0" fontId="110" fillId="0" borderId="2" xfId="0" applyFont="1" applyBorder="1" applyAlignment="1">
      <alignment horizontal="center" vertical="center" wrapText="1"/>
    </xf>
    <xf numFmtId="0" fontId="110" fillId="0" borderId="4" xfId="0" applyFont="1" applyBorder="1" applyAlignment="1">
      <alignment horizontal="center" vertical="center" wrapText="1"/>
    </xf>
    <xf numFmtId="0" fontId="110" fillId="0" borderId="2" xfId="0" applyFont="1" applyBorder="1" applyAlignment="1">
      <alignment horizontal="center" vertical="center"/>
    </xf>
    <xf numFmtId="0" fontId="110" fillId="0" borderId="4" xfId="0" applyFont="1" applyBorder="1" applyAlignment="1">
      <alignment horizontal="center" vertical="center"/>
    </xf>
    <xf numFmtId="0" fontId="109" fillId="0" borderId="0" xfId="4" applyFont="1" applyAlignment="1">
      <alignment horizontal="center" vertical="center"/>
    </xf>
    <xf numFmtId="0" fontId="7" fillId="0" borderId="0" xfId="4" applyFont="1" applyAlignment="1">
      <alignment horizontal="center" vertical="center"/>
    </xf>
    <xf numFmtId="0" fontId="0" fillId="0" borderId="0" xfId="0" applyAlignment="1">
      <alignment vertical="center"/>
    </xf>
  </cellXfs>
  <cellStyles count="9">
    <cellStyle name="Comma 11" xfId="8" xr:uid="{C5F48988-543F-4C20-A7C7-BDAE7270FECB}"/>
    <cellStyle name="Comma 2" xfId="3" xr:uid="{3E7DFF63-471F-4373-B8FF-4C15EC882903}"/>
    <cellStyle name="Comma 8 2" xfId="5" xr:uid="{925B1C5C-CAE7-46E9-8AD5-F961FE0D5F1A}"/>
    <cellStyle name="gs]_x000d__x000a_Window=23,56,584,348, , ,1_x000d__x000a_dir1=0,0,491,191,-1,-1,1,30,201,1905,245,H:\WINDOWS\*.*_x000d__x000a_dir10=44,44,544,323," xfId="7" xr:uid="{AB3120CE-616D-4A40-9AC2-BFC9E0068095}"/>
    <cellStyle name="Normal" xfId="0" builtinId="0"/>
    <cellStyle name="Normal 2" xfId="1" xr:uid="{DDF95868-EA31-45FA-BBD4-2E3A7B9259C5}"/>
    <cellStyle name="Normal 2 2" xfId="2" xr:uid="{0222DFE9-3083-4D93-BF98-2B8A40648BAE}"/>
    <cellStyle name="Normal_MC_01" xfId="4" xr:uid="{09A55C86-1036-4308-AC49-3C3270D63142}"/>
    <cellStyle name="Normal_Sheet1 2 2" xfId="6" xr:uid="{E21839B7-B664-49C7-80CE-C428CCCF30B4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externalLink" Target="externalLinks/externalLink16.xml"/><Relationship Id="rId3" Type="http://schemas.openxmlformats.org/officeDocument/2006/relationships/externalLink" Target="externalLinks/externalLink1.xml"/><Relationship Id="rId21" Type="http://schemas.openxmlformats.org/officeDocument/2006/relationships/styles" Target="styles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24" Type="http://schemas.openxmlformats.org/officeDocument/2006/relationships/calcChain" Target="calcChain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23" Type="http://schemas.openxmlformats.org/officeDocument/2006/relationships/sheetMetadata" Target="metadata.xml"/><Relationship Id="rId10" Type="http://schemas.openxmlformats.org/officeDocument/2006/relationships/externalLink" Target="externalLinks/externalLink8.xml"/><Relationship Id="rId19" Type="http://schemas.openxmlformats.org/officeDocument/2006/relationships/externalLink" Target="externalLinks/externalLink17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885825</xdr:colOff>
      <xdr:row>393</xdr:row>
      <xdr:rowOff>7937</xdr:rowOff>
    </xdr:from>
    <xdr:to>
      <xdr:col>2</xdr:col>
      <xdr:colOff>104775</xdr:colOff>
      <xdr:row>393</xdr:row>
      <xdr:rowOff>7937</xdr:rowOff>
    </xdr:to>
    <xdr:sp macro="" textlink="">
      <xdr:nvSpPr>
        <xdr:cNvPr id="2" name="Text Box 8">
          <a:extLst>
            <a:ext uri="{FF2B5EF4-FFF2-40B4-BE49-F238E27FC236}">
              <a16:creationId xmlns:a16="http://schemas.microsoft.com/office/drawing/2014/main" id="{5F3EC049-CD8F-4563-995B-D1ADFF6916CB}"/>
            </a:ext>
          </a:extLst>
        </xdr:cNvPr>
        <xdr:cNvSpPr txBox="1">
          <a:spLocks noChangeArrowheads="1"/>
        </xdr:cNvSpPr>
      </xdr:nvSpPr>
      <xdr:spPr bwMode="auto">
        <a:xfrm>
          <a:off x="885825" y="75263057"/>
          <a:ext cx="296799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50292" rIns="0" bIns="0" anchor="t" upright="1"/>
        <a:lstStyle/>
        <a:p>
          <a:pPr algn="l" rtl="1">
            <a:defRPr sz="1000"/>
          </a:pPr>
          <a:r>
            <a:rPr lang="th-TH" sz="1400" b="0" i="0" strike="noStrike">
              <a:solidFill>
                <a:srgbClr val="FF0000"/>
              </a:solidFill>
              <a:latin typeface="Cordia New"/>
              <a:cs typeface="Cordia New"/>
            </a:rPr>
            <a:t>เดือน เม.ย.50 ลบออก</a:t>
          </a:r>
        </a:p>
      </xdr:txBody>
    </xdr:sp>
    <xdr:clientData/>
  </xdr:twoCellAnchor>
  <xdr:twoCellAnchor editAs="oneCell">
    <xdr:from>
      <xdr:col>26</xdr:col>
      <xdr:colOff>819150</xdr:colOff>
      <xdr:row>246</xdr:row>
      <xdr:rowOff>157596</xdr:rowOff>
    </xdr:from>
    <xdr:to>
      <xdr:col>33</xdr:col>
      <xdr:colOff>432954</xdr:colOff>
      <xdr:row>263</xdr:row>
      <xdr:rowOff>132818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C89DD25-E1FD-4A7E-A1CA-C5680417970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/>
        <a:srcRect l="37921" t="50562" r="17906" b="11766"/>
        <a:stretch/>
      </xdr:blipFill>
      <xdr:spPr>
        <a:xfrm>
          <a:off x="27778710" y="45961416"/>
          <a:ext cx="5504064" cy="3206102"/>
        </a:xfrm>
        <a:prstGeom prst="rect">
          <a:avLst/>
        </a:prstGeom>
      </xdr:spPr>
    </xdr:pic>
    <xdr:clientData/>
  </xdr:twoCellAnchor>
  <xdr:twoCellAnchor>
    <xdr:from>
      <xdr:col>12</xdr:col>
      <xdr:colOff>173182</xdr:colOff>
      <xdr:row>784</xdr:row>
      <xdr:rowOff>251114</xdr:rowOff>
    </xdr:from>
    <xdr:to>
      <xdr:col>12</xdr:col>
      <xdr:colOff>727363</xdr:colOff>
      <xdr:row>786</xdr:row>
      <xdr:rowOff>8660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A1E58243-B74E-4AD0-8A46-35B0821D0D9D}"/>
            </a:ext>
          </a:extLst>
        </xdr:cNvPr>
        <xdr:cNvCxnSpPr/>
      </xdr:nvCxnSpPr>
      <xdr:spPr bwMode="auto">
        <a:xfrm>
          <a:off x="13812982" y="152673974"/>
          <a:ext cx="554181" cy="306186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12</xdr:col>
      <xdr:colOff>121228</xdr:colOff>
      <xdr:row>783</xdr:row>
      <xdr:rowOff>43295</xdr:rowOff>
    </xdr:from>
    <xdr:to>
      <xdr:col>12</xdr:col>
      <xdr:colOff>684068</xdr:colOff>
      <xdr:row>784</xdr:row>
      <xdr:rowOff>25978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828D14F0-8434-4292-924F-410AD8D08AF5}"/>
            </a:ext>
          </a:extLst>
        </xdr:cNvPr>
        <xdr:cNvCxnSpPr/>
      </xdr:nvCxnSpPr>
      <xdr:spPr bwMode="auto">
        <a:xfrm flipV="1">
          <a:off x="13761028" y="152191835"/>
          <a:ext cx="562840" cy="257003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11</xdr:col>
      <xdr:colOff>17318</xdr:colOff>
      <xdr:row>781</xdr:row>
      <xdr:rowOff>155864</xdr:rowOff>
    </xdr:from>
    <xdr:to>
      <xdr:col>11</xdr:col>
      <xdr:colOff>355022</xdr:colOff>
      <xdr:row>781</xdr:row>
      <xdr:rowOff>155864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501E8D5D-90CC-4347-A67C-AB8F4C3D47A5}"/>
            </a:ext>
          </a:extLst>
        </xdr:cNvPr>
        <xdr:cNvCxnSpPr/>
      </xdr:nvCxnSpPr>
      <xdr:spPr bwMode="auto">
        <a:xfrm>
          <a:off x="12826538" y="151755764"/>
          <a:ext cx="337704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10</xdr:col>
      <xdr:colOff>588818</xdr:colOff>
      <xdr:row>781</xdr:row>
      <xdr:rowOff>251114</xdr:rowOff>
    </xdr:from>
    <xdr:to>
      <xdr:col>10</xdr:col>
      <xdr:colOff>753341</xdr:colOff>
      <xdr:row>782</xdr:row>
      <xdr:rowOff>233795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847DA99A-BAE4-46DA-BEF5-4DE9C6177F2F}"/>
            </a:ext>
          </a:extLst>
        </xdr:cNvPr>
        <xdr:cNvCxnSpPr/>
      </xdr:nvCxnSpPr>
      <xdr:spPr bwMode="auto">
        <a:xfrm flipH="1">
          <a:off x="11660678" y="151851014"/>
          <a:ext cx="164523" cy="257001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ATA/EXCEL/EMR96/Ann&#233;e%2096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DETAIL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ngineering/Reports/SO2/Report/2006/Monthly%20Report/so2Mar06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Engineering/Reports/SO2/Report/2004/Monthly%20Report/Sep04POI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172.26.16.173\ga&amp;foh\MONTHLY\%23RE_PLAN\BALANCE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A:/BLUE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AOSDFS01\BAR_FileShare\Work\Replacement%20Cost\2002\March0902\Paper%20to%20SK%20and%20CN\Naew\Valuation\TCRT\WINDOWS\TEMP\Pro43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5121.01%202010%20NAO%20GHG%20Emissions_RAM_May01_2011%20(PBC)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Engineering/Reports/SO2/Report/2007/Monthly%20Report/so2Dec0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Whitney/Documents/Clients/2008/Suncor/Deferred%20Bill%203/Info%20from%20Suncor%20FTP/Production/Production%20Accounting/2007%20SAP%20Monthend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po/Local%20Settings/Temporary%20Internet%20Files/OLK9/RO31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CO2/2011_DATA/2011-Q4-CO2%202011-monthly-update-rev%2002-power_wo%20KCC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Engineering/Reports/EII/Report/2002/EII%20Data_2002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po/Local%20Settings/Temporary%20Internet%20Files/OLK9/RO31JUNE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PRODUCT/Rackback%20Admin/Ro31/RO3105/AprRO31F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Month%20End/OSG/2008/2008%20SAP%20Monthend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Engineering/Data/Weekly%20Exchanger%20Survey/Temperature/Fouling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MR"/>
      <sheetName val="Tests"/>
    </sheetNames>
    <sheetDataSet>
      <sheetData sheetId="0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AIL"/>
      <sheetName val="COUNT_wh (2)"/>
      <sheetName val="COUNT_wh"/>
      <sheetName val="INVEN"/>
      <sheetName val="INVEN(TEST)"/>
      <sheetName val="COUNT_NNDC"/>
      <sheetName val="NTET2004 (DEC)"/>
      <sheetName val="NEG2004 (DEC)"/>
      <sheetName val="NEG2004 (DEC) (2)"/>
      <sheetName val="PLANBS3"/>
      <sheetName val="Group"/>
      <sheetName val="Min.-Max. Stock"/>
      <sheetName val="sales3level"/>
      <sheetName val="Macro5"/>
      <sheetName val="Sheet1"/>
      <sheetName val="Sheet1 (2)"/>
      <sheetName val="Sheet2"/>
      <sheetName val="Tax coupon"/>
      <sheetName val="PRO-TOTAL"/>
      <sheetName val="PGMMNG"/>
      <sheetName val="UPC_SKU"/>
      <sheetName val="ตารางคำนวณกระเบื้อง A"/>
      <sheetName val="DDL"/>
      <sheetName val="BAL"/>
      <sheetName val="55555"/>
      <sheetName val="ใบปะหน้าใหม่ Bidding"/>
      <sheetName val="ต้นไม้ทางเท้า"/>
      <sheetName val="SH-E"/>
      <sheetName val="Structure"/>
      <sheetName val="ลูกหนี้(เก่า)"/>
      <sheetName val="stat local"/>
      <sheetName val="Law data"/>
      <sheetName val="Index"/>
      <sheetName val="Volume Loco May 2015"/>
      <sheetName val="Summary"/>
      <sheetName val="Summary report"/>
      <sheetName val="JUNE"/>
      <sheetName val="Performance BP"/>
      <sheetName val="4.1CAPEX_Additional"/>
      <sheetName val="ADM_A"/>
      <sheetName val="JUNE1"/>
      <sheetName val="Admin"/>
      <sheetName val="CDC"/>
      <sheetName val="Estate"/>
      <sheetName val="Fire"/>
      <sheetName val="Guest"/>
      <sheetName val="Medical"/>
      <sheetName val="PR"/>
      <sheetName val="PRE"/>
      <sheetName val="Secutiry"/>
      <sheetName val="Waste"/>
      <sheetName val="CHE_A"/>
      <sheetName val="DESP_A"/>
      <sheetName val="ISO_A"/>
      <sheetName val="PC_A"/>
      <sheetName val="PM_A"/>
      <sheetName val="SHEET_A"/>
      <sheetName val="RECO_A"/>
      <sheetName val="YARD_A"/>
      <sheetName val="CHEMICAL"/>
      <sheetName val="DESPATCH"/>
      <sheetName val="Feb"/>
      <sheetName val="ISO"/>
      <sheetName val="PRODUCT"/>
      <sheetName val="PULP MILL"/>
      <sheetName val="SHEETING"/>
      <sheetName val="SODA"/>
      <sheetName val="YARD"/>
      <sheetName val="code"/>
      <sheetName val="MyWork"/>
      <sheetName val="data"/>
      <sheetName val="TYPE SD125"/>
      <sheetName val="Drop Down"/>
      <sheetName val="เลขห้อง"/>
      <sheetName val="เลขที่ห้องทั้งหมด (2)"/>
      <sheetName val="เลขที่ห้องทั้งหมด"/>
      <sheetName val="F13รายชื่อแยกfolio (2)"/>
      <sheetName val="F13รายชื่อแยกfolio"/>
      <sheetName val="F05เลขที่ห้อง+ชื่อคน"/>
      <sheetName val="F04เลขที่ห้อง+ค่าเช่า"/>
      <sheetName val="FEB 2007 "/>
      <sheetName val="MAR 2007"/>
      <sheetName val="APR 2007"/>
      <sheetName val="MAY 2007"/>
      <sheetName val="APR 2007-GTW"/>
      <sheetName val="MAY 2007 (2)"/>
      <sheetName val="MAY 2007-NUCH"/>
      <sheetName val="JUN 2007-NUCH "/>
      <sheetName val="JULY 2007-NUCH"/>
      <sheetName val="AUG 2007-NUCH "/>
      <sheetName val="AUG 2007"/>
      <sheetName val="ค่าเช่า ด.9"/>
      <sheetName val="ค่าเช่า ด.10"/>
      <sheetName val="Status update31.8.07"/>
      <sheetName val="Status update31.8.07 (2)"/>
      <sheetName val="ค่าเช่า ด.11"/>
      <sheetName val="ค่าเช่า ด.11 (2)"/>
      <sheetName val="G26"/>
      <sheetName val="Bill No. 2 - Carpark"/>
      <sheetName val="sheetNO"/>
      <sheetName val="คำชี้แจง"/>
      <sheetName val="SCG group"/>
      <sheetName val="com"/>
      <sheetName val="List"/>
      <sheetName val="43"/>
      <sheetName val="อ้างอิง"/>
      <sheetName val="2017"/>
      <sheetName val="Mapping"/>
      <sheetName val="Master"/>
      <sheetName val="Prhd"/>
      <sheetName val="Control"/>
      <sheetName val="Cost center"/>
      <sheetName val="Account code"/>
      <sheetName val="S-Plant"/>
      <sheetName val="Office_plants"/>
      <sheetName val="Chart"/>
      <sheetName val="Comapny Name"/>
      <sheetName val="Company Name"/>
      <sheetName val="Sheet3"/>
      <sheetName val="Driver"/>
      <sheetName val="ZPS02"/>
      <sheetName val="I-slab"/>
      <sheetName val="Goal"/>
      <sheetName val="PNT-QUOT-#3"/>
      <sheetName val="PNT-P3"/>
      <sheetName val="data validation"/>
      <sheetName val="Sheet5"/>
      <sheetName val="ห้ามลบ"/>
      <sheetName val="Zone"/>
      <sheetName val="Northeast"/>
      <sheetName val="2018"/>
      <sheetName val="Cases Actuals SAP"/>
      <sheetName val="Chilled Vol &amp; GS"/>
      <sheetName val="Master Query_SL"/>
      <sheetName val="Addresses"/>
      <sheetName val="PBSG Severance"/>
      <sheetName val="วัดใต้"/>
      <sheetName val="คำอธิบาย"/>
      <sheetName val="สาเหตุ Error "/>
      <sheetName val="SCG Chemicals group"/>
      <sheetName val="Ref"/>
      <sheetName val="Config"/>
      <sheetName val="Table Name"/>
      <sheetName val="FR"/>
      <sheetName val="Dont delete!!"/>
      <sheetName val="cost center name"/>
      <sheetName val="Vender list"/>
      <sheetName val="Production Queue GB"/>
      <sheetName val="Log CCR TG 3"/>
      <sheetName val="L410"/>
      <sheetName val="Month"/>
      <sheetName val="DTA"/>
      <sheetName val="2019"/>
      <sheetName val="Assumption"/>
      <sheetName val="Type ถูก House"/>
      <sheetName val="รายชื่อ"/>
      <sheetName val="TB(PY 2016)"/>
      <sheetName val="IS"/>
      <sheetName val="GL"/>
      <sheetName val="Risk Level"/>
      <sheetName val="Risk Category"/>
      <sheetName val="Business"/>
      <sheetName val="DD List"/>
      <sheetName val="Ms"/>
      <sheetName val="Variance"/>
      <sheetName val="Multi Rater"/>
      <sheetName val="#REF"/>
      <sheetName val="Status"/>
      <sheetName val="ชลทิพย์"/>
      <sheetName val="TP"/>
      <sheetName val="MasterTB"/>
      <sheetName val="F-1"/>
      <sheetName val="P300"/>
      <sheetName val="Materiality"/>
      <sheetName val="ดอกเบี้ย TR2560"/>
      <sheetName val="REPORT"/>
      <sheetName val="Trial Balance"/>
      <sheetName val="BS"/>
      <sheetName val="Accure"/>
      <sheetName val="X1"/>
      <sheetName val="instruction"/>
      <sheetName val="Forecast movement"/>
      <sheetName val="i_Setup"/>
      <sheetName val="O_PL Link"/>
      <sheetName val="i_actmth from SAP"/>
      <sheetName val="i_Actual by cc"/>
      <sheetName val="Fixed Selling"/>
      <sheetName val="SA_OT"/>
      <sheetName val="SA_WS_MAKRO"/>
      <sheetName val="SA_ASD"/>
      <sheetName val="SA_TM"/>
      <sheetName val="SA_Field"/>
      <sheetName val="SA_OP"/>
      <sheetName val="SA_BIS"/>
      <sheetName val="SA_CommFin"/>
      <sheetName val="SA_Bus"/>
      <sheetName val="SA_CC2"/>
      <sheetName val="SA_Cus"/>
      <sheetName val="BIS Selling"/>
      <sheetName val="SA_TT"/>
      <sheetName val="Uniform"/>
      <sheetName val="Total GA"/>
      <sheetName val="HR"/>
      <sheetName val="Fin_Control"/>
      <sheetName val="Fin_Plan"/>
      <sheetName val="Fin_RMC"/>
      <sheetName val="Fin_LPN"/>
      <sheetName val="Fin_RJN"/>
      <sheetName val="BIS"/>
      <sheetName val="BIS_Proj"/>
      <sheetName val="BIS_Common"/>
      <sheetName val="BIS_XChrg"/>
      <sheetName val="Mkt"/>
      <sheetName val="Exec"/>
      <sheetName val="Legal"/>
      <sheetName val="RD"/>
      <sheetName val="Facilities"/>
      <sheetName val="SAP_Proj"/>
      <sheetName val="2nd_Pnt"/>
      <sheetName val="Pallet_Frypk"/>
      <sheetName val="CA"/>
      <sheetName val="EHS"/>
      <sheetName val="CA only"/>
      <sheetName val="Legal only"/>
      <sheetName val="GACC2"/>
      <sheetName val="GACC3"/>
      <sheetName val="TH36022"/>
      <sheetName val="TH36023"/>
      <sheetName val="sub cost center"/>
      <sheetName val="GL_DBS"/>
      <sheetName val="OH CC_DBS"/>
      <sheetName val="Fin"/>
      <sheetName val="BIS G&amp;A"/>
      <sheetName val="2015 reconcile &amp; restate"/>
      <sheetName val="Consulting"/>
      <sheetName val="BIS_Common detail"/>
      <sheetName val="Total GA+BIS common"/>
      <sheetName val="HFM Line"/>
      <sheetName val="HFM Mapping"/>
      <sheetName val="Account"/>
      <sheetName val="T&amp;E sales cut"/>
      <sheetName val="Control - Consulting fee_SN (2)"/>
      <sheetName val="Master TB"/>
      <sheetName val="H300"/>
      <sheetName val="F-3"/>
      <sheetName val="K400"/>
      <sheetName val="CF weekly"/>
      <sheetName val="1.CF (M)(Ratchatewee)"/>
      <sheetName val="1.CF (M)(Rama4)"/>
      <sheetName val="1.CF (M) (TL10ph2)"/>
      <sheetName val=""/>
      <sheetName val="Reason"/>
      <sheetName val="stair"/>
      <sheetName val="SELL"/>
      <sheetName val="Sum-sys"/>
      <sheetName val="Cover"/>
      <sheetName val="Detail (2)"/>
      <sheetName val="DEATAIL KENTOCOST Sheet Low20MB"/>
      <sheetName val="Cover (2)"/>
      <sheetName val="Detail "/>
      <sheetName val="(PMCmaki)"/>
      <sheetName val="(COMPmaki)"/>
      <sheetName val="SCOPE OF WORK"/>
      <sheetName val="VENDOR"/>
      <sheetName val="Unit price"/>
      <sheetName val="BG"/>
      <sheetName val="received net-BG"/>
      <sheetName val="Summary BG Code"/>
      <sheetName val="Dropdown list "/>
      <sheetName val="V1"/>
      <sheetName val="V7 Confirm RPT"/>
      <sheetName val="S300"/>
      <sheetName val="แยกงบ"/>
      <sheetName val="beer-indstry"/>
      <sheetName val="Master COA V21"/>
      <sheetName val="summary_ee"/>
      <sheetName val="ee_unit type"/>
      <sheetName val="ee_build "/>
      <sheetName val="Summary 31Mar'20"/>
      <sheetName val="COUNT_wh_(2)"/>
      <sheetName val="NTET2004_(DEC)"/>
      <sheetName val="NEG2004_(DEC)"/>
      <sheetName val="NEG2004_(DEC)_(2)"/>
      <sheetName val="Min_-Max__Stock"/>
      <sheetName val="Tax_coupon"/>
      <sheetName val="Sheet1_(2)"/>
      <sheetName val="ตารางคำนวณกระเบื้อง_A"/>
      <sheetName val="ใบปะหน้าใหม่_Bidding"/>
      <sheetName val="Law_data"/>
      <sheetName val="stat_local"/>
      <sheetName val="Volume_Loco_May_2015"/>
      <sheetName val="Summary_report"/>
      <sheetName val="Performance_BP"/>
      <sheetName val="4_1CAPEX_Additional"/>
      <sheetName val="PULP_MILL"/>
      <sheetName val="TYPE_SD125"/>
      <sheetName val="Drop_Down"/>
      <sheetName val="เลขที่ห้องทั้งหมด_(2)"/>
      <sheetName val="F13รายชื่อแยกfolio_(2)"/>
      <sheetName val="FEB_2007_"/>
      <sheetName val="MAR_2007"/>
      <sheetName val="APR_2007"/>
      <sheetName val="MAY_2007"/>
      <sheetName val="APR_2007-GTW"/>
      <sheetName val="MAY_2007_(2)"/>
      <sheetName val="MAY_2007-NUCH"/>
      <sheetName val="JUN_2007-NUCH_"/>
      <sheetName val="JULY_2007-NUCH"/>
      <sheetName val="AUG_2007-NUCH_"/>
      <sheetName val="AUG_2007"/>
      <sheetName val="ค่าเช่า_ด_9"/>
      <sheetName val="ค่าเช่า_ด_10"/>
      <sheetName val="Status_update31_8_07"/>
      <sheetName val="Status_update31_8_07_(2)"/>
      <sheetName val="ค่าเช่า_ด_11"/>
      <sheetName val="ค่าเช่า_ด_11_(2)"/>
      <sheetName val="Bill_No__2_-_Carpark"/>
      <sheetName val="SCG_group"/>
      <sheetName val="Comapny_Name"/>
      <sheetName val="Cost_center"/>
      <sheetName val="Account_code"/>
      <sheetName val="Company_Name"/>
      <sheetName val="data_validation"/>
      <sheetName val="Cases_Actuals_SAP"/>
      <sheetName val="Chilled_Vol_&amp;_GS"/>
      <sheetName val="Master_Query_SL"/>
      <sheetName val="PBSG_Severance"/>
      <sheetName val="สาเหตุ_Error_"/>
      <sheetName val="Table_Name"/>
      <sheetName val="SCG_Chemicals_group"/>
      <sheetName val="Dont_delete!!"/>
      <sheetName val="Vender_list"/>
      <sheetName val="Production_Queue_GB"/>
      <sheetName val="cost_center_name"/>
      <sheetName val="Log_CCR_TG_3"/>
      <sheetName val="Type_ถูก_House"/>
      <sheetName val="TB(PY_2016)"/>
      <sheetName val="Risk_Level"/>
      <sheetName val="Risk_Category"/>
      <sheetName val="DD_List"/>
      <sheetName val="Multi_Rater"/>
      <sheetName val="ดอกเบี้ย_TR2560"/>
      <sheetName val="Trial_Balance"/>
      <sheetName val="Forecast_movement"/>
      <sheetName val="O_PL_Link"/>
      <sheetName val="i_actmth_from_SAP"/>
      <sheetName val="i_Actual_by_cc"/>
      <sheetName val="Fixed_Selling"/>
      <sheetName val="BIS_Selling"/>
      <sheetName val="Total_GA"/>
      <sheetName val="CA_only"/>
      <sheetName val="Legal_only"/>
      <sheetName val="sub_cost_center"/>
      <sheetName val="OH_CC_DBS"/>
      <sheetName val="BIS_G&amp;A"/>
      <sheetName val="2015_reconcile_&amp;_restate"/>
      <sheetName val="BIS_Common_detail"/>
      <sheetName val="Total_GA+BIS_common"/>
      <sheetName val="HFM_Line"/>
      <sheetName val="HFM_Mapping"/>
      <sheetName val="T&amp;E_sales_cut"/>
      <sheetName val="Control_-_Consulting_fee_SN_(2)"/>
      <sheetName val="Master_TB"/>
      <sheetName val="CF_weekly"/>
      <sheetName val="1_CF_(M)(Ratchatewee)"/>
      <sheetName val="1_CF_(M)(Rama4)"/>
      <sheetName val="1_CF_(M)_(TL10ph2)"/>
      <sheetName val="Dropdown_list_"/>
      <sheetName val="Detail_(2)"/>
      <sheetName val="DEATAIL_KENTOCOST_Sheet_Low20MB"/>
      <sheetName val="Cover_(2)"/>
      <sheetName val="Detail_"/>
      <sheetName val="SCOPE_OF_WORK"/>
      <sheetName val="Unit_price"/>
      <sheetName val="received_net-BG"/>
      <sheetName val="Summary_BG_Code"/>
      <sheetName val="V7_Confirm_RPT"/>
      <sheetName val="Cost history sheet"/>
      <sheetName val="Scope of work "/>
      <sheetName val="Detail (CMM)"/>
      <sheetName val="SUM KENTO COST LOW 20MB."/>
      <sheetName val="Data-ac"/>
      <sheetName val="Data-san"/>
      <sheetName val="SUM KENTO COST REPORT 20MB.UP"/>
      <sheetName val="DETAIL KENTOCOST Sheet 20MB.UP"/>
      <sheetName val="00Summary"/>
      <sheetName val="Condition"/>
      <sheetName val="B-Prelim"/>
      <sheetName val="EE-HOTEL"/>
      <sheetName val="SN&amp;FP-HOTEL"/>
      <sheetName val="MVAC-HOTEL"/>
      <sheetName val="EE-BOH"/>
      <sheetName val="SN&amp;FP-BOH"/>
      <sheetName val="MVAC-BOH"/>
      <sheetName val="S3 Architectural"/>
      <sheetName val="ESS Performance 2020+2021"/>
      <sheetName val="2020"/>
      <sheetName val="TTL"/>
      <sheetName val="Reference(do not delete)"/>
      <sheetName val="A"/>
      <sheetName val="Parameters"/>
      <sheetName val="COUNT_wh_(2)1"/>
      <sheetName val="NTET2004_(DEC)1"/>
      <sheetName val="NEG2004_(DEC)1"/>
      <sheetName val="NEG2004_(DEC)_(2)1"/>
      <sheetName val="Min_-Max__Stock1"/>
      <sheetName val="Tax_coupon1"/>
      <sheetName val="Sheet1_(2)1"/>
      <sheetName val="ตารางคำนวณกระเบื้อง_A1"/>
      <sheetName val="ใบปะหน้าใหม่_Bidding1"/>
      <sheetName val="Law_data1"/>
      <sheetName val="stat_local1"/>
      <sheetName val="Volume_Loco_May_20151"/>
      <sheetName val="Summary_report1"/>
      <sheetName val="Performance_BP1"/>
      <sheetName val="PULP_MILL1"/>
      <sheetName val="4_1CAPEX_Additional1"/>
      <sheetName val="TYPE_SD1251"/>
      <sheetName val="Drop_Down1"/>
      <sheetName val="เลขที่ห้องทั้งหมด_(2)1"/>
      <sheetName val="F13รายชื่อแยกfolio_(2)1"/>
      <sheetName val="FEB_2007_1"/>
      <sheetName val="MAR_20071"/>
      <sheetName val="APR_20071"/>
      <sheetName val="MAY_20071"/>
      <sheetName val="APR_2007-GTW1"/>
      <sheetName val="MAY_2007_(2)1"/>
      <sheetName val="MAY_2007-NUCH1"/>
      <sheetName val="JUN_2007-NUCH_1"/>
      <sheetName val="JULY_2007-NUCH1"/>
      <sheetName val="AUG_2007-NUCH_1"/>
      <sheetName val="AUG_20071"/>
      <sheetName val="ค่าเช่า_ด_91"/>
      <sheetName val="ค่าเช่า_ด_101"/>
      <sheetName val="Status_update31_8_071"/>
      <sheetName val="Status_update31_8_07_(2)1"/>
      <sheetName val="ค่าเช่า_ด_111"/>
      <sheetName val="ค่าเช่า_ด_11_(2)1"/>
      <sheetName val="Bill_No__2_-_Carpark1"/>
      <sheetName val="SCG_group1"/>
      <sheetName val="Cost_center1"/>
      <sheetName val="Account_code1"/>
      <sheetName val="Comapny_Name1"/>
      <sheetName val="Company_Name1"/>
      <sheetName val="data_validation1"/>
      <sheetName val="Cases_Actuals_SAP1"/>
      <sheetName val="Chilled_Vol_&amp;_GS1"/>
      <sheetName val="Master_Query_SL1"/>
      <sheetName val="PBSG_Severance1"/>
      <sheetName val="สาเหตุ_Error_1"/>
      <sheetName val="SCG_Chemicals_group1"/>
      <sheetName val="Table_Name1"/>
      <sheetName val="Dont_delete!!1"/>
      <sheetName val="Vender_list1"/>
      <sheetName val="Production_Queue_GB1"/>
      <sheetName val="cost_center_name1"/>
      <sheetName val="Log_CCR_TG_31"/>
      <sheetName val="Type_ถูก_House1"/>
      <sheetName val="TB(PY_2016)1"/>
      <sheetName val="Risk_Level1"/>
      <sheetName val="Risk_Category1"/>
      <sheetName val="DD_List1"/>
      <sheetName val="Multi_Rater1"/>
      <sheetName val="ดอกเบี้ย_TR25601"/>
      <sheetName val="Trial_Balance1"/>
      <sheetName val="Forecast_movement1"/>
      <sheetName val="O_PL_Link1"/>
      <sheetName val="i_actmth_from_SAP1"/>
      <sheetName val="i_Actual_by_cc1"/>
      <sheetName val="Fixed_Selling1"/>
      <sheetName val="BIS_Selling1"/>
      <sheetName val="Total_GA1"/>
      <sheetName val="CA_only1"/>
      <sheetName val="Legal_only1"/>
      <sheetName val="sub_cost_center1"/>
      <sheetName val="OH_CC_DBS1"/>
      <sheetName val="BIS_G&amp;A1"/>
      <sheetName val="2015_reconcile_&amp;_restate1"/>
      <sheetName val="BIS_Common_detail1"/>
      <sheetName val="Total_GA+BIS_common1"/>
      <sheetName val="HFM_Line1"/>
      <sheetName val="HFM_Mapping1"/>
      <sheetName val="T&amp;E_sales_cut1"/>
      <sheetName val="Control_-_Consulting_fee_SN_(21"/>
      <sheetName val="Master_TB1"/>
      <sheetName val="CF_weekly1"/>
      <sheetName val="1_CF_(M)(Ratchatewee)1"/>
      <sheetName val="1_CF_(M)(Rama4)1"/>
      <sheetName val="1_CF_(M)_(TL10ph2)1"/>
      <sheetName val="Dropdown_list_1"/>
      <sheetName val="Detail_(2)1"/>
      <sheetName val="DEATAIL_KENTOCOST_Sheet_Low20M1"/>
      <sheetName val="Cover_(2)1"/>
      <sheetName val="Detail_1"/>
      <sheetName val="SCOPE_OF_WORK1"/>
      <sheetName val="Unit_price1"/>
      <sheetName val="received_net-BG1"/>
      <sheetName val="Summary_BG_Code1"/>
      <sheetName val="V7_Confirm_RPT1"/>
      <sheetName val="Summary_31Mar'20"/>
      <sheetName val="Cost_history_sheet"/>
      <sheetName val="Scope_of_work_"/>
      <sheetName val="Detail_(CMM)"/>
      <sheetName val="SUM_KENTO_COST_LOW_20MB_"/>
      <sheetName val="SUM_KENTO_COST_REPORT_20MB_UP"/>
      <sheetName val="DETAIL_KENTOCOST_Sheet_20MB_UP"/>
      <sheetName val="Master_COA_V21"/>
      <sheetName val="ee_unit_type"/>
      <sheetName val="ee_build_"/>
      <sheetName val="S3_Architectural"/>
      <sheetName val="ESS_Performance_2020+2021"/>
      <sheetName val="PGM_2LEVYTD"/>
      <sheetName val="Mat"/>
      <sheetName val="Reference(do_not_delete)"/>
      <sheetName val="LS"/>
      <sheetName val="S330 Increase salary rate"/>
      <sheetName val="MasterBrand"/>
      <sheetName val="data บัญชี"/>
      <sheetName val="ฐานข้อมูล"/>
      <sheetName val="Data (2)"/>
      <sheetName val="masterEO IO"/>
      <sheetName val="กำหนดค่า"/>
      <sheetName val="Employee EN"/>
      <sheetName val="Mapping account"/>
      <sheetName val="TL"/>
      <sheetName val="ไม่ใช้"/>
      <sheetName val="ใช้หน้านี้"/>
      <sheetName val="S-CUVE-2_14_M"/>
      <sheetName val="61"/>
      <sheetName val="62"/>
      <sheetName val="63"/>
      <sheetName val="64"/>
      <sheetName val="65"/>
      <sheetName val="66"/>
      <sheetName val="67"/>
      <sheetName val="68"/>
      <sheetName val="69"/>
      <sheetName val="70"/>
      <sheetName val="rate"/>
      <sheetName val="Data_2"/>
      <sheetName val="설계내역서"/>
      <sheetName val="Discounted_Cash_Flow"/>
      <sheetName val="6_ข้อมูลวัสดุ-ค่าดำเนิน"/>
      <sheetName val="K_Suporn"/>
      <sheetName val="บมจ_พฤกษา"/>
      <sheetName val="บ_พนาลี"/>
      <sheetName val="บ_พุทธชาด"/>
      <sheetName val="บ_เกสร"/>
      <sheetName val="สรุป_PS"/>
      <sheetName val="สรุป_PNL"/>
      <sheetName val="สรุป_PTC"/>
      <sheetName val="สรุป_KS"/>
      <sheetName val="IP_Land"/>
      <sheetName val="S-CUVE-2 14 M"/>
      <sheetName val="Discounted Cash Flow"/>
      <sheetName val="6.ข้อมูลวัสดุ-ค่าดำเนิน"/>
      <sheetName val="K.Suporn"/>
      <sheetName val="บมจ.พฤกษา"/>
      <sheetName val="บ.พนาลี"/>
      <sheetName val="บ.พุทธชาด"/>
      <sheetName val="บ.เกสร"/>
      <sheetName val="สรุป PS"/>
      <sheetName val="สรุป PNL"/>
      <sheetName val="สรุป PTC"/>
      <sheetName val="สรุป KS"/>
      <sheetName val="IP Land"/>
      <sheetName val="発停サイクル表"/>
      <sheetName val="NOT"/>
      <sheetName val="Wkgs_BS Lead"/>
      <sheetName val="ZA110 Sale"/>
      <sheetName val="FS"/>
      <sheetName val="Sum"/>
      <sheetName val="Sec.1.1 Site clearanceworks"/>
      <sheetName val="เงื่อนไขการเสนอราคา"/>
      <sheetName val="VE LIST"/>
      <sheetName val="Sec.0"/>
      <sheetName val="Sec.1"/>
      <sheetName val="Arch unit rate"/>
      <sheetName val="ID unit rate"/>
      <sheetName val="Sec.2 "/>
      <sheetName val="sec.3.1"/>
      <sheetName val="sec.3.2"/>
      <sheetName val="sec.3.3"/>
      <sheetName val="sec.3.4"/>
      <sheetName val="Sec.4"/>
      <sheetName val="Sec.5"/>
      <sheetName val="Sec. 6"/>
      <sheetName val="Sec.7"/>
      <sheetName val="TT-2"/>
      <sheetName val="코드관리"/>
      <sheetName val="SUM-AIR-Submit"/>
      <sheetName val="KKC Brkdwn"/>
      <sheetName val="SPT vs PHI"/>
      <sheetName val="escon"/>
      <sheetName val="Store"/>
      <sheetName val="JobSetup"/>
      <sheetName val="Proposal Form"/>
      <sheetName val="BQ-Ext  "/>
      <sheetName val="Sch 2"/>
      <sheetName val="Commun"/>
      <sheetName val="Mar"/>
      <sheetName val="Apr"/>
      <sheetName val="May"/>
      <sheetName val="Jan"/>
      <sheetName val="MD_R"/>
      <sheetName val="CELL_A"/>
      <sheetName val="ENV_A"/>
      <sheetName val="PG_A"/>
      <sheetName val="MD_A"/>
      <sheetName val="QA&amp;R_A"/>
      <sheetName val="RMP_A"/>
      <sheetName val="RMZ_A"/>
      <sheetName val="ENV_R"/>
      <sheetName val="PG_R"/>
      <sheetName val="CELL_R"/>
      <sheetName val="QA&amp;R_R"/>
      <sheetName val="RMP_R"/>
      <sheetName val="RMZ_R"/>
      <sheetName val="Raw_data"/>
      <sheetName val="data_steam"/>
      <sheetName val="asset"/>
      <sheetName val="Validation"/>
      <sheetName val="STart"/>
      <sheetName val="DataValidation_NotDelete"/>
      <sheetName val="マスタ"/>
      <sheetName val="Demand"/>
      <sheetName val="Occ"/>
      <sheetName val="สรุป"/>
      <sheetName val="interest income from VMI"/>
      <sheetName val="interest payable to PSH"/>
      <sheetName val="Aging"/>
      <sheetName val="April"/>
      <sheetName val="March"/>
      <sheetName val="M-14"/>
      <sheetName val="M-92"/>
      <sheetName val="M-19"/>
      <sheetName val="M-49"/>
      <sheetName val="M-12"/>
      <sheetName val="M-3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>
        <row r="3">
          <cell r="BC3" t="str">
            <v>QUOTATION  NO.   :</v>
          </cell>
        </row>
      </sheetData>
      <sheetData sheetId="280">
        <row r="3">
          <cell r="BC3" t="str">
            <v>QUOTATION  NO.   :</v>
          </cell>
        </row>
      </sheetData>
      <sheetData sheetId="281">
        <row r="3">
          <cell r="BC3" t="str">
            <v>QUOTATION  NO.   :</v>
          </cell>
        </row>
      </sheetData>
      <sheetData sheetId="282">
        <row r="3">
          <cell r="BC3" t="str">
            <v>QUOTATION  NO.   :</v>
          </cell>
        </row>
      </sheetData>
      <sheetData sheetId="283">
        <row r="3">
          <cell r="BC3" t="str">
            <v>QUOTATION  NO.   :</v>
          </cell>
        </row>
      </sheetData>
      <sheetData sheetId="284">
        <row r="3">
          <cell r="BC3" t="str">
            <v>QUOTATION  NO.   :</v>
          </cell>
        </row>
      </sheetData>
      <sheetData sheetId="285">
        <row r="3">
          <cell r="BC3" t="str">
            <v>QUOTATION  NO.   :</v>
          </cell>
        </row>
      </sheetData>
      <sheetData sheetId="286">
        <row r="3">
          <cell r="BC3" t="str">
            <v>QUOTATION  NO.   :</v>
          </cell>
        </row>
      </sheetData>
      <sheetData sheetId="287">
        <row r="3">
          <cell r="BC3" t="str">
            <v>QUOTATION  NO.   :</v>
          </cell>
        </row>
      </sheetData>
      <sheetData sheetId="288">
        <row r="3">
          <cell r="BC3" t="str">
            <v>QUOTATION  NO.   :</v>
          </cell>
        </row>
      </sheetData>
      <sheetData sheetId="289">
        <row r="3">
          <cell r="BC3" t="str">
            <v>QUOTATION  NO.   :</v>
          </cell>
        </row>
      </sheetData>
      <sheetData sheetId="290">
        <row r="3">
          <cell r="BC3" t="str">
            <v>QUOTATION  NO.   :</v>
          </cell>
        </row>
      </sheetData>
      <sheetData sheetId="291">
        <row r="3">
          <cell r="BC3" t="str">
            <v>QUOTATION  NO.   :</v>
          </cell>
        </row>
      </sheetData>
      <sheetData sheetId="292">
        <row r="3">
          <cell r="BC3" t="str">
            <v>QUOTATION  NO.   :</v>
          </cell>
        </row>
      </sheetData>
      <sheetData sheetId="293">
        <row r="3">
          <cell r="BC3" t="str">
            <v>QUOTATION  NO.   :</v>
          </cell>
        </row>
      </sheetData>
      <sheetData sheetId="294">
        <row r="3">
          <cell r="BC3" t="str">
            <v>QUOTATION  NO.   :</v>
          </cell>
        </row>
      </sheetData>
      <sheetData sheetId="295">
        <row r="3">
          <cell r="BC3" t="str">
            <v>QUOTATION  NO.   :</v>
          </cell>
        </row>
      </sheetData>
      <sheetData sheetId="296">
        <row r="3">
          <cell r="BC3" t="str">
            <v>QUOTATION  NO.   :</v>
          </cell>
        </row>
      </sheetData>
      <sheetData sheetId="297">
        <row r="3">
          <cell r="BC3" t="str">
            <v>QUOTATION  NO.   :</v>
          </cell>
        </row>
      </sheetData>
      <sheetData sheetId="298">
        <row r="3">
          <cell r="BC3" t="str">
            <v>QUOTATION  NO.   :</v>
          </cell>
        </row>
      </sheetData>
      <sheetData sheetId="299">
        <row r="3">
          <cell r="BC3" t="str">
            <v>QUOTATION  NO.   :</v>
          </cell>
        </row>
      </sheetData>
      <sheetData sheetId="300">
        <row r="3">
          <cell r="BC3" t="str">
            <v>QUOTATION  NO.   :</v>
          </cell>
        </row>
      </sheetData>
      <sheetData sheetId="301">
        <row r="3">
          <cell r="BC3" t="str">
            <v>QUOTATION  NO.   :</v>
          </cell>
        </row>
      </sheetData>
      <sheetData sheetId="302">
        <row r="3">
          <cell r="BC3" t="str">
            <v>QUOTATION  NO.   :</v>
          </cell>
        </row>
      </sheetData>
      <sheetData sheetId="303">
        <row r="3">
          <cell r="BC3" t="str">
            <v>QUOTATION  NO.   :</v>
          </cell>
        </row>
      </sheetData>
      <sheetData sheetId="304">
        <row r="3">
          <cell r="BC3" t="str">
            <v>QUOTATION  NO.   :</v>
          </cell>
        </row>
      </sheetData>
      <sheetData sheetId="305">
        <row r="3">
          <cell r="BC3" t="str">
            <v>QUOTATION  NO.   :</v>
          </cell>
        </row>
      </sheetData>
      <sheetData sheetId="306">
        <row r="3">
          <cell r="BC3" t="str">
            <v>QUOTATION  NO.   :</v>
          </cell>
        </row>
      </sheetData>
      <sheetData sheetId="307">
        <row r="3">
          <cell r="BC3" t="str">
            <v>QUOTATION  NO.   :</v>
          </cell>
        </row>
      </sheetData>
      <sheetData sheetId="308">
        <row r="3">
          <cell r="BC3" t="str">
            <v>QUOTATION  NO.   :</v>
          </cell>
        </row>
      </sheetData>
      <sheetData sheetId="309">
        <row r="3">
          <cell r="BC3" t="str">
            <v>QUOTATION  NO.   :</v>
          </cell>
        </row>
      </sheetData>
      <sheetData sheetId="310">
        <row r="3">
          <cell r="BC3" t="str">
            <v>QUOTATION  NO.   :</v>
          </cell>
        </row>
      </sheetData>
      <sheetData sheetId="311">
        <row r="3">
          <cell r="BC3" t="str">
            <v>QUOTATION  NO.   :</v>
          </cell>
        </row>
      </sheetData>
      <sheetData sheetId="312">
        <row r="3">
          <cell r="BC3" t="str">
            <v>QUOTATION  NO.   :</v>
          </cell>
        </row>
      </sheetData>
      <sheetData sheetId="313">
        <row r="3">
          <cell r="BC3" t="str">
            <v>QUOTATION  NO.   :</v>
          </cell>
        </row>
      </sheetData>
      <sheetData sheetId="314">
        <row r="3">
          <cell r="BC3" t="str">
            <v>QUOTATION  NO.   :</v>
          </cell>
        </row>
      </sheetData>
      <sheetData sheetId="315">
        <row r="3">
          <cell r="BC3" t="str">
            <v>QUOTATION  NO.   :</v>
          </cell>
        </row>
      </sheetData>
      <sheetData sheetId="316">
        <row r="3">
          <cell r="BC3" t="str">
            <v>QUOTATION  NO.   :</v>
          </cell>
        </row>
      </sheetData>
      <sheetData sheetId="317">
        <row r="3">
          <cell r="BC3" t="str">
            <v>QUOTATION  NO.   :</v>
          </cell>
        </row>
      </sheetData>
      <sheetData sheetId="318">
        <row r="3">
          <cell r="BC3" t="str">
            <v>QUOTATION  NO.   :</v>
          </cell>
        </row>
      </sheetData>
      <sheetData sheetId="319">
        <row r="3">
          <cell r="BC3" t="str">
            <v>QUOTATION  NO.   :</v>
          </cell>
        </row>
      </sheetData>
      <sheetData sheetId="320">
        <row r="3">
          <cell r="BC3" t="str">
            <v>QUOTATION  NO.   :</v>
          </cell>
        </row>
      </sheetData>
      <sheetData sheetId="321">
        <row r="3">
          <cell r="BC3" t="str">
            <v>QUOTATION  NO.   :</v>
          </cell>
        </row>
      </sheetData>
      <sheetData sheetId="322">
        <row r="3">
          <cell r="BC3" t="str">
            <v>QUOTATION  NO.   :</v>
          </cell>
        </row>
      </sheetData>
      <sheetData sheetId="323">
        <row r="3">
          <cell r="BC3" t="str">
            <v>QUOTATION  NO.   :</v>
          </cell>
        </row>
      </sheetData>
      <sheetData sheetId="324">
        <row r="3">
          <cell r="BC3" t="str">
            <v>QUOTATION  NO.   :</v>
          </cell>
        </row>
      </sheetData>
      <sheetData sheetId="325">
        <row r="3">
          <cell r="BC3" t="str">
            <v>QUOTATION  NO.   :</v>
          </cell>
        </row>
      </sheetData>
      <sheetData sheetId="326">
        <row r="3">
          <cell r="BC3" t="str">
            <v>QUOTATION  NO.   :</v>
          </cell>
        </row>
      </sheetData>
      <sheetData sheetId="327">
        <row r="3">
          <cell r="BC3" t="str">
            <v>QUOTATION  NO.   :</v>
          </cell>
        </row>
      </sheetData>
      <sheetData sheetId="328">
        <row r="3">
          <cell r="BC3" t="str">
            <v>QUOTATION  NO.   :</v>
          </cell>
        </row>
      </sheetData>
      <sheetData sheetId="329">
        <row r="3">
          <cell r="BC3" t="str">
            <v>QUOTATION  NO.   :</v>
          </cell>
        </row>
      </sheetData>
      <sheetData sheetId="330">
        <row r="3">
          <cell r="BC3" t="str">
            <v>QUOTATION  NO.   :</v>
          </cell>
        </row>
      </sheetData>
      <sheetData sheetId="331">
        <row r="3">
          <cell r="BC3" t="str">
            <v>QUOTATION  NO.   :</v>
          </cell>
        </row>
      </sheetData>
      <sheetData sheetId="332">
        <row r="3">
          <cell r="BC3" t="str">
            <v>QUOTATION  NO.   :</v>
          </cell>
        </row>
      </sheetData>
      <sheetData sheetId="333">
        <row r="3">
          <cell r="BC3" t="str">
            <v>QUOTATION  NO.   :</v>
          </cell>
        </row>
      </sheetData>
      <sheetData sheetId="334">
        <row r="3">
          <cell r="BC3" t="str">
            <v>QUOTATION  NO.   :</v>
          </cell>
        </row>
      </sheetData>
      <sheetData sheetId="335">
        <row r="3">
          <cell r="BC3" t="str">
            <v>QUOTATION  NO.   :</v>
          </cell>
        </row>
      </sheetData>
      <sheetData sheetId="336">
        <row r="3">
          <cell r="BC3" t="str">
            <v>QUOTATION  NO.   :</v>
          </cell>
        </row>
      </sheetData>
      <sheetData sheetId="337">
        <row r="3">
          <cell r="BC3" t="str">
            <v>QUOTATION  NO.   :</v>
          </cell>
        </row>
      </sheetData>
      <sheetData sheetId="338">
        <row r="3">
          <cell r="BC3" t="str">
            <v>QUOTATION  NO.   :</v>
          </cell>
        </row>
      </sheetData>
      <sheetData sheetId="339">
        <row r="3">
          <cell r="BC3" t="str">
            <v>QUOTATION  NO.   :</v>
          </cell>
        </row>
      </sheetData>
      <sheetData sheetId="340">
        <row r="3">
          <cell r="BC3" t="str">
            <v>QUOTATION  NO.   :</v>
          </cell>
        </row>
      </sheetData>
      <sheetData sheetId="341">
        <row r="3">
          <cell r="BC3" t="str">
            <v>QUOTATION  NO.   :</v>
          </cell>
        </row>
      </sheetData>
      <sheetData sheetId="342">
        <row r="3">
          <cell r="BC3" t="str">
            <v>QUOTATION  NO.   :</v>
          </cell>
        </row>
      </sheetData>
      <sheetData sheetId="343">
        <row r="3">
          <cell r="BC3" t="str">
            <v>QUOTATION  NO.   :</v>
          </cell>
        </row>
      </sheetData>
      <sheetData sheetId="344">
        <row r="3">
          <cell r="BC3" t="str">
            <v>QUOTATION  NO.   :</v>
          </cell>
        </row>
      </sheetData>
      <sheetData sheetId="345">
        <row r="3">
          <cell r="BC3" t="str">
            <v>QUOTATION  NO.   :</v>
          </cell>
        </row>
      </sheetData>
      <sheetData sheetId="346">
        <row r="3">
          <cell r="BC3" t="str">
            <v>QUOTATION  NO.   :</v>
          </cell>
        </row>
      </sheetData>
      <sheetData sheetId="347">
        <row r="3">
          <cell r="BC3" t="str">
            <v>QUOTATION  NO.   :</v>
          </cell>
        </row>
      </sheetData>
      <sheetData sheetId="348">
        <row r="3">
          <cell r="BC3" t="str">
            <v>QUOTATION  NO.   :</v>
          </cell>
        </row>
      </sheetData>
      <sheetData sheetId="349">
        <row r="3">
          <cell r="BC3" t="str">
            <v>QUOTATION  NO.   :</v>
          </cell>
        </row>
      </sheetData>
      <sheetData sheetId="350">
        <row r="3">
          <cell r="BC3" t="str">
            <v>QUOTATION  NO.   :</v>
          </cell>
        </row>
      </sheetData>
      <sheetData sheetId="351">
        <row r="3">
          <cell r="BC3" t="str">
            <v>QUOTATION  NO.   :</v>
          </cell>
        </row>
      </sheetData>
      <sheetData sheetId="352">
        <row r="3">
          <cell r="BC3" t="str">
            <v>QUOTATION  NO.   :</v>
          </cell>
        </row>
      </sheetData>
      <sheetData sheetId="353">
        <row r="3">
          <cell r="BC3" t="str">
            <v>QUOTATION  NO.   :</v>
          </cell>
        </row>
      </sheetData>
      <sheetData sheetId="354">
        <row r="3">
          <cell r="BC3" t="str">
            <v>QUOTATION  NO.   :</v>
          </cell>
        </row>
      </sheetData>
      <sheetData sheetId="355">
        <row r="3">
          <cell r="BC3" t="str">
            <v>QUOTATION  NO.   :</v>
          </cell>
        </row>
      </sheetData>
      <sheetData sheetId="356">
        <row r="3">
          <cell r="BC3" t="str">
            <v>QUOTATION  NO.   :</v>
          </cell>
        </row>
      </sheetData>
      <sheetData sheetId="357">
        <row r="3">
          <cell r="BC3" t="str">
            <v>QUOTATION  NO.   :</v>
          </cell>
        </row>
      </sheetData>
      <sheetData sheetId="358">
        <row r="3">
          <cell r="BC3" t="str">
            <v>QUOTATION  NO.   :</v>
          </cell>
        </row>
      </sheetData>
      <sheetData sheetId="359">
        <row r="3">
          <cell r="BC3" t="str">
            <v>QUOTATION  NO.   :</v>
          </cell>
        </row>
      </sheetData>
      <sheetData sheetId="360">
        <row r="3">
          <cell r="BC3" t="str">
            <v>QUOTATION  NO.   :</v>
          </cell>
        </row>
      </sheetData>
      <sheetData sheetId="361">
        <row r="3">
          <cell r="BC3" t="str">
            <v>QUOTATION  NO.   :</v>
          </cell>
        </row>
      </sheetData>
      <sheetData sheetId="362">
        <row r="3">
          <cell r="BC3" t="str">
            <v>QUOTATION  NO.   :</v>
          </cell>
        </row>
      </sheetData>
      <sheetData sheetId="363">
        <row r="3">
          <cell r="BC3" t="str">
            <v>QUOTATION  NO.   :</v>
          </cell>
        </row>
      </sheetData>
      <sheetData sheetId="364">
        <row r="3">
          <cell r="BC3" t="str">
            <v>QUOTATION  NO.   :</v>
          </cell>
        </row>
      </sheetData>
      <sheetData sheetId="365">
        <row r="3">
          <cell r="BC3" t="str">
            <v>QUOTATION  NO.   :</v>
          </cell>
        </row>
      </sheetData>
      <sheetData sheetId="366">
        <row r="3">
          <cell r="BC3" t="str">
            <v>QUOTATION  NO.   :</v>
          </cell>
        </row>
      </sheetData>
      <sheetData sheetId="367">
        <row r="3">
          <cell r="BC3" t="str">
            <v>QUOTATION  NO.   :</v>
          </cell>
        </row>
      </sheetData>
      <sheetData sheetId="368">
        <row r="3">
          <cell r="BC3" t="str">
            <v>QUOTATION  NO.   :</v>
          </cell>
        </row>
      </sheetData>
      <sheetData sheetId="369">
        <row r="3">
          <cell r="BC3" t="str">
            <v>QUOTATION  NO.   :</v>
          </cell>
        </row>
      </sheetData>
      <sheetData sheetId="370">
        <row r="3">
          <cell r="BC3" t="str">
            <v>QUOTATION  NO.   :</v>
          </cell>
        </row>
      </sheetData>
      <sheetData sheetId="371">
        <row r="3">
          <cell r="BC3" t="str">
            <v>QUOTATION  NO.   :</v>
          </cell>
        </row>
      </sheetData>
      <sheetData sheetId="372">
        <row r="3">
          <cell r="BC3" t="str">
            <v>QUOTATION  NO.   :</v>
          </cell>
        </row>
      </sheetData>
      <sheetData sheetId="373">
        <row r="3">
          <cell r="BC3" t="str">
            <v>QUOTATION  NO.   :</v>
          </cell>
        </row>
      </sheetData>
      <sheetData sheetId="374">
        <row r="3">
          <cell r="BC3" t="str">
            <v>QUOTATION  NO.   :</v>
          </cell>
        </row>
      </sheetData>
      <sheetData sheetId="375">
        <row r="3">
          <cell r="BC3" t="str">
            <v>QUOTATION  NO.   :</v>
          </cell>
        </row>
      </sheetData>
      <sheetData sheetId="376">
        <row r="3">
          <cell r="BC3" t="str">
            <v>QUOTATION  NO.   :</v>
          </cell>
        </row>
      </sheetData>
      <sheetData sheetId="377">
        <row r="3">
          <cell r="BC3" t="str">
            <v>QUOTATION  NO.   :</v>
          </cell>
        </row>
      </sheetData>
      <sheetData sheetId="378">
        <row r="3">
          <cell r="BC3" t="str">
            <v>QUOTATION  NO.   :</v>
          </cell>
        </row>
      </sheetData>
      <sheetData sheetId="379">
        <row r="3">
          <cell r="BC3" t="str">
            <v>QUOTATION  NO.   :</v>
          </cell>
        </row>
      </sheetData>
      <sheetData sheetId="380">
        <row r="3">
          <cell r="BC3" t="str">
            <v>QUOTATION  NO.   :</v>
          </cell>
        </row>
      </sheetData>
      <sheetData sheetId="381">
        <row r="3">
          <cell r="BC3" t="str">
            <v>QUOTATION  NO.   :</v>
          </cell>
        </row>
      </sheetData>
      <sheetData sheetId="382">
        <row r="3">
          <cell r="BC3" t="str">
            <v>QUOTATION  NO.   :</v>
          </cell>
        </row>
      </sheetData>
      <sheetData sheetId="383">
        <row r="3">
          <cell r="BC3" t="str">
            <v>QUOTATION  NO.   :</v>
          </cell>
        </row>
      </sheetData>
      <sheetData sheetId="384">
        <row r="3">
          <cell r="BC3" t="str">
            <v>QUOTATION  NO.   :</v>
          </cell>
        </row>
      </sheetData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>
        <row r="3">
          <cell r="BC3" t="str">
            <v>QUOTATION  NO.   :</v>
          </cell>
        </row>
      </sheetData>
      <sheetData sheetId="402">
        <row r="3">
          <cell r="BC3" t="str">
            <v>QUOTATION  NO.   :</v>
          </cell>
        </row>
      </sheetData>
      <sheetData sheetId="403">
        <row r="3">
          <cell r="BC3" t="str">
            <v>QUOTATION  NO.   :</v>
          </cell>
        </row>
      </sheetData>
      <sheetData sheetId="404">
        <row r="3">
          <cell r="BC3" t="str">
            <v>QUOTATION  NO.   :</v>
          </cell>
        </row>
      </sheetData>
      <sheetData sheetId="405">
        <row r="3">
          <cell r="BC3" t="str">
            <v>QUOTATION  NO.   :</v>
          </cell>
        </row>
      </sheetData>
      <sheetData sheetId="406">
        <row r="3">
          <cell r="BC3" t="str">
            <v>QUOTATION  NO.   :</v>
          </cell>
        </row>
      </sheetData>
      <sheetData sheetId="407">
        <row r="3">
          <cell r="BC3" t="str">
            <v>QUOTATION  NO.   :</v>
          </cell>
        </row>
      </sheetData>
      <sheetData sheetId="408">
        <row r="3">
          <cell r="BC3" t="str">
            <v>QUOTATION  NO.   :</v>
          </cell>
        </row>
      </sheetData>
      <sheetData sheetId="409">
        <row r="3">
          <cell r="BC3" t="str">
            <v>QUOTATION  NO.   :</v>
          </cell>
        </row>
      </sheetData>
      <sheetData sheetId="410">
        <row r="3">
          <cell r="BC3" t="str">
            <v>QUOTATION  NO.   :</v>
          </cell>
        </row>
      </sheetData>
      <sheetData sheetId="411">
        <row r="3">
          <cell r="BC3" t="str">
            <v>QUOTATION  NO.   :</v>
          </cell>
        </row>
      </sheetData>
      <sheetData sheetId="412">
        <row r="3">
          <cell r="BC3" t="str">
            <v>QUOTATION  NO.   :</v>
          </cell>
        </row>
      </sheetData>
      <sheetData sheetId="413">
        <row r="3">
          <cell r="BC3" t="str">
            <v>QUOTATION  NO.   :</v>
          </cell>
        </row>
      </sheetData>
      <sheetData sheetId="414">
        <row r="3">
          <cell r="BC3" t="str">
            <v>QUOTATION  NO.   :</v>
          </cell>
        </row>
      </sheetData>
      <sheetData sheetId="415">
        <row r="3">
          <cell r="BC3" t="str">
            <v>QUOTATION  NO.   :</v>
          </cell>
        </row>
      </sheetData>
      <sheetData sheetId="416"/>
      <sheetData sheetId="417">
        <row r="3">
          <cell r="BC3" t="str">
            <v>QUOTATION  NO.   :</v>
          </cell>
        </row>
      </sheetData>
      <sheetData sheetId="418">
        <row r="3">
          <cell r="BC3" t="str">
            <v>QUOTATION  NO.   :</v>
          </cell>
        </row>
      </sheetData>
      <sheetData sheetId="419">
        <row r="3">
          <cell r="BC3" t="str">
            <v>QUOTATION  NO.   :</v>
          </cell>
        </row>
      </sheetData>
      <sheetData sheetId="420">
        <row r="3">
          <cell r="BC3" t="str">
            <v>QUOTATION  NO.   :</v>
          </cell>
        </row>
      </sheetData>
      <sheetData sheetId="421">
        <row r="3">
          <cell r="BC3" t="str">
            <v>QUOTATION  NO.   :</v>
          </cell>
        </row>
      </sheetData>
      <sheetData sheetId="422">
        <row r="3">
          <cell r="BC3" t="str">
            <v>QUOTATION  NO.   :</v>
          </cell>
        </row>
      </sheetData>
      <sheetData sheetId="423">
        <row r="3">
          <cell r="BC3" t="str">
            <v>QUOTATION  NO.   :</v>
          </cell>
        </row>
      </sheetData>
      <sheetData sheetId="424">
        <row r="3">
          <cell r="BC3" t="str">
            <v>QUOTATION  NO.   :</v>
          </cell>
        </row>
      </sheetData>
      <sheetData sheetId="425">
        <row r="3">
          <cell r="BC3" t="str">
            <v>QUOTATION  NO.   :</v>
          </cell>
        </row>
      </sheetData>
      <sheetData sheetId="426"/>
      <sheetData sheetId="427"/>
      <sheetData sheetId="428">
        <row r="3">
          <cell r="BC3" t="str">
            <v>QUOTATION  NO.   :</v>
          </cell>
        </row>
      </sheetData>
      <sheetData sheetId="429">
        <row r="3">
          <cell r="BC3" t="str">
            <v>QUOTATION  NO.   :</v>
          </cell>
        </row>
      </sheetData>
      <sheetData sheetId="430">
        <row r="3">
          <cell r="BC3" t="str">
            <v>QUOTATION  NO.   :</v>
          </cell>
        </row>
      </sheetData>
      <sheetData sheetId="431">
        <row r="3">
          <cell r="BC3" t="str">
            <v>QUOTATION  NO.   :</v>
          </cell>
        </row>
      </sheetData>
      <sheetData sheetId="432">
        <row r="3">
          <cell r="BC3" t="str">
            <v>QUOTATION  NO.   :</v>
          </cell>
        </row>
      </sheetData>
      <sheetData sheetId="433">
        <row r="3">
          <cell r="BC3" t="str">
            <v>QUOTATION  NO.   :</v>
          </cell>
        </row>
      </sheetData>
      <sheetData sheetId="434">
        <row r="3">
          <cell r="BC3" t="str">
            <v>QUOTATION  NO.   :</v>
          </cell>
        </row>
      </sheetData>
      <sheetData sheetId="435">
        <row r="3">
          <cell r="BC3" t="str">
            <v>QUOTATION  NO.   :</v>
          </cell>
        </row>
      </sheetData>
      <sheetData sheetId="436">
        <row r="3">
          <cell r="BC3" t="str">
            <v>QUOTATION  NO.   :</v>
          </cell>
        </row>
      </sheetData>
      <sheetData sheetId="437">
        <row r="3">
          <cell r="BC3" t="str">
            <v>QUOTATION  NO.   :</v>
          </cell>
        </row>
      </sheetData>
      <sheetData sheetId="438">
        <row r="3">
          <cell r="BC3" t="str">
            <v>QUOTATION  NO.   :</v>
          </cell>
        </row>
      </sheetData>
      <sheetData sheetId="439">
        <row r="3">
          <cell r="BC3" t="str">
            <v>QUOTATION  NO.   :</v>
          </cell>
        </row>
      </sheetData>
      <sheetData sheetId="440">
        <row r="3">
          <cell r="BC3" t="str">
            <v>QUOTATION  NO.   :</v>
          </cell>
        </row>
      </sheetData>
      <sheetData sheetId="441">
        <row r="3">
          <cell r="BC3" t="str">
            <v>QUOTATION  NO.   :</v>
          </cell>
        </row>
      </sheetData>
      <sheetData sheetId="442"/>
      <sheetData sheetId="443"/>
      <sheetData sheetId="444"/>
      <sheetData sheetId="445">
        <row r="3">
          <cell r="BC3" t="str">
            <v>QUOTATION  NO.   :</v>
          </cell>
        </row>
      </sheetData>
      <sheetData sheetId="446">
        <row r="3">
          <cell r="BC3" t="str">
            <v>QUOTATION  NO.   :</v>
          </cell>
        </row>
      </sheetData>
      <sheetData sheetId="447">
        <row r="3">
          <cell r="BC3" t="str">
            <v>QUOTATION  NO.   :</v>
          </cell>
        </row>
      </sheetData>
      <sheetData sheetId="448">
        <row r="3">
          <cell r="BC3" t="str">
            <v>QUOTATION  NO.   :</v>
          </cell>
        </row>
      </sheetData>
      <sheetData sheetId="449">
        <row r="3">
          <cell r="BC3" t="str">
            <v>QUOTATION  NO.   :</v>
          </cell>
        </row>
      </sheetData>
      <sheetData sheetId="450">
        <row r="3">
          <cell r="BC3" t="str">
            <v>QUOTATION  NO.   :</v>
          </cell>
        </row>
      </sheetData>
      <sheetData sheetId="451">
        <row r="3">
          <cell r="BC3" t="str">
            <v>QUOTATION  NO.   :</v>
          </cell>
        </row>
      </sheetData>
      <sheetData sheetId="452">
        <row r="3">
          <cell r="BC3" t="str">
            <v>QUOTATION  NO.   :</v>
          </cell>
        </row>
      </sheetData>
      <sheetData sheetId="453"/>
      <sheetData sheetId="454"/>
      <sheetData sheetId="455"/>
      <sheetData sheetId="456"/>
      <sheetData sheetId="457">
        <row r="3">
          <cell r="BC3" t="str">
            <v>QUOTATION  NO.   :</v>
          </cell>
        </row>
      </sheetData>
      <sheetData sheetId="458">
        <row r="3">
          <cell r="BC3" t="str">
            <v>QUOTATION  NO.   :</v>
          </cell>
        </row>
      </sheetData>
      <sheetData sheetId="459">
        <row r="3">
          <cell r="BC3" t="str">
            <v>QUOTATION  NO.   :</v>
          </cell>
        </row>
      </sheetData>
      <sheetData sheetId="460">
        <row r="3">
          <cell r="BC3" t="str">
            <v>QUOTATION  NO.   :</v>
          </cell>
        </row>
      </sheetData>
      <sheetData sheetId="461">
        <row r="3">
          <cell r="BC3" t="str">
            <v>QUOTATION  NO.   :</v>
          </cell>
        </row>
      </sheetData>
      <sheetData sheetId="462">
        <row r="3">
          <cell r="BC3" t="str">
            <v>QUOTATION  NO.   :</v>
          </cell>
        </row>
      </sheetData>
      <sheetData sheetId="463">
        <row r="3">
          <cell r="BC3" t="str">
            <v>QUOTATION  NO.   :</v>
          </cell>
        </row>
      </sheetData>
      <sheetData sheetId="464">
        <row r="3">
          <cell r="BC3" t="str">
            <v>QUOTATION  NO.   :</v>
          </cell>
        </row>
      </sheetData>
      <sheetData sheetId="465">
        <row r="3">
          <cell r="BC3" t="str">
            <v>QUOTATION  NO.   :</v>
          </cell>
        </row>
      </sheetData>
      <sheetData sheetId="466">
        <row r="3">
          <cell r="BC3" t="str">
            <v>QUOTATION  NO.   :</v>
          </cell>
        </row>
      </sheetData>
      <sheetData sheetId="467">
        <row r="3">
          <cell r="BC3" t="str">
            <v>QUOTATION  NO.   :</v>
          </cell>
        </row>
      </sheetData>
      <sheetData sheetId="468">
        <row r="3">
          <cell r="BC3" t="str">
            <v>QUOTATION  NO.   :</v>
          </cell>
        </row>
      </sheetData>
      <sheetData sheetId="469"/>
      <sheetData sheetId="470"/>
      <sheetData sheetId="471">
        <row r="3">
          <cell r="BC3" t="str">
            <v>QUOTATION  NO.   :</v>
          </cell>
        </row>
      </sheetData>
      <sheetData sheetId="472">
        <row r="3">
          <cell r="BC3" t="str">
            <v>QUOTATION  NO.   :</v>
          </cell>
        </row>
      </sheetData>
      <sheetData sheetId="473">
        <row r="3">
          <cell r="BC3" t="str">
            <v>QUOTATION  NO.   :</v>
          </cell>
        </row>
      </sheetData>
      <sheetData sheetId="474">
        <row r="3">
          <cell r="BC3" t="str">
            <v>QUOTATION  NO.   :</v>
          </cell>
        </row>
      </sheetData>
      <sheetData sheetId="475">
        <row r="3">
          <cell r="BC3" t="str">
            <v>QUOTATION  NO.   :</v>
          </cell>
        </row>
      </sheetData>
      <sheetData sheetId="476">
        <row r="3">
          <cell r="BC3" t="str">
            <v>QUOTATION  NO.   :</v>
          </cell>
        </row>
      </sheetData>
      <sheetData sheetId="477">
        <row r="3">
          <cell r="BC3" t="str">
            <v>QUOTATION  NO.   :</v>
          </cell>
        </row>
      </sheetData>
      <sheetData sheetId="478">
        <row r="3">
          <cell r="BC3" t="str">
            <v>QUOTATION  NO.   :</v>
          </cell>
        </row>
      </sheetData>
      <sheetData sheetId="479">
        <row r="3">
          <cell r="BC3" t="str">
            <v>QUOTATION  NO.   :</v>
          </cell>
        </row>
      </sheetData>
      <sheetData sheetId="480">
        <row r="3">
          <cell r="BC3" t="str">
            <v>QUOTATION  NO.   :</v>
          </cell>
        </row>
      </sheetData>
      <sheetData sheetId="481">
        <row r="3">
          <cell r="BC3" t="str">
            <v>QUOTATION  NO.   :</v>
          </cell>
        </row>
      </sheetData>
      <sheetData sheetId="482">
        <row r="3">
          <cell r="BC3" t="str">
            <v>QUOTATION  NO.   :</v>
          </cell>
        </row>
      </sheetData>
      <sheetData sheetId="483">
        <row r="3">
          <cell r="BC3" t="str">
            <v>QUOTATION  NO.   :</v>
          </cell>
        </row>
      </sheetData>
      <sheetData sheetId="484">
        <row r="3">
          <cell r="BC3" t="str">
            <v>QUOTATION  NO.   :</v>
          </cell>
        </row>
      </sheetData>
      <sheetData sheetId="485">
        <row r="3">
          <cell r="BC3" t="str">
            <v>QUOTATION  NO.   :</v>
          </cell>
        </row>
      </sheetData>
      <sheetData sheetId="486">
        <row r="3">
          <cell r="BC3" t="str">
            <v>QUOTATION  NO.   :</v>
          </cell>
        </row>
      </sheetData>
      <sheetData sheetId="487">
        <row r="3">
          <cell r="BC3" t="str">
            <v>QUOTATION  NO.   :</v>
          </cell>
        </row>
      </sheetData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>
        <row r="3">
          <cell r="BC3" t="str">
            <v>QUOTATION  NO.   :</v>
          </cell>
        </row>
      </sheetData>
      <sheetData sheetId="499">
        <row r="3">
          <cell r="BC3" t="str">
            <v>QUOTATION  NO.   :</v>
          </cell>
        </row>
      </sheetData>
      <sheetData sheetId="500">
        <row r="3">
          <cell r="BC3" t="str">
            <v>QUOTATION  NO.   :</v>
          </cell>
        </row>
      </sheetData>
      <sheetData sheetId="501">
        <row r="3">
          <cell r="BC3" t="str">
            <v>QUOTATION  NO.   :</v>
          </cell>
        </row>
      </sheetData>
      <sheetData sheetId="502">
        <row r="3">
          <cell r="BC3" t="str">
            <v>QUOTATION  NO.   :</v>
          </cell>
        </row>
      </sheetData>
      <sheetData sheetId="503">
        <row r="3">
          <cell r="BC3" t="str">
            <v>QUOTATION  NO.   :</v>
          </cell>
        </row>
      </sheetData>
      <sheetData sheetId="504">
        <row r="3">
          <cell r="BC3" t="str">
            <v>QUOTATION  NO.   :</v>
          </cell>
        </row>
      </sheetData>
      <sheetData sheetId="505">
        <row r="3">
          <cell r="BC3" t="str">
            <v>QUOTATION  NO.   :</v>
          </cell>
        </row>
      </sheetData>
      <sheetData sheetId="506">
        <row r="3">
          <cell r="BC3" t="str">
            <v>QUOTATION  NO.   :</v>
          </cell>
        </row>
      </sheetData>
      <sheetData sheetId="507">
        <row r="3">
          <cell r="BC3" t="str">
            <v>QUOTATION  NO.   :</v>
          </cell>
        </row>
      </sheetData>
      <sheetData sheetId="508">
        <row r="3">
          <cell r="BC3" t="str">
            <v>QUOTATION  NO.   :</v>
          </cell>
        </row>
      </sheetData>
      <sheetData sheetId="509">
        <row r="3">
          <cell r="BC3" t="str">
            <v>QUOTATION  NO.   :</v>
          </cell>
        </row>
      </sheetData>
      <sheetData sheetId="510"/>
      <sheetData sheetId="511" refreshError="1"/>
      <sheetData sheetId="512" refreshError="1"/>
      <sheetData sheetId="513">
        <row r="3">
          <cell r="BC3" t="str">
            <v>QUOTATION  NO.   :</v>
          </cell>
        </row>
      </sheetData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>
        <row r="3">
          <cell r="BC3" t="str">
            <v>QUOTATION  NO.   :</v>
          </cell>
        </row>
      </sheetData>
      <sheetData sheetId="526">
        <row r="3">
          <cell r="BC3" t="str">
            <v>QUOTATION  NO.   :</v>
          </cell>
        </row>
      </sheetData>
      <sheetData sheetId="527">
        <row r="3">
          <cell r="BC3" t="str">
            <v>QUOTATION  NO.   :</v>
          </cell>
        </row>
      </sheetData>
      <sheetData sheetId="528">
        <row r="3">
          <cell r="BC3" t="str">
            <v>QUOTATION  NO.   :</v>
          </cell>
        </row>
      </sheetData>
      <sheetData sheetId="529"/>
      <sheetData sheetId="530"/>
      <sheetData sheetId="531">
        <row r="3">
          <cell r="BC3" t="str">
            <v>QUOTATION  NO.   :</v>
          </cell>
        </row>
      </sheetData>
      <sheetData sheetId="532">
        <row r="3">
          <cell r="BC3" t="str">
            <v>QUOTATION  NO.   :</v>
          </cell>
        </row>
      </sheetData>
      <sheetData sheetId="533"/>
      <sheetData sheetId="534"/>
      <sheetData sheetId="535"/>
      <sheetData sheetId="536"/>
      <sheetData sheetId="537">
        <row r="3">
          <cell r="BC3" t="str">
            <v>QUOTATION  NO.   :</v>
          </cell>
        </row>
      </sheetData>
      <sheetData sheetId="538">
        <row r="3">
          <cell r="BC3" t="str">
            <v>QUOTATION  NO.   :</v>
          </cell>
        </row>
      </sheetData>
      <sheetData sheetId="539">
        <row r="3">
          <cell r="BC3" t="str">
            <v>QUOTATION  NO.   :</v>
          </cell>
        </row>
      </sheetData>
      <sheetData sheetId="540"/>
      <sheetData sheetId="541"/>
      <sheetData sheetId="542">
        <row r="3">
          <cell r="BC3" t="str">
            <v>QUOTATION  NO.   :</v>
          </cell>
        </row>
      </sheetData>
      <sheetData sheetId="543">
        <row r="3">
          <cell r="BC3" t="str">
            <v>QUOTATION  NO.   :</v>
          </cell>
        </row>
      </sheetData>
      <sheetData sheetId="544">
        <row r="3">
          <cell r="BC3" t="str">
            <v>QUOTATION  NO.   :</v>
          </cell>
        </row>
      </sheetData>
      <sheetData sheetId="545">
        <row r="3">
          <cell r="BC3" t="str">
            <v>QUOTATION  NO.   :</v>
          </cell>
        </row>
      </sheetData>
      <sheetData sheetId="546">
        <row r="3">
          <cell r="BC3" t="str">
            <v>QUOTATION  NO.   :</v>
          </cell>
        </row>
      </sheetData>
      <sheetData sheetId="547">
        <row r="3">
          <cell r="BC3" t="str">
            <v>QUOTATION  NO.   :</v>
          </cell>
        </row>
      </sheetData>
      <sheetData sheetId="548">
        <row r="3">
          <cell r="BC3" t="str">
            <v>QUOTATION  NO.   :</v>
          </cell>
        </row>
      </sheetData>
      <sheetData sheetId="549"/>
      <sheetData sheetId="550">
        <row r="3">
          <cell r="BC3" t="str">
            <v>QUOTATION  NO.   :</v>
          </cell>
        </row>
      </sheetData>
      <sheetData sheetId="551">
        <row r="3">
          <cell r="BC3" t="str">
            <v>QUOTATION  NO.   :</v>
          </cell>
        </row>
      </sheetData>
      <sheetData sheetId="552">
        <row r="3">
          <cell r="BC3" t="str">
            <v>QUOTATION  NO.   :</v>
          </cell>
        </row>
      </sheetData>
      <sheetData sheetId="553" refreshError="1"/>
      <sheetData sheetId="554" refreshError="1"/>
      <sheetData sheetId="555" refreshError="1"/>
      <sheetData sheetId="556">
        <row r="3">
          <cell r="BC3" t="str">
            <v>QUOTATION  NO.   :</v>
          </cell>
        </row>
      </sheetData>
      <sheetData sheetId="557" refreshError="1"/>
      <sheetData sheetId="558" refreshError="1"/>
      <sheetData sheetId="559" refreshError="1"/>
      <sheetData sheetId="560" refreshError="1"/>
      <sheetData sheetId="561">
        <row r="3">
          <cell r="BC3" t="str">
            <v>QUOTATION  NO.   :</v>
          </cell>
        </row>
      </sheetData>
      <sheetData sheetId="562">
        <row r="3">
          <cell r="BC3" t="str">
            <v>QUOTATION  NO.   :</v>
          </cell>
        </row>
      </sheetData>
      <sheetData sheetId="563"/>
      <sheetData sheetId="564" refreshError="1"/>
      <sheetData sheetId="565">
        <row r="3">
          <cell r="BC3" t="str">
            <v>QUOTATION  NO.   :</v>
          </cell>
        </row>
      </sheetData>
      <sheetData sheetId="566" refreshError="1"/>
      <sheetData sheetId="567" refreshError="1"/>
      <sheetData sheetId="568" refreshError="1"/>
      <sheetData sheetId="569" refreshError="1"/>
      <sheetData sheetId="570"/>
      <sheetData sheetId="571"/>
      <sheetData sheetId="572"/>
      <sheetData sheetId="573"/>
      <sheetData sheetId="574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eekly POI Chart"/>
      <sheetName val="Get Data"/>
      <sheetName val="Monthly Data"/>
      <sheetName val="Monthly Summary"/>
    </sheetNames>
    <sheetDataSet>
      <sheetData sheetId="0" refreshError="1"/>
      <sheetData sheetId="1" refreshError="1"/>
      <sheetData sheetId="2" refreshError="1">
        <row r="348">
          <cell r="L348">
            <v>136.7389</v>
          </cell>
        </row>
        <row r="349">
          <cell r="L349">
            <v>122.2697</v>
          </cell>
        </row>
        <row r="350">
          <cell r="L350">
            <v>129.875</v>
          </cell>
        </row>
        <row r="351">
          <cell r="L351">
            <v>133.45179999999999</v>
          </cell>
        </row>
        <row r="352">
          <cell r="L352">
            <v>129.11580000000001</v>
          </cell>
        </row>
        <row r="353">
          <cell r="L353">
            <v>136.0027</v>
          </cell>
        </row>
        <row r="354">
          <cell r="L354">
            <v>53.318129999999996</v>
          </cell>
        </row>
        <row r="355">
          <cell r="L355">
            <v>56.515880000000003</v>
          </cell>
        </row>
        <row r="356">
          <cell r="L356">
            <v>56.134410000000003</v>
          </cell>
        </row>
        <row r="357">
          <cell r="L357">
            <v>55.567810000000001</v>
          </cell>
        </row>
        <row r="358">
          <cell r="L358">
            <v>54.735190000000003</v>
          </cell>
        </row>
        <row r="359">
          <cell r="L359">
            <v>126.58199999999999</v>
          </cell>
        </row>
        <row r="360">
          <cell r="L360">
            <v>132.7704</v>
          </cell>
        </row>
        <row r="361">
          <cell r="L361">
            <v>132.5752</v>
          </cell>
        </row>
        <row r="362">
          <cell r="L362">
            <v>137.13290000000001</v>
          </cell>
        </row>
        <row r="363">
          <cell r="L363">
            <v>137.45859999999999</v>
          </cell>
        </row>
        <row r="364">
          <cell r="L364">
            <v>137.6533</v>
          </cell>
        </row>
        <row r="365">
          <cell r="L365">
            <v>137.42429999999999</v>
          </cell>
        </row>
        <row r="366">
          <cell r="L366">
            <v>59.809199999999997</v>
          </cell>
        </row>
        <row r="367">
          <cell r="L367">
            <v>58.179949999999998</v>
          </cell>
        </row>
        <row r="368">
          <cell r="L368">
            <v>141.90549999999999</v>
          </cell>
        </row>
        <row r="369">
          <cell r="L369">
            <v>146.55019999999999</v>
          </cell>
        </row>
        <row r="370">
          <cell r="L370">
            <v>145.22669999999999</v>
          </cell>
        </row>
        <row r="371">
          <cell r="L371">
            <v>144.69149999999999</v>
          </cell>
        </row>
        <row r="372">
          <cell r="L372">
            <v>57.610610000000001</v>
          </cell>
        </row>
        <row r="373">
          <cell r="L373">
            <v>63.24982</v>
          </cell>
        </row>
        <row r="374">
          <cell r="L374">
            <v>65.165790000000001</v>
          </cell>
        </row>
        <row r="375">
          <cell r="L375">
            <v>65.11891</v>
          </cell>
        </row>
        <row r="376">
          <cell r="L376">
            <v>61.244259999999997</v>
          </cell>
        </row>
        <row r="377">
          <cell r="L377">
            <v>180.15049999999999</v>
          </cell>
        </row>
        <row r="378">
          <cell r="L378">
            <v>152.9427</v>
          </cell>
        </row>
        <row r="379">
          <cell r="L379">
            <v>156.96440000000001</v>
          </cell>
        </row>
        <row r="380">
          <cell r="L380">
            <v>162.57060000000001</v>
          </cell>
        </row>
        <row r="381">
          <cell r="L381">
            <v>163.33869999999999</v>
          </cell>
        </row>
        <row r="382">
          <cell r="L382">
            <v>162.07390000000001</v>
          </cell>
        </row>
        <row r="383">
          <cell r="L383">
            <v>163.8836</v>
          </cell>
        </row>
        <row r="384">
          <cell r="L384">
            <v>169.11099999999999</v>
          </cell>
        </row>
        <row r="385">
          <cell r="L385">
            <v>179.5967</v>
          </cell>
        </row>
        <row r="386">
          <cell r="L386">
            <v>186.48089999999999</v>
          </cell>
        </row>
        <row r="387">
          <cell r="L387">
            <v>189.12360000000001</v>
          </cell>
        </row>
        <row r="388">
          <cell r="L388">
            <v>185.0718</v>
          </cell>
        </row>
        <row r="389">
          <cell r="L389">
            <v>192.25909999999999</v>
          </cell>
        </row>
        <row r="390">
          <cell r="L390">
            <v>193.34450000000001</v>
          </cell>
        </row>
        <row r="391">
          <cell r="L391">
            <v>188.15360000000001</v>
          </cell>
        </row>
        <row r="392">
          <cell r="L392">
            <v>168.5301</v>
          </cell>
        </row>
        <row r="393">
          <cell r="L393">
            <v>74.069770000000005</v>
          </cell>
        </row>
        <row r="394">
          <cell r="L394">
            <v>75.985129999999998</v>
          </cell>
        </row>
        <row r="395">
          <cell r="L395">
            <v>74.336089999999999</v>
          </cell>
        </row>
        <row r="397">
          <cell r="L397">
            <v>74.645030000000006</v>
          </cell>
        </row>
        <row r="398">
          <cell r="L398">
            <v>193.64709999999999</v>
          </cell>
        </row>
        <row r="399">
          <cell r="L399">
            <v>181.5498</v>
          </cell>
        </row>
        <row r="400">
          <cell r="L400">
            <v>179.417</v>
          </cell>
        </row>
        <row r="401">
          <cell r="L401">
            <v>186.84049999999999</v>
          </cell>
        </row>
        <row r="402">
          <cell r="L402">
            <v>186.50360000000001</v>
          </cell>
        </row>
        <row r="403">
          <cell r="L403">
            <v>186.53039999999999</v>
          </cell>
        </row>
        <row r="404">
          <cell r="L404">
            <v>191.4777</v>
          </cell>
        </row>
        <row r="405">
          <cell r="L405">
            <v>73.298460000000006</v>
          </cell>
        </row>
        <row r="406">
          <cell r="L406">
            <v>70.193240000000003</v>
          </cell>
        </row>
        <row r="407">
          <cell r="L407">
            <v>181.68510000000001</v>
          </cell>
        </row>
        <row r="408">
          <cell r="L408">
            <v>68.166489999999996</v>
          </cell>
        </row>
        <row r="409">
          <cell r="L409">
            <v>192.65479999999999</v>
          </cell>
        </row>
        <row r="410">
          <cell r="L410">
            <v>179.3015</v>
          </cell>
        </row>
        <row r="411">
          <cell r="L411">
            <v>177.46119999999999</v>
          </cell>
        </row>
        <row r="412">
          <cell r="L412">
            <v>182.4426</v>
          </cell>
        </row>
        <row r="413">
          <cell r="L413">
            <v>175.9385</v>
          </cell>
        </row>
        <row r="414">
          <cell r="L414">
            <v>189.60980000000001</v>
          </cell>
        </row>
        <row r="415">
          <cell r="L415">
            <v>188.7055</v>
          </cell>
        </row>
        <row r="416">
          <cell r="L416">
            <v>192.31700000000001</v>
          </cell>
        </row>
        <row r="417">
          <cell r="L417">
            <v>186.17240000000001</v>
          </cell>
        </row>
        <row r="418">
          <cell r="L418">
            <v>173.19929999999999</v>
          </cell>
        </row>
        <row r="419">
          <cell r="L419">
            <v>184.86080000000001</v>
          </cell>
        </row>
        <row r="420">
          <cell r="L420">
            <v>173.68260000000001</v>
          </cell>
        </row>
        <row r="421">
          <cell r="L421">
            <v>167.4966</v>
          </cell>
        </row>
        <row r="422">
          <cell r="L422">
            <v>166.79669999999999</v>
          </cell>
        </row>
        <row r="423">
          <cell r="L423">
            <v>189.37209999999999</v>
          </cell>
        </row>
        <row r="424">
          <cell r="L424">
            <v>80.477810000000005</v>
          </cell>
        </row>
        <row r="425">
          <cell r="L425">
            <v>73.90334</v>
          </cell>
        </row>
        <row r="426">
          <cell r="L426">
            <v>73.325779999999995</v>
          </cell>
        </row>
        <row r="427">
          <cell r="L427">
            <v>74.531800000000004</v>
          </cell>
        </row>
        <row r="428">
          <cell r="L428">
            <v>75.439800000000005</v>
          </cell>
        </row>
        <row r="429">
          <cell r="L429">
            <v>174.60300000000001</v>
          </cell>
        </row>
        <row r="430">
          <cell r="L430">
            <v>185.19929999999999</v>
          </cell>
        </row>
        <row r="431">
          <cell r="L431">
            <v>73.748469999999998</v>
          </cell>
        </row>
        <row r="432">
          <cell r="L432">
            <v>76.553600000000003</v>
          </cell>
        </row>
        <row r="433">
          <cell r="L433">
            <v>80.08784</v>
          </cell>
        </row>
        <row r="434">
          <cell r="L434">
            <v>81.563980000000001</v>
          </cell>
        </row>
        <row r="435">
          <cell r="L435">
            <v>80.308679999999995</v>
          </cell>
        </row>
        <row r="436">
          <cell r="L436">
            <v>77.556849999999997</v>
          </cell>
        </row>
        <row r="437">
          <cell r="L437">
            <v>215.51220000000001</v>
          </cell>
        </row>
        <row r="438">
          <cell r="L438">
            <v>236.0813</v>
          </cell>
        </row>
        <row r="439">
          <cell r="L439">
            <v>225.08199999999999</v>
          </cell>
        </row>
        <row r="440">
          <cell r="L440">
            <v>213.6439</v>
          </cell>
        </row>
        <row r="441">
          <cell r="L441">
            <v>213.6276</v>
          </cell>
        </row>
        <row r="442">
          <cell r="L442">
            <v>203.73079999999999</v>
          </cell>
        </row>
        <row r="443">
          <cell r="L443">
            <v>191.59399999999999</v>
          </cell>
        </row>
        <row r="444">
          <cell r="L444">
            <v>185.55160000000001</v>
          </cell>
        </row>
        <row r="446">
          <cell r="L446">
            <v>81.231890000000007</v>
          </cell>
        </row>
        <row r="447">
          <cell r="L447">
            <v>86.222399999999993</v>
          </cell>
        </row>
        <row r="448">
          <cell r="L448">
            <v>82.37218</v>
          </cell>
        </row>
        <row r="449">
          <cell r="L449">
            <v>75.325370000000007</v>
          </cell>
        </row>
        <row r="450">
          <cell r="L450">
            <v>189.21119999999999</v>
          </cell>
        </row>
        <row r="451">
          <cell r="L451">
            <v>168.77879999999999</v>
          </cell>
        </row>
        <row r="452">
          <cell r="L452">
            <v>208.8914</v>
          </cell>
        </row>
        <row r="453">
          <cell r="L453">
            <v>180.86240000000001</v>
          </cell>
        </row>
        <row r="454">
          <cell r="L454">
            <v>194.81479999999999</v>
          </cell>
        </row>
        <row r="455">
          <cell r="L455">
            <v>185.08170000000001</v>
          </cell>
        </row>
        <row r="456">
          <cell r="L456">
            <v>183.57320000000001</v>
          </cell>
        </row>
        <row r="457">
          <cell r="L457">
            <v>158.80690000000001</v>
          </cell>
        </row>
        <row r="458">
          <cell r="L458">
            <v>146.01769999999999</v>
          </cell>
        </row>
        <row r="459">
          <cell r="L459">
            <v>139.29409999999999</v>
          </cell>
        </row>
        <row r="460">
          <cell r="L460">
            <v>154.60390000000001</v>
          </cell>
        </row>
        <row r="461">
          <cell r="L461">
            <v>152.9624</v>
          </cell>
        </row>
        <row r="462">
          <cell r="L462">
            <v>136.23230000000001</v>
          </cell>
        </row>
        <row r="463">
          <cell r="L463">
            <v>134.1096</v>
          </cell>
        </row>
        <row r="464">
          <cell r="L464">
            <v>124.8677</v>
          </cell>
        </row>
        <row r="465">
          <cell r="L465">
            <v>117.3852</v>
          </cell>
        </row>
        <row r="466">
          <cell r="L466">
            <v>122.9314</v>
          </cell>
        </row>
        <row r="467">
          <cell r="L467">
            <v>126.6294</v>
          </cell>
        </row>
        <row r="468">
          <cell r="L468">
            <v>123.33839999999999</v>
          </cell>
        </row>
        <row r="469">
          <cell r="L469">
            <v>124.9872</v>
          </cell>
        </row>
        <row r="470">
          <cell r="L470">
            <v>114.1564</v>
          </cell>
        </row>
        <row r="471">
          <cell r="L471">
            <v>112.0735</v>
          </cell>
        </row>
        <row r="472">
          <cell r="L472">
            <v>99.721279999999993</v>
          </cell>
        </row>
        <row r="473">
          <cell r="L473">
            <v>95.387339999999995</v>
          </cell>
        </row>
        <row r="474">
          <cell r="L474">
            <v>96.318740000000005</v>
          </cell>
        </row>
        <row r="475">
          <cell r="L475">
            <v>95.61054</v>
          </cell>
        </row>
        <row r="476">
          <cell r="L476">
            <v>93.888760000000005</v>
          </cell>
        </row>
        <row r="477">
          <cell r="L477">
            <v>99.270359999999997</v>
          </cell>
        </row>
        <row r="478">
          <cell r="L478">
            <v>103.6018</v>
          </cell>
        </row>
        <row r="479">
          <cell r="L479">
            <v>92.502840000000006</v>
          </cell>
        </row>
        <row r="480">
          <cell r="L480">
            <v>89.363969999999995</v>
          </cell>
        </row>
        <row r="481">
          <cell r="L481">
            <v>89.6935</v>
          </cell>
        </row>
        <row r="482">
          <cell r="L482">
            <v>106.4742</v>
          </cell>
        </row>
        <row r="483">
          <cell r="L483">
            <v>113.23350000000001</v>
          </cell>
        </row>
        <row r="484">
          <cell r="L484">
            <v>110.947</v>
          </cell>
        </row>
        <row r="485">
          <cell r="L485">
            <v>97.698779999999999</v>
          </cell>
        </row>
        <row r="486">
          <cell r="L486">
            <v>85.349170000000001</v>
          </cell>
        </row>
        <row r="487">
          <cell r="L487">
            <v>89.857730000000004</v>
          </cell>
        </row>
        <row r="488">
          <cell r="L488">
            <v>83.962209999999999</v>
          </cell>
        </row>
        <row r="489">
          <cell r="L489">
            <v>90.246970000000005</v>
          </cell>
        </row>
        <row r="490">
          <cell r="L490">
            <v>85.921729999999997</v>
          </cell>
        </row>
        <row r="491">
          <cell r="L491">
            <v>86.524690000000007</v>
          </cell>
        </row>
        <row r="492">
          <cell r="L492">
            <v>90.439350000000005</v>
          </cell>
        </row>
        <row r="493">
          <cell r="L493">
            <v>91.968869999999995</v>
          </cell>
        </row>
        <row r="495">
          <cell r="L495">
            <v>92.503810000000001</v>
          </cell>
        </row>
        <row r="496">
          <cell r="L496">
            <v>89.138599999999997</v>
          </cell>
        </row>
        <row r="497">
          <cell r="L497">
            <v>86.311499999999995</v>
          </cell>
        </row>
        <row r="498">
          <cell r="L498">
            <v>85.432450000000003</v>
          </cell>
        </row>
        <row r="499">
          <cell r="L499">
            <v>84.253569999999996</v>
          </cell>
        </row>
        <row r="500">
          <cell r="L500">
            <v>85.941400000000002</v>
          </cell>
        </row>
        <row r="501">
          <cell r="L501">
            <v>83.515739999999994</v>
          </cell>
        </row>
        <row r="502">
          <cell r="L502">
            <v>85.62097</v>
          </cell>
        </row>
        <row r="503">
          <cell r="L503">
            <v>85.084429999999998</v>
          </cell>
        </row>
        <row r="504">
          <cell r="L504">
            <v>84.712490000000003</v>
          </cell>
        </row>
        <row r="505">
          <cell r="L505">
            <v>81.245350000000002</v>
          </cell>
        </row>
        <row r="506">
          <cell r="L506">
            <v>81.530109999999993</v>
          </cell>
        </row>
        <row r="507">
          <cell r="L507">
            <v>80.872529999999998</v>
          </cell>
        </row>
        <row r="508">
          <cell r="L508">
            <v>80.425349999999995</v>
          </cell>
        </row>
        <row r="509">
          <cell r="L509">
            <v>83.137730000000005</v>
          </cell>
        </row>
        <row r="510">
          <cell r="L510">
            <v>84.141649999999998</v>
          </cell>
        </row>
        <row r="511">
          <cell r="L511">
            <v>83.611310000000003</v>
          </cell>
        </row>
        <row r="512">
          <cell r="L512">
            <v>84.237880000000004</v>
          </cell>
        </row>
        <row r="513">
          <cell r="L513">
            <v>84.022840000000002</v>
          </cell>
        </row>
        <row r="514">
          <cell r="L514">
            <v>85.051770000000005</v>
          </cell>
        </row>
        <row r="515">
          <cell r="L515">
            <v>85.905299999999997</v>
          </cell>
        </row>
        <row r="516">
          <cell r="L516">
            <v>85.470349999999996</v>
          </cell>
        </row>
        <row r="517">
          <cell r="L517">
            <v>86.689830000000001</v>
          </cell>
        </row>
        <row r="518">
          <cell r="L518">
            <v>87.945880000000002</v>
          </cell>
        </row>
        <row r="519">
          <cell r="L519">
            <v>86.848550000000003</v>
          </cell>
        </row>
        <row r="520">
          <cell r="L520">
            <v>86.778980000000004</v>
          </cell>
        </row>
        <row r="521">
          <cell r="L521">
            <v>95.1905</v>
          </cell>
        </row>
        <row r="522">
          <cell r="L522">
            <v>94.199659999999994</v>
          </cell>
        </row>
        <row r="523">
          <cell r="L523">
            <v>94.046440000000004</v>
          </cell>
        </row>
        <row r="524">
          <cell r="L524">
            <v>93.284570000000002</v>
          </cell>
        </row>
        <row r="525">
          <cell r="L525">
            <v>88.509209999999996</v>
          </cell>
        </row>
        <row r="526">
          <cell r="L526">
            <v>96.991569999999996</v>
          </cell>
        </row>
        <row r="527">
          <cell r="L527">
            <v>44.113880000000002</v>
          </cell>
        </row>
        <row r="528">
          <cell r="L528">
            <v>45.38026</v>
          </cell>
        </row>
        <row r="529">
          <cell r="L529">
            <v>112.25</v>
          </cell>
        </row>
        <row r="530">
          <cell r="L530">
            <v>98.661739999999995</v>
          </cell>
        </row>
        <row r="531">
          <cell r="L531">
            <v>88.681299999999993</v>
          </cell>
        </row>
        <row r="532">
          <cell r="L532">
            <v>87.683480000000003</v>
          </cell>
        </row>
        <row r="533">
          <cell r="L533">
            <v>86.810059999999993</v>
          </cell>
        </row>
        <row r="534">
          <cell r="L534">
            <v>85.668530000000004</v>
          </cell>
        </row>
        <row r="535">
          <cell r="L535">
            <v>84.485709999999997</v>
          </cell>
        </row>
        <row r="536">
          <cell r="L536">
            <v>90.447249999999997</v>
          </cell>
        </row>
        <row r="537">
          <cell r="L537">
            <v>90.427850000000007</v>
          </cell>
        </row>
        <row r="538">
          <cell r="L538">
            <v>88.183970000000002</v>
          </cell>
        </row>
        <row r="539">
          <cell r="L539">
            <v>87.391139999999993</v>
          </cell>
        </row>
        <row r="540">
          <cell r="L540">
            <v>87.80301</v>
          </cell>
        </row>
        <row r="541">
          <cell r="L541">
            <v>88.330730000000003</v>
          </cell>
        </row>
        <row r="542">
          <cell r="L542">
            <v>87.174679999999995</v>
          </cell>
        </row>
        <row r="544">
          <cell r="L544">
            <v>86.609369999999998</v>
          </cell>
        </row>
        <row r="545">
          <cell r="L545">
            <v>91.103229999999996</v>
          </cell>
        </row>
        <row r="546">
          <cell r="L546">
            <v>89.311279999999996</v>
          </cell>
        </row>
        <row r="547">
          <cell r="L547">
            <v>88.010930000000002</v>
          </cell>
        </row>
        <row r="548">
          <cell r="L548">
            <v>86.447199999999995</v>
          </cell>
        </row>
        <row r="549">
          <cell r="L549">
            <v>84.712519999999998</v>
          </cell>
        </row>
        <row r="550">
          <cell r="L550">
            <v>85.529020000000003</v>
          </cell>
        </row>
        <row r="551">
          <cell r="L551">
            <v>86.860150000000004</v>
          </cell>
        </row>
        <row r="552">
          <cell r="L552">
            <v>87.129660000000001</v>
          </cell>
        </row>
        <row r="553">
          <cell r="L553">
            <v>86.022400000000005</v>
          </cell>
        </row>
        <row r="554">
          <cell r="L554">
            <v>85.637990000000002</v>
          </cell>
        </row>
        <row r="555">
          <cell r="L555">
            <v>86.877129999999994</v>
          </cell>
        </row>
        <row r="556">
          <cell r="L556">
            <v>85.005939999999995</v>
          </cell>
        </row>
        <row r="557">
          <cell r="L557">
            <v>83.448710000000005</v>
          </cell>
        </row>
        <row r="558">
          <cell r="L558">
            <v>83.969620000000006</v>
          </cell>
        </row>
        <row r="559">
          <cell r="L559">
            <v>86.106430000000003</v>
          </cell>
        </row>
        <row r="560">
          <cell r="L560">
            <v>85.199579999999997</v>
          </cell>
        </row>
        <row r="561">
          <cell r="L561">
            <v>86.372249999999994</v>
          </cell>
        </row>
        <row r="562">
          <cell r="L562">
            <v>87.534450000000007</v>
          </cell>
        </row>
        <row r="563">
          <cell r="L563">
            <v>89.881739999999994</v>
          </cell>
        </row>
        <row r="564">
          <cell r="L564">
            <v>98.266059999999996</v>
          </cell>
        </row>
        <row r="565">
          <cell r="L565">
            <v>92.093490000000003</v>
          </cell>
        </row>
        <row r="566">
          <cell r="L566">
            <v>107.83580000000001</v>
          </cell>
        </row>
        <row r="567">
          <cell r="L567">
            <v>113.4348</v>
          </cell>
        </row>
        <row r="568">
          <cell r="L568">
            <v>105.7877</v>
          </cell>
        </row>
        <row r="569">
          <cell r="L569">
            <v>117.6139</v>
          </cell>
        </row>
        <row r="570">
          <cell r="L570">
            <v>117.72329999999999</v>
          </cell>
        </row>
        <row r="571">
          <cell r="L571">
            <v>112.0795</v>
          </cell>
        </row>
        <row r="572">
          <cell r="L572">
            <v>104.94540000000001</v>
          </cell>
        </row>
        <row r="573">
          <cell r="L573">
            <v>106.9676</v>
          </cell>
        </row>
        <row r="574">
          <cell r="L574">
            <v>105.28749999999999</v>
          </cell>
        </row>
        <row r="575">
          <cell r="L575">
            <v>106.8754</v>
          </cell>
        </row>
        <row r="576">
          <cell r="L576">
            <v>108.4978</v>
          </cell>
        </row>
        <row r="577">
          <cell r="L577">
            <v>110.1349</v>
          </cell>
        </row>
        <row r="578">
          <cell r="L578">
            <v>110.9295</v>
          </cell>
        </row>
        <row r="579">
          <cell r="L579">
            <v>111.7092</v>
          </cell>
        </row>
        <row r="580">
          <cell r="L580">
            <v>109.3742</v>
          </cell>
        </row>
        <row r="581">
          <cell r="L581">
            <v>110.767</v>
          </cell>
        </row>
        <row r="582">
          <cell r="L582">
            <v>107.9823</v>
          </cell>
        </row>
        <row r="583">
          <cell r="L583">
            <v>111.77249999999999</v>
          </cell>
        </row>
        <row r="584">
          <cell r="L584">
            <v>106.24299999999999</v>
          </cell>
        </row>
        <row r="585">
          <cell r="L585">
            <v>104.5008</v>
          </cell>
        </row>
        <row r="586">
          <cell r="L586">
            <v>105.3493</v>
          </cell>
        </row>
        <row r="587">
          <cell r="L587">
            <v>104.4907</v>
          </cell>
        </row>
        <row r="588">
          <cell r="L588">
            <v>103.93300000000001</v>
          </cell>
        </row>
        <row r="589">
          <cell r="L589">
            <v>42.124899999999997</v>
          </cell>
        </row>
        <row r="590">
          <cell r="L590">
            <v>42.36551</v>
          </cell>
        </row>
        <row r="591">
          <cell r="L591">
            <v>105.84180000000001</v>
          </cell>
        </row>
        <row r="593">
          <cell r="L593">
            <v>99.650220000000004</v>
          </cell>
        </row>
        <row r="594">
          <cell r="L594">
            <v>97.051599999999993</v>
          </cell>
        </row>
        <row r="595">
          <cell r="L595">
            <v>99.228009999999998</v>
          </cell>
        </row>
        <row r="596">
          <cell r="L596">
            <v>104.6194</v>
          </cell>
        </row>
        <row r="597">
          <cell r="L597">
            <v>102.7837</v>
          </cell>
        </row>
        <row r="598">
          <cell r="L598">
            <v>97.009879999999995</v>
          </cell>
        </row>
        <row r="599">
          <cell r="L599">
            <v>96.882369999999995</v>
          </cell>
        </row>
        <row r="600">
          <cell r="L600">
            <v>94.47654</v>
          </cell>
        </row>
        <row r="601">
          <cell r="L601">
            <v>94.182559999999995</v>
          </cell>
        </row>
        <row r="602">
          <cell r="L602">
            <v>94.14246</v>
          </cell>
        </row>
        <row r="603">
          <cell r="L603">
            <v>90.964410000000001</v>
          </cell>
        </row>
        <row r="604">
          <cell r="L604">
            <v>95.338809999999995</v>
          </cell>
        </row>
        <row r="605">
          <cell r="L605">
            <v>100.3935</v>
          </cell>
        </row>
        <row r="606">
          <cell r="L606">
            <v>102.6187</v>
          </cell>
        </row>
        <row r="607">
          <cell r="L607">
            <v>109.73690000000001</v>
          </cell>
        </row>
        <row r="608">
          <cell r="L608">
            <v>107.54389999999999</v>
          </cell>
        </row>
        <row r="609">
          <cell r="L609">
            <v>103.08499999999999</v>
          </cell>
        </row>
        <row r="610">
          <cell r="L610">
            <v>103.0596</v>
          </cell>
        </row>
        <row r="611">
          <cell r="L611">
            <v>108.1152</v>
          </cell>
        </row>
        <row r="612">
          <cell r="L612">
            <v>110.7281</v>
          </cell>
        </row>
        <row r="613">
          <cell r="L613">
            <v>108.423</v>
          </cell>
        </row>
        <row r="614">
          <cell r="L614">
            <v>109.4897</v>
          </cell>
        </row>
        <row r="615">
          <cell r="L615">
            <v>109.538</v>
          </cell>
        </row>
        <row r="616">
          <cell r="L616">
            <v>114.3639</v>
          </cell>
        </row>
        <row r="617">
          <cell r="L617">
            <v>108.57599999999999</v>
          </cell>
        </row>
        <row r="618">
          <cell r="L618">
            <v>116.8245</v>
          </cell>
        </row>
        <row r="619">
          <cell r="L619">
            <v>109.56780000000001</v>
          </cell>
        </row>
        <row r="620">
          <cell r="L620">
            <v>108.32210000000001</v>
          </cell>
        </row>
        <row r="621">
          <cell r="L621">
            <v>111.55629999999999</v>
          </cell>
        </row>
        <row r="622">
          <cell r="L622">
            <v>114.35760000000001</v>
          </cell>
        </row>
        <row r="623">
          <cell r="L623">
            <v>112.73560000000001</v>
          </cell>
        </row>
        <row r="624">
          <cell r="L624">
            <v>111.9134</v>
          </cell>
        </row>
        <row r="625">
          <cell r="L625">
            <v>119.0057</v>
          </cell>
        </row>
        <row r="626">
          <cell r="L626">
            <v>116.33580000000001</v>
          </cell>
        </row>
        <row r="627">
          <cell r="L627">
            <v>105.571</v>
          </cell>
        </row>
        <row r="628">
          <cell r="L628">
            <v>116.6819</v>
          </cell>
        </row>
        <row r="629">
          <cell r="L629">
            <v>118.7248</v>
          </cell>
        </row>
        <row r="630">
          <cell r="L630">
            <v>120.7371</v>
          </cell>
        </row>
        <row r="631">
          <cell r="L631">
            <v>123.3626</v>
          </cell>
        </row>
        <row r="632">
          <cell r="L632">
            <v>134.34280000000001</v>
          </cell>
        </row>
        <row r="633">
          <cell r="L633">
            <v>136.09219999999999</v>
          </cell>
        </row>
        <row r="634">
          <cell r="L634">
            <v>130.33959999999999</v>
          </cell>
        </row>
        <row r="635">
          <cell r="L635">
            <v>135.24180000000001</v>
          </cell>
        </row>
        <row r="636">
          <cell r="L636">
            <v>139.53309999999999</v>
          </cell>
        </row>
        <row r="637">
          <cell r="L637">
            <v>147.44319999999999</v>
          </cell>
        </row>
        <row r="638">
          <cell r="L638">
            <v>56.743000000000002</v>
          </cell>
        </row>
        <row r="639">
          <cell r="L639">
            <v>57.2883</v>
          </cell>
        </row>
        <row r="640">
          <cell r="L640">
            <v>55.753970000000002</v>
          </cell>
        </row>
        <row r="642">
          <cell r="L642">
            <v>56.71819</v>
          </cell>
        </row>
        <row r="643">
          <cell r="L643">
            <v>153.74109999999999</v>
          </cell>
        </row>
        <row r="644">
          <cell r="L644">
            <v>156.5669</v>
          </cell>
        </row>
        <row r="645">
          <cell r="L645">
            <v>60.812139999999999</v>
          </cell>
        </row>
        <row r="646">
          <cell r="L646">
            <v>157.15629999999999</v>
          </cell>
        </row>
        <row r="647">
          <cell r="L647">
            <v>56.966700000000003</v>
          </cell>
        </row>
        <row r="648">
          <cell r="L648">
            <v>155.5127</v>
          </cell>
        </row>
        <row r="649">
          <cell r="L649">
            <v>60.104509999999998</v>
          </cell>
        </row>
        <row r="650">
          <cell r="L650">
            <v>60.219340000000003</v>
          </cell>
        </row>
        <row r="651">
          <cell r="L651">
            <v>55.321370000000002</v>
          </cell>
        </row>
        <row r="652">
          <cell r="L652">
            <v>55.657339999999998</v>
          </cell>
        </row>
        <row r="653">
          <cell r="L653">
            <v>53.913269999999997</v>
          </cell>
        </row>
        <row r="654">
          <cell r="L654">
            <v>53.61956</v>
          </cell>
        </row>
        <row r="655">
          <cell r="L655">
            <v>140.79339999999999</v>
          </cell>
        </row>
        <row r="656">
          <cell r="L656">
            <v>52.839970000000001</v>
          </cell>
        </row>
        <row r="657">
          <cell r="L657">
            <v>60.105319999999999</v>
          </cell>
        </row>
        <row r="658">
          <cell r="L658">
            <v>58.95552</v>
          </cell>
        </row>
        <row r="659">
          <cell r="L659">
            <v>56.088729999999998</v>
          </cell>
        </row>
        <row r="660">
          <cell r="L660">
            <v>53.150469999999999</v>
          </cell>
        </row>
        <row r="661">
          <cell r="L661">
            <v>152.49940000000001</v>
          </cell>
        </row>
        <row r="662">
          <cell r="L662">
            <v>181.46860000000001</v>
          </cell>
        </row>
        <row r="663">
          <cell r="L663">
            <v>81.644329999999997</v>
          </cell>
        </row>
        <row r="664">
          <cell r="L664">
            <v>164.84710000000001</v>
          </cell>
        </row>
        <row r="665">
          <cell r="L665">
            <v>159.5874</v>
          </cell>
        </row>
        <row r="666">
          <cell r="L666">
            <v>65.149940000000001</v>
          </cell>
        </row>
        <row r="667">
          <cell r="L667">
            <v>67.830719999999999</v>
          </cell>
        </row>
        <row r="668">
          <cell r="L668">
            <v>66.998639999999995</v>
          </cell>
        </row>
        <row r="669">
          <cell r="L669">
            <v>67.164519999999996</v>
          </cell>
        </row>
        <row r="670">
          <cell r="L670">
            <v>160.9829</v>
          </cell>
        </row>
        <row r="671">
          <cell r="L671">
            <v>161.96700000000001</v>
          </cell>
        </row>
        <row r="672">
          <cell r="L672">
            <v>162.77420000000001</v>
          </cell>
        </row>
        <row r="673">
          <cell r="L673">
            <v>162.75659999999999</v>
          </cell>
        </row>
        <row r="674">
          <cell r="L674">
            <v>155.15219999999999</v>
          </cell>
        </row>
        <row r="675">
          <cell r="L675">
            <v>147.6207</v>
          </cell>
        </row>
        <row r="676">
          <cell r="L676">
            <v>62.315980000000003</v>
          </cell>
        </row>
        <row r="677">
          <cell r="L677">
            <v>65.502560000000003</v>
          </cell>
        </row>
        <row r="678">
          <cell r="L678">
            <v>65.903329999999997</v>
          </cell>
        </row>
        <row r="679">
          <cell r="L679">
            <v>161.11799999999999</v>
          </cell>
        </row>
        <row r="680">
          <cell r="L680">
            <v>155.1506</v>
          </cell>
        </row>
        <row r="681">
          <cell r="L681">
            <v>156.756</v>
          </cell>
        </row>
        <row r="682">
          <cell r="L682">
            <v>159.18700000000001</v>
          </cell>
        </row>
        <row r="683">
          <cell r="L683">
            <v>62.651989999999998</v>
          </cell>
        </row>
        <row r="684">
          <cell r="L684">
            <v>62.21087</v>
          </cell>
        </row>
        <row r="685">
          <cell r="L685">
            <v>60.239519999999999</v>
          </cell>
        </row>
        <row r="686">
          <cell r="L686">
            <v>61.358460000000001</v>
          </cell>
        </row>
        <row r="687">
          <cell r="L687">
            <v>155.65770000000001</v>
          </cell>
        </row>
        <row r="688">
          <cell r="L688">
            <v>157.44139999999999</v>
          </cell>
        </row>
        <row r="689">
          <cell r="L689">
            <v>153.87190000000001</v>
          </cell>
        </row>
        <row r="1426">
          <cell r="L1426">
            <v>142.92080000000001</v>
          </cell>
        </row>
        <row r="1427">
          <cell r="L1427">
            <v>141.88820000000001</v>
          </cell>
        </row>
        <row r="1428">
          <cell r="L1428">
            <v>144.3912</v>
          </cell>
        </row>
        <row r="1429">
          <cell r="L1429">
            <v>143.2938</v>
          </cell>
        </row>
        <row r="1430">
          <cell r="L1430">
            <v>146.72229999999999</v>
          </cell>
        </row>
        <row r="1431">
          <cell r="L1431">
            <v>144.68899999999999</v>
          </cell>
        </row>
        <row r="1432">
          <cell r="L1432">
            <v>143.26769999999999</v>
          </cell>
        </row>
        <row r="1433">
          <cell r="L1433">
            <v>145.27430000000001</v>
          </cell>
        </row>
        <row r="1434">
          <cell r="L1434">
            <v>136.9237</v>
          </cell>
        </row>
        <row r="1435">
          <cell r="L1435">
            <v>136.91079999999999</v>
          </cell>
        </row>
        <row r="1436">
          <cell r="L1436">
            <v>137.89160000000001</v>
          </cell>
        </row>
        <row r="1437">
          <cell r="L1437">
            <v>138.65549999999999</v>
          </cell>
        </row>
        <row r="1438">
          <cell r="L1438">
            <v>136.48580000000001</v>
          </cell>
        </row>
        <row r="1439">
          <cell r="L1439">
            <v>133.84039999999999</v>
          </cell>
        </row>
        <row r="1440">
          <cell r="L1440">
            <v>132.97819999999999</v>
          </cell>
        </row>
        <row r="1441">
          <cell r="L1441">
            <v>135.00450000000001</v>
          </cell>
        </row>
        <row r="1442">
          <cell r="L1442">
            <v>137.41909999999999</v>
          </cell>
        </row>
        <row r="1443">
          <cell r="L1443">
            <v>138.90790000000001</v>
          </cell>
        </row>
        <row r="1444">
          <cell r="L1444">
            <v>139.2311</v>
          </cell>
        </row>
        <row r="1445">
          <cell r="L1445">
            <v>141.7551</v>
          </cell>
        </row>
        <row r="1446">
          <cell r="L1446">
            <v>142.69669999999999</v>
          </cell>
        </row>
        <row r="1447">
          <cell r="L1447">
            <v>142.41909999999999</v>
          </cell>
        </row>
        <row r="1448">
          <cell r="L1448">
            <v>138.6352</v>
          </cell>
        </row>
        <row r="1449">
          <cell r="L1449">
            <v>140.98339999999999</v>
          </cell>
        </row>
        <row r="1450">
          <cell r="L1450">
            <v>149.81800000000001</v>
          </cell>
        </row>
        <row r="1451">
          <cell r="L1451">
            <v>162.2963</v>
          </cell>
        </row>
        <row r="1452">
          <cell r="L1452">
            <v>162.71549999999999</v>
          </cell>
        </row>
        <row r="1453">
          <cell r="L1453">
            <v>159.33340000000001</v>
          </cell>
        </row>
        <row r="1454">
          <cell r="L1454">
            <v>147.36760000000001</v>
          </cell>
        </row>
        <row r="1455">
          <cell r="L1455">
            <v>142.6764</v>
          </cell>
        </row>
        <row r="1456">
          <cell r="L1456">
            <v>146.35929999999999</v>
          </cell>
        </row>
        <row r="1457">
          <cell r="L1457">
            <v>145.89789999999999</v>
          </cell>
        </row>
        <row r="1458">
          <cell r="L1458">
            <v>143.66909999999999</v>
          </cell>
        </row>
        <row r="1459">
          <cell r="L1459">
            <v>141.26949999999999</v>
          </cell>
        </row>
        <row r="1460">
          <cell r="L1460">
            <v>149.5121</v>
          </cell>
        </row>
        <row r="1461">
          <cell r="L1461">
            <v>151.72470000000001</v>
          </cell>
        </row>
        <row r="1462">
          <cell r="L1462">
            <v>145.5539</v>
          </cell>
        </row>
        <row r="1463">
          <cell r="L1463">
            <v>140.98419999999999</v>
          </cell>
        </row>
        <row r="1464">
          <cell r="L1464">
            <v>139.21770000000001</v>
          </cell>
        </row>
        <row r="1465">
          <cell r="L1465">
            <v>143.60929999999999</v>
          </cell>
        </row>
        <row r="1466">
          <cell r="L1466">
            <v>186.06960000000001</v>
          </cell>
        </row>
        <row r="1467">
          <cell r="L1467">
            <v>167.9692</v>
          </cell>
        </row>
        <row r="1468">
          <cell r="L1468">
            <v>153.46430000000001</v>
          </cell>
        </row>
        <row r="1469">
          <cell r="L1469">
            <v>156.2809</v>
          </cell>
        </row>
        <row r="1470">
          <cell r="L1470">
            <v>148.7029</v>
          </cell>
        </row>
        <row r="1471">
          <cell r="L1471">
            <v>150.06379999999999</v>
          </cell>
        </row>
        <row r="1472">
          <cell r="L1472">
            <v>149.34610000000001</v>
          </cell>
        </row>
        <row r="1473">
          <cell r="L1473">
            <v>148.03659999999999</v>
          </cell>
        </row>
        <row r="1475">
          <cell r="L1475">
            <v>158.88310000000001</v>
          </cell>
        </row>
        <row r="1476">
          <cell r="L1476">
            <v>157.56620000000001</v>
          </cell>
        </row>
        <row r="1477">
          <cell r="L1477">
            <v>161.31610000000001</v>
          </cell>
        </row>
        <row r="1478">
          <cell r="L1478">
            <v>165.01320000000001</v>
          </cell>
        </row>
        <row r="1479">
          <cell r="L1479">
            <v>234.33160000000001</v>
          </cell>
        </row>
        <row r="1480">
          <cell r="L1480">
            <v>154.2157</v>
          </cell>
        </row>
        <row r="1481">
          <cell r="L1481">
            <v>190.2424</v>
          </cell>
        </row>
        <row r="1482">
          <cell r="L1482">
            <v>165.21610000000001</v>
          </cell>
        </row>
        <row r="1483">
          <cell r="L1483">
            <v>147.11170000000001</v>
          </cell>
        </row>
        <row r="1484">
          <cell r="L1484">
            <v>144.92519999999999</v>
          </cell>
        </row>
        <row r="1485">
          <cell r="L1485">
            <v>161.76439999999999</v>
          </cell>
        </row>
        <row r="1486">
          <cell r="L1486">
            <v>171.25020000000001</v>
          </cell>
        </row>
        <row r="1487">
          <cell r="L1487">
            <v>148.23349999999999</v>
          </cell>
        </row>
        <row r="1488">
          <cell r="L1488">
            <v>146.21289999999999</v>
          </cell>
        </row>
        <row r="1489">
          <cell r="L1489">
            <v>210.71530000000001</v>
          </cell>
        </row>
        <row r="1490">
          <cell r="L1490">
            <v>160.26650000000001</v>
          </cell>
        </row>
        <row r="1491">
          <cell r="L1491">
            <v>143.75839999999999</v>
          </cell>
        </row>
        <row r="1492">
          <cell r="L1492">
            <v>148.34440000000001</v>
          </cell>
        </row>
        <row r="1493">
          <cell r="L1493">
            <v>148.7424</v>
          </cell>
        </row>
        <row r="1494">
          <cell r="L1494">
            <v>151.59649999999999</v>
          </cell>
        </row>
        <row r="1495">
          <cell r="L1495">
            <v>154.62710000000001</v>
          </cell>
        </row>
        <row r="1496">
          <cell r="L1496">
            <v>173.70249999999999</v>
          </cell>
        </row>
        <row r="1497">
          <cell r="L1497">
            <v>165.16579999999999</v>
          </cell>
        </row>
        <row r="1498">
          <cell r="L1498">
            <v>197.3622</v>
          </cell>
        </row>
        <row r="1499">
          <cell r="L1499">
            <v>190.5564</v>
          </cell>
        </row>
        <row r="1500">
          <cell r="L1500">
            <v>252.69220000000001</v>
          </cell>
        </row>
        <row r="1501">
          <cell r="L1501">
            <v>177.13800000000001</v>
          </cell>
        </row>
        <row r="1502">
          <cell r="L1502">
            <v>173.4212</v>
          </cell>
        </row>
        <row r="1503">
          <cell r="L1503">
            <v>168.31100000000001</v>
          </cell>
        </row>
        <row r="1504">
          <cell r="L1504">
            <v>161.3031</v>
          </cell>
        </row>
        <row r="1505">
          <cell r="L1505">
            <v>149.11609999999999</v>
          </cell>
        </row>
        <row r="1506">
          <cell r="L1506">
            <v>161.19059999999999</v>
          </cell>
        </row>
        <row r="1507">
          <cell r="L1507">
            <v>168.6978</v>
          </cell>
        </row>
        <row r="1508">
          <cell r="L1508">
            <v>172.79179999999999</v>
          </cell>
        </row>
        <row r="1509">
          <cell r="L1509">
            <v>165.62260000000001</v>
          </cell>
        </row>
        <row r="1510">
          <cell r="L1510">
            <v>163.2585</v>
          </cell>
        </row>
        <row r="1511">
          <cell r="L1511">
            <v>164.5111</v>
          </cell>
        </row>
        <row r="1512">
          <cell r="L1512">
            <v>167.13630000000001</v>
          </cell>
        </row>
        <row r="1513">
          <cell r="L1513">
            <v>152.8211</v>
          </cell>
        </row>
        <row r="1514">
          <cell r="L1514">
            <v>151.8852</v>
          </cell>
        </row>
        <row r="1515">
          <cell r="L1515">
            <v>153.61269999999999</v>
          </cell>
        </row>
        <row r="1516">
          <cell r="L1516">
            <v>155.8425</v>
          </cell>
        </row>
        <row r="1517">
          <cell r="L1517">
            <v>160.06630000000001</v>
          </cell>
        </row>
        <row r="1518">
          <cell r="L1518">
            <v>156.7825</v>
          </cell>
        </row>
        <row r="1519">
          <cell r="L1519">
            <v>153.43190000000001</v>
          </cell>
        </row>
        <row r="1520">
          <cell r="L1520">
            <v>234.8312</v>
          </cell>
        </row>
        <row r="1521">
          <cell r="L1521">
            <v>156.90880000000001</v>
          </cell>
        </row>
        <row r="1522">
          <cell r="L1522">
            <v>142.66399999999999</v>
          </cell>
        </row>
      </sheetData>
      <sheetData sheetId="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S Exit Velocity"/>
      <sheetName val="NS Data"/>
      <sheetName val="Weekly POI Chart"/>
      <sheetName val="Get Data"/>
      <sheetName val="Monthly Data"/>
      <sheetName val="Monthly Summar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ail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LANBS3"/>
      <sheetName val="INDEX"/>
      <sheetName val="present"/>
      <sheetName val="capacity"/>
      <sheetName val="HL"/>
      <sheetName val="MKT"/>
      <sheetName val="COM-SALES"/>
      <sheetName val="PS-96"/>
      <sheetName val="SALES"/>
      <sheetName val="OTHER"/>
      <sheetName val="PS-@-95"/>
      <sheetName val="CAP"/>
      <sheetName val="ASSCAP"/>
      <sheetName val="detail"/>
      <sheetName val="UPC_SKU"/>
      <sheetName val="MasterList"/>
      <sheetName val="DropdownList"/>
      <sheetName val="4.1CAPEX_Additional"/>
      <sheetName val="Drop Down"/>
      <sheetName val="SCG group"/>
      <sheetName val="novOL2014"/>
      <sheetName val="dropdown"/>
      <sheetName val="data"/>
      <sheetName val="Function"/>
      <sheetName val="Comapny Name"/>
      <sheetName val="List"/>
      <sheetName val="Master1"/>
      <sheetName val="Emplyee Record"/>
      <sheetName val="BLUE"/>
      <sheetName val="Sheet1"/>
      <sheetName val="sales3level"/>
      <sheetName val="703105"/>
      <sheetName val="Est. Budget"/>
      <sheetName val="4_1CAPEX_Additional"/>
      <sheetName val="Drop_Down"/>
      <sheetName val="SCG_group"/>
      <sheetName val="Comapny_Name"/>
      <sheetName val="Emplyee_Record"/>
      <sheetName val="Est__Budget"/>
      <sheetName val="Sheet4"/>
      <sheetName val="MyWork"/>
      <sheetName val="SCG Chemicals group"/>
      <sheetName val="Merter"/>
      <sheetName val="Dropdown list "/>
      <sheetName val="2019"/>
      <sheetName val="4_1CAPEX_Additional1"/>
      <sheetName val="Drop_Down1"/>
      <sheetName val="SCG_group1"/>
      <sheetName val="Comapny_Name1"/>
      <sheetName val="Emplyee_Record1"/>
      <sheetName val="Est__Budget1"/>
      <sheetName val="SCG_Chemicals_group"/>
      <sheetName val="Dropdown_list_"/>
      <sheetName val="List of Not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ales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loitte Overview"/>
      <sheetName val="GHG Emissions Summary"/>
      <sheetName val="Emissions Calculations"/>
      <sheetName val="References"/>
      <sheetName val="Tickmarks"/>
      <sheetName val="Fuel Flare Vent PA Volumes"/>
      <sheetName val="Throughput PA Volumes"/>
    </sheetNames>
    <sheetDataSet>
      <sheetData sheetId="0" refreshError="1"/>
      <sheetData sheetId="1" refreshError="1"/>
      <sheetData sheetId="2" refreshError="1"/>
      <sheetData sheetId="3">
        <row r="28">
          <cell r="B28">
            <v>21</v>
          </cell>
        </row>
        <row r="58">
          <cell r="B58">
            <v>1.8612</v>
          </cell>
        </row>
        <row r="59">
          <cell r="B59">
            <v>0.6784</v>
          </cell>
        </row>
      </sheetData>
      <sheetData sheetId="4"/>
      <sheetData sheetId="5" refreshError="1"/>
      <sheetData sheetId="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et Data"/>
      <sheetName val="Monthly Data"/>
      <sheetName val="Summarize data"/>
      <sheetName val="Report Table"/>
      <sheetName val="Cumulative Data"/>
      <sheetName val="Monthly POI Average"/>
      <sheetName val="Cumulative YTD Tonne Curve"/>
      <sheetName val="Cumulative YTD Tonnes"/>
      <sheetName val="POI Daily Value"/>
      <sheetName val="Daily Average YTD"/>
      <sheetName val="Bunker use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w Data"/>
      <sheetName val="Month End Adjusted"/>
      <sheetName val="Adjustments"/>
      <sheetName val="Prod"/>
      <sheetName val="Ath Pipeline &amp; Tanks"/>
      <sheetName val="Sales Accounting"/>
      <sheetName val="Firebag"/>
      <sheetName val="Syl"/>
      <sheetName val="Pipeline Balance"/>
      <sheetName val="Data"/>
      <sheetName val="SAP Interface"/>
      <sheetName val="Control"/>
      <sheetName val="Natural Gas"/>
      <sheetName val="Imports to STF JAN TO JULY"/>
      <sheetName val="Imports to STF AUG TO DEC"/>
      <sheetName val="By-Products"/>
      <sheetName val="Interplant Tags &amp; Manual Entry"/>
      <sheetName val="S-23"/>
      <sheetName val="Production Records"/>
      <sheetName val="Notes &amp; Comparison &amp; Signoff"/>
      <sheetName val="Diesel Comparison"/>
      <sheetName val="Enbridge Top Tech Reports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>
        <row r="4">
          <cell r="A4" t="str">
            <v>Material</v>
          </cell>
          <cell r="B4" t="str">
            <v>Receipts Sour Lines 2,4,5,6,8</v>
          </cell>
          <cell r="C4" t="str">
            <v>Receipts Tar Island</v>
          </cell>
          <cell r="D4" t="str">
            <v>SEMI Bitumen Receipts</v>
          </cell>
          <cell r="E4" t="str">
            <v>Gateway 1</v>
          </cell>
          <cell r="F4" t="str">
            <v>Enbridge-Hardisty</v>
          </cell>
          <cell r="G4" t="str">
            <v>Flint Hills</v>
          </cell>
          <cell r="H4" t="str">
            <v>Suncor</v>
          </cell>
          <cell r="I4" t="str">
            <v>Encana Kirby Lake</v>
          </cell>
          <cell r="J4" t="str">
            <v>Diesel Truck Loading</v>
          </cell>
          <cell r="K4" t="str">
            <v>PetroCan MacKay</v>
          </cell>
          <cell r="L4" t="str">
            <v>Gibson Hardisty</v>
          </cell>
          <cell r="M4" t="str">
            <v>Linefill</v>
          </cell>
          <cell r="N4" t="str">
            <v>ATT Tank #1</v>
          </cell>
          <cell r="O4" t="str">
            <v>ATT Tank #2</v>
          </cell>
          <cell r="P4" t="str">
            <v>ATT Tank #3</v>
          </cell>
          <cell r="Q4" t="str">
            <v>ATT Tank #4</v>
          </cell>
          <cell r="R4" t="str">
            <v>ATT Tank #5</v>
          </cell>
          <cell r="S4" t="str">
            <v>ATT Tank #6</v>
          </cell>
          <cell r="T4" t="str">
            <v>ATT Tank #7</v>
          </cell>
          <cell r="U4" t="str">
            <v>ATT Tank #8</v>
          </cell>
          <cell r="V4" t="str">
            <v>ATT Tank #9</v>
          </cell>
          <cell r="W4" t="str">
            <v>ATT Tank #11</v>
          </cell>
          <cell r="X4" t="str">
            <v>ATT Tank #13</v>
          </cell>
          <cell r="Y4" t="str">
            <v>ATT Tank #18</v>
          </cell>
          <cell r="Z4" t="str">
            <v>ATT Tank #901</v>
          </cell>
          <cell r="AA4" t="str">
            <v>Total Inventory by Material</v>
          </cell>
        </row>
        <row r="5">
          <cell r="A5" t="str">
            <v>OSA</v>
          </cell>
          <cell r="B5">
            <v>0</v>
          </cell>
          <cell r="C5">
            <v>369120.9</v>
          </cell>
          <cell r="D5">
            <v>0</v>
          </cell>
          <cell r="E5">
            <v>333261.09999999998</v>
          </cell>
          <cell r="F5">
            <v>9965.6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6174.4</v>
          </cell>
          <cell r="L5">
            <v>0</v>
          </cell>
          <cell r="M5">
            <v>11489.8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19203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30692.799999999999</v>
          </cell>
        </row>
        <row r="6">
          <cell r="A6" t="str">
            <v>OSB</v>
          </cell>
          <cell r="B6">
            <v>22863.3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3076</v>
          </cell>
          <cell r="Z6">
            <v>0</v>
          </cell>
          <cell r="AA6">
            <v>3076</v>
          </cell>
        </row>
        <row r="7">
          <cell r="A7" t="str">
            <v>OSC</v>
          </cell>
          <cell r="B7">
            <v>0</v>
          </cell>
          <cell r="C7">
            <v>541.1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</row>
        <row r="8">
          <cell r="A8" t="str">
            <v>OSD</v>
          </cell>
          <cell r="B8">
            <v>0</v>
          </cell>
          <cell r="C8">
            <v>50247.5</v>
          </cell>
          <cell r="D8">
            <v>0</v>
          </cell>
          <cell r="E8">
            <v>45271.8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22471.875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8926</v>
          </cell>
          <cell r="T8">
            <v>6845</v>
          </cell>
          <cell r="U8">
            <v>10516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26287</v>
          </cell>
        </row>
        <row r="9">
          <cell r="A9" t="str">
            <v>OSE</v>
          </cell>
          <cell r="B9">
            <v>81724.600000000006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</row>
        <row r="10">
          <cell r="A10" t="str">
            <v>OSN</v>
          </cell>
          <cell r="B10">
            <v>0</v>
          </cell>
          <cell r="C10">
            <v>33284.400000000001</v>
          </cell>
          <cell r="D10">
            <v>0</v>
          </cell>
          <cell r="E10">
            <v>10562.5</v>
          </cell>
          <cell r="F10">
            <v>0</v>
          </cell>
          <cell r="G10">
            <v>0</v>
          </cell>
          <cell r="H10">
            <v>0</v>
          </cell>
          <cell r="I10">
            <v>12549.2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16020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16020</v>
          </cell>
        </row>
        <row r="11">
          <cell r="A11" t="str">
            <v>OCC</v>
          </cell>
          <cell r="B11">
            <v>128318.8</v>
          </cell>
          <cell r="C11">
            <v>0</v>
          </cell>
          <cell r="D11">
            <v>0</v>
          </cell>
          <cell r="E11">
            <v>0</v>
          </cell>
          <cell r="F11">
            <v>150657.1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40079.599999999999</v>
          </cell>
          <cell r="N11">
            <v>0</v>
          </cell>
          <cell r="O11">
            <v>0</v>
          </cell>
          <cell r="P11">
            <v>2916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8042</v>
          </cell>
          <cell r="X11">
            <v>0</v>
          </cell>
          <cell r="Y11">
            <v>0</v>
          </cell>
          <cell r="Z11">
            <v>0</v>
          </cell>
          <cell r="AA11">
            <v>51037.599999999999</v>
          </cell>
        </row>
        <row r="12">
          <cell r="A12" t="str">
            <v>OSH</v>
          </cell>
          <cell r="B12">
            <v>324709.3</v>
          </cell>
          <cell r="C12">
            <v>0</v>
          </cell>
          <cell r="D12">
            <v>0</v>
          </cell>
          <cell r="E12">
            <v>0</v>
          </cell>
          <cell r="F12">
            <v>9806.4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324848.8</v>
          </cell>
          <cell r="M12">
            <v>100560.3</v>
          </cell>
          <cell r="N12">
            <v>3177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9801</v>
          </cell>
          <cell r="Y12">
            <v>0</v>
          </cell>
          <cell r="Z12">
            <v>0</v>
          </cell>
          <cell r="AA12">
            <v>113538.3</v>
          </cell>
        </row>
        <row r="13">
          <cell r="A13" t="str">
            <v>OSJ</v>
          </cell>
          <cell r="B13">
            <v>30275.1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23199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23199</v>
          </cell>
        </row>
        <row r="14">
          <cell r="A14" t="str">
            <v>OSR</v>
          </cell>
          <cell r="B14">
            <v>18560.5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</row>
        <row r="15">
          <cell r="A15" t="str">
            <v>OSU</v>
          </cell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211522.2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61397.599999999999</v>
          </cell>
          <cell r="O15">
            <v>10174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71571.600000000006</v>
          </cell>
        </row>
        <row r="16">
          <cell r="A16" t="str">
            <v>BHB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</row>
        <row r="17">
          <cell r="A17" t="str">
            <v>OSS</v>
          </cell>
          <cell r="B17">
            <v>1209.3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</row>
        <row r="18">
          <cell r="A18" t="str">
            <v>OSX</v>
          </cell>
          <cell r="B18">
            <v>0</v>
          </cell>
          <cell r="C18">
            <v>0</v>
          </cell>
          <cell r="D18">
            <v>0</v>
          </cell>
          <cell r="E18">
            <v>5017.5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</row>
        <row r="19">
          <cell r="A19" t="str">
            <v>Bitumen</v>
          </cell>
          <cell r="B19">
            <v>0</v>
          </cell>
          <cell r="C19">
            <v>0</v>
          </cell>
          <cell r="D19">
            <v>81208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524</v>
          </cell>
          <cell r="AA19">
            <v>524</v>
          </cell>
        </row>
        <row r="23">
          <cell r="A23" t="str">
            <v>Material</v>
          </cell>
          <cell r="B23" t="str">
            <v>Receipts Gateway1</v>
          </cell>
          <cell r="C23" t="str">
            <v>Tightline</v>
          </cell>
          <cell r="D23" t="str">
            <v>Deliveries Gibson Edmonton</v>
          </cell>
          <cell r="E23" t="str">
            <v>Deliveries Enbridge Edmonton</v>
          </cell>
          <cell r="F23" t="str">
            <v>PCAN Edmonton</v>
          </cell>
          <cell r="G23" t="str">
            <v>Pembina</v>
          </cell>
          <cell r="H23" t="str">
            <v>Shell Scotford</v>
          </cell>
          <cell r="I23" t="str">
            <v>Provident Williams</v>
          </cell>
          <cell r="J23" t="str">
            <v>Linefill</v>
          </cell>
          <cell r="K23" t="str">
            <v>Provident Scotford</v>
          </cell>
        </row>
        <row r="24">
          <cell r="A24" t="str">
            <v>OSA</v>
          </cell>
          <cell r="B24">
            <v>333261.09999999998</v>
          </cell>
          <cell r="C24">
            <v>10401.1</v>
          </cell>
          <cell r="E24">
            <v>281075.8</v>
          </cell>
          <cell r="F24">
            <v>3096.9</v>
          </cell>
          <cell r="H24">
            <v>65571.399999999994</v>
          </cell>
          <cell r="J24">
            <v>33679.9</v>
          </cell>
          <cell r="K24">
            <v>0</v>
          </cell>
        </row>
        <row r="25">
          <cell r="A25" t="str">
            <v>OSB</v>
          </cell>
        </row>
        <row r="26">
          <cell r="A26" t="str">
            <v>OSC</v>
          </cell>
          <cell r="B26">
            <v>0</v>
          </cell>
          <cell r="C26">
            <v>44599.8</v>
          </cell>
          <cell r="E26">
            <v>0</v>
          </cell>
          <cell r="F26">
            <v>44074.5</v>
          </cell>
          <cell r="J26">
            <v>0</v>
          </cell>
        </row>
        <row r="27">
          <cell r="A27" t="str">
            <v>OSD</v>
          </cell>
          <cell r="B27">
            <v>45271.8</v>
          </cell>
          <cell r="C27">
            <v>3553.8</v>
          </cell>
          <cell r="D27">
            <v>48141.9</v>
          </cell>
          <cell r="J27">
            <v>5043</v>
          </cell>
        </row>
        <row r="28">
          <cell r="A28" t="str">
            <v>OSE</v>
          </cell>
          <cell r="J28">
            <v>0</v>
          </cell>
        </row>
        <row r="29">
          <cell r="A29" t="str">
            <v>OSN</v>
          </cell>
          <cell r="B29">
            <v>10562.5</v>
          </cell>
          <cell r="C29">
            <v>0</v>
          </cell>
          <cell r="E29">
            <v>10664.2</v>
          </cell>
          <cell r="I29">
            <v>2587.9</v>
          </cell>
          <cell r="J29">
            <v>1150.0999999999999</v>
          </cell>
        </row>
        <row r="30">
          <cell r="A30" t="str">
            <v>OCC</v>
          </cell>
        </row>
        <row r="31">
          <cell r="A31" t="str">
            <v>OSH</v>
          </cell>
          <cell r="B31">
            <v>0</v>
          </cell>
          <cell r="E31">
            <v>0</v>
          </cell>
          <cell r="G31">
            <v>0</v>
          </cell>
          <cell r="H31">
            <v>0</v>
          </cell>
          <cell r="J31">
            <v>0</v>
          </cell>
        </row>
        <row r="32">
          <cell r="A32" t="str">
            <v>OSJ</v>
          </cell>
          <cell r="J32">
            <v>0</v>
          </cell>
        </row>
        <row r="33">
          <cell r="A33" t="str">
            <v>OSU</v>
          </cell>
        </row>
        <row r="34">
          <cell r="A34" t="str">
            <v>BHB</v>
          </cell>
        </row>
        <row r="35">
          <cell r="A35" t="str">
            <v>OSS</v>
          </cell>
        </row>
        <row r="36">
          <cell r="A36" t="str">
            <v>OSX</v>
          </cell>
          <cell r="B36">
            <v>5017.5</v>
          </cell>
          <cell r="D36">
            <v>0</v>
          </cell>
          <cell r="J36">
            <v>5015</v>
          </cell>
        </row>
        <row r="41">
          <cell r="A41" t="str">
            <v>Material</v>
          </cell>
          <cell r="B41" t="str">
            <v>Receipts</v>
          </cell>
          <cell r="C41" t="str">
            <v>Deliveries</v>
          </cell>
          <cell r="D41" t="str">
            <v>Inventory</v>
          </cell>
        </row>
        <row r="42">
          <cell r="A42" t="str">
            <v>OSD</v>
          </cell>
          <cell r="B42">
            <v>48141.9</v>
          </cell>
          <cell r="C42">
            <v>53009.78</v>
          </cell>
          <cell r="D42">
            <v>9665.2900000000009</v>
          </cell>
        </row>
        <row r="43">
          <cell r="A43" t="str">
            <v>OSX</v>
          </cell>
          <cell r="B43">
            <v>0</v>
          </cell>
        </row>
        <row r="46">
          <cell r="A46" t="str">
            <v>Material</v>
          </cell>
          <cell r="B46" t="str">
            <v>Receipts</v>
          </cell>
          <cell r="C46" t="str">
            <v>Deliveries</v>
          </cell>
          <cell r="D46" t="str">
            <v>Inventory</v>
          </cell>
          <cell r="E46" t="str">
            <v>Opening Inventory</v>
          </cell>
        </row>
        <row r="47">
          <cell r="A47" t="str">
            <v>OSA</v>
          </cell>
          <cell r="B47">
            <v>0</v>
          </cell>
          <cell r="C47">
            <v>0</v>
          </cell>
          <cell r="D47">
            <v>0</v>
          </cell>
          <cell r="E47">
            <v>0</v>
          </cell>
        </row>
        <row r="48">
          <cell r="A48" t="str">
            <v>OSN</v>
          </cell>
          <cell r="B48">
            <v>12549.2</v>
          </cell>
          <cell r="C48">
            <v>12549.2</v>
          </cell>
          <cell r="D48">
            <v>19567</v>
          </cell>
          <cell r="E48">
            <v>6189</v>
          </cell>
        </row>
        <row r="52">
          <cell r="A52" t="str">
            <v>Material</v>
          </cell>
          <cell r="B52" t="str">
            <v>Linefill</v>
          </cell>
        </row>
        <row r="53">
          <cell r="A53" t="str">
            <v>OSA</v>
          </cell>
          <cell r="B53">
            <v>989.1</v>
          </cell>
        </row>
        <row r="54">
          <cell r="A54" t="str">
            <v>OSN</v>
          </cell>
          <cell r="B54">
            <v>111.4</v>
          </cell>
        </row>
        <row r="55">
          <cell r="A55" t="str">
            <v>OSE</v>
          </cell>
          <cell r="B55">
            <v>130.4</v>
          </cell>
        </row>
        <row r="56">
          <cell r="A56" t="str">
            <v>OSB</v>
          </cell>
          <cell r="B56">
            <v>45.3</v>
          </cell>
        </row>
      </sheetData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>
        <row r="8">
          <cell r="B8" t="str">
            <v>JAN</v>
          </cell>
          <cell r="C8" t="str">
            <v>FEB</v>
          </cell>
          <cell r="D8" t="str">
            <v>MAR</v>
          </cell>
          <cell r="E8" t="str">
            <v>APR</v>
          </cell>
          <cell r="F8" t="str">
            <v>MAY</v>
          </cell>
          <cell r="G8" t="str">
            <v>JUN</v>
          </cell>
          <cell r="H8" t="str">
            <v>JUL</v>
          </cell>
          <cell r="I8" t="str">
            <v>AUG</v>
          </cell>
          <cell r="J8" t="str">
            <v>SEP</v>
          </cell>
          <cell r="K8" t="str">
            <v>OCT</v>
          </cell>
          <cell r="L8" t="str">
            <v>NOV</v>
          </cell>
          <cell r="M8" t="str">
            <v>DEC</v>
          </cell>
        </row>
        <row r="9">
          <cell r="A9" t="str">
            <v>MTHEND_ENB_EDM_SALES</v>
          </cell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</row>
        <row r="10">
          <cell r="A10" t="str">
            <v>MTHEND_ENB_HAR_SALES</v>
          </cell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</row>
        <row r="11">
          <cell r="A11" t="str">
            <v>MTHEND_FLINTHILLS_SALES</v>
          </cell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</row>
        <row r="12">
          <cell r="A12" t="str">
            <v xml:space="preserve">MTHEND_SHELL_SALES </v>
          </cell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</row>
        <row r="13">
          <cell r="A13" t="str">
            <v xml:space="preserve">MTHEND_PETCAN_SALES </v>
          </cell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</row>
        <row r="14">
          <cell r="A14" t="str">
            <v>MTHEND_PETCAN_MACKAY_SALES</v>
          </cell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</row>
        <row r="15">
          <cell r="A15" t="str">
            <v>MTHEND_GIBSON_SALES</v>
          </cell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</row>
        <row r="16">
          <cell r="A16" t="str">
            <v>MTHEND_KIRBYLAKE_SALES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</row>
        <row r="17">
          <cell r="A17" t="str">
            <v>MTHEND_WILLIAMSBUFFER_SALES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</row>
        <row r="18">
          <cell r="A18" t="str">
            <v>MTHEND_DIESEL_SALES</v>
          </cell>
          <cell r="B18">
            <v>25565.74609375</v>
          </cell>
          <cell r="C18">
            <v>0</v>
          </cell>
          <cell r="D18">
            <v>22511.5</v>
          </cell>
          <cell r="E18">
            <v>16546.41796875</v>
          </cell>
          <cell r="F18">
            <v>15816.2998046875</v>
          </cell>
          <cell r="G18">
            <v>12786.7001953125</v>
          </cell>
          <cell r="H18">
            <v>16244.2001953125</v>
          </cell>
          <cell r="I18">
            <v>23073.078125</v>
          </cell>
          <cell r="J18">
            <v>24536.904296875</v>
          </cell>
          <cell r="K18">
            <v>27614.751953125</v>
          </cell>
          <cell r="L18">
            <v>27023.599609375</v>
          </cell>
          <cell r="M18">
            <v>22471.875</v>
          </cell>
        </row>
        <row r="19">
          <cell r="A19" t="str">
            <v>MTHEND_3RDPARTY_BIT_SALES (not used)</v>
          </cell>
          <cell r="B19">
            <v>0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</row>
        <row r="20">
          <cell r="A20" t="str">
            <v>MTHEND_3RDPARTY_BIT_COKER_ADJ (not used)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</row>
        <row r="21">
          <cell r="A21" t="str">
            <v>MTHEND_KIRBYLK_INV_COKER_ADJ (not used)</v>
          </cell>
          <cell r="B21">
            <v>0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</row>
        <row r="22">
          <cell r="A22" t="str">
            <v>MTHEND_LVGO_LINE8_FLUSH</v>
          </cell>
          <cell r="B22">
            <v>0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</row>
        <row r="23">
          <cell r="A23" t="str">
            <v>MTHEND_FIREBAG_BIT_SALES</v>
          </cell>
          <cell r="B23">
            <v>0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</row>
        <row r="24">
          <cell r="A24" t="str">
            <v>MTHEND_SALES_ADJ</v>
          </cell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</row>
        <row r="25">
          <cell r="A25" t="str">
            <v>MTHEND_GIBSON_HARDISTY_SALES</v>
          </cell>
          <cell r="B25">
            <v>0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</row>
        <row r="26">
          <cell r="A26" t="str">
            <v>TOT_OILSANDS_BIT_RECOV_MAN</v>
          </cell>
          <cell r="B26">
            <v>9051492</v>
          </cell>
          <cell r="C26">
            <v>7723192</v>
          </cell>
          <cell r="D26">
            <v>9161487</v>
          </cell>
          <cell r="E26">
            <v>7283375</v>
          </cell>
          <cell r="F26">
            <v>9686321</v>
          </cell>
          <cell r="G26">
            <v>3801556</v>
          </cell>
          <cell r="H26">
            <v>5702079</v>
          </cell>
          <cell r="I26">
            <v>10232902</v>
          </cell>
          <cell r="J26">
            <v>9897649</v>
          </cell>
          <cell r="K26">
            <v>9176652</v>
          </cell>
          <cell r="L26">
            <v>8885914</v>
          </cell>
          <cell r="M26">
            <v>8351850</v>
          </cell>
        </row>
        <row r="27">
          <cell r="A27" t="str">
            <v>EXT_BIT_RECOV_MAN</v>
          </cell>
          <cell r="B27">
            <v>93.180000305175781</v>
          </cell>
          <cell r="C27">
            <v>92.93</v>
          </cell>
          <cell r="D27">
            <v>92.55999755859375</v>
          </cell>
          <cell r="E27">
            <v>91.720001220703125</v>
          </cell>
          <cell r="F27">
            <v>93.800003051757813</v>
          </cell>
          <cell r="G27">
            <v>90.599998474121094</v>
          </cell>
          <cell r="H27">
            <v>92.419998168945313</v>
          </cell>
          <cell r="I27">
            <v>92.769996643066406</v>
          </cell>
          <cell r="J27">
            <v>93.260002136230469</v>
          </cell>
          <cell r="K27">
            <v>93.220001220703125</v>
          </cell>
          <cell r="L27">
            <v>94.660003662109375</v>
          </cell>
          <cell r="M27">
            <v>93.019996643066406</v>
          </cell>
        </row>
        <row r="28">
          <cell r="A28" t="str">
            <v>EXT_P16_TAILS_BIT_BBL_MAN</v>
          </cell>
          <cell r="B28">
            <v>173478</v>
          </cell>
          <cell r="C28">
            <v>151136</v>
          </cell>
          <cell r="D28">
            <v>157831</v>
          </cell>
          <cell r="E28">
            <v>136240</v>
          </cell>
          <cell r="F28">
            <v>201771</v>
          </cell>
          <cell r="G28">
            <v>92954</v>
          </cell>
          <cell r="H28">
            <v>120027</v>
          </cell>
          <cell r="I28">
            <v>236854</v>
          </cell>
          <cell r="J28">
            <v>222750</v>
          </cell>
          <cell r="K28">
            <v>142153</v>
          </cell>
          <cell r="L28">
            <v>129964</v>
          </cell>
          <cell r="M28">
            <v>150126</v>
          </cell>
        </row>
        <row r="29">
          <cell r="A29" t="str">
            <v>MTHEND_CONOCO_SALES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</row>
        <row r="30">
          <cell r="A30" t="str">
            <v>MTHEND_FIREBAG_DSL_SALES</v>
          </cell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</row>
        <row r="31">
          <cell r="A31" t="str">
            <v>EXT_DIL_RECOV_MAN</v>
          </cell>
          <cell r="B31">
            <v>99.480003356933594</v>
          </cell>
          <cell r="C31">
            <v>99.419998168945313</v>
          </cell>
          <cell r="D31">
            <v>99.419998168945313</v>
          </cell>
          <cell r="E31">
            <v>99.480003356933594</v>
          </cell>
          <cell r="F31">
            <v>99.370002746582031</v>
          </cell>
          <cell r="G31">
            <v>99.339996337890625</v>
          </cell>
          <cell r="H31">
            <v>99.569999694824219</v>
          </cell>
          <cell r="I31">
            <v>99.400001525878906</v>
          </cell>
          <cell r="J31">
            <v>99.410003662109375</v>
          </cell>
          <cell r="K31">
            <v>99.639999389648438</v>
          </cell>
          <cell r="L31">
            <v>99.620002746582031</v>
          </cell>
          <cell r="M31">
            <v>99.55999755859375</v>
          </cell>
        </row>
        <row r="32">
          <cell r="A32" t="str">
            <v>MTHEND_CNRL_FROTH_SALES</v>
          </cell>
          <cell r="B32">
            <v>0</v>
          </cell>
          <cell r="C32">
            <v>0</v>
          </cell>
          <cell r="D32">
            <v>0</v>
          </cell>
          <cell r="E32">
            <v>0</v>
          </cell>
          <cell r="F32">
            <v>17</v>
          </cell>
          <cell r="G32">
            <v>10</v>
          </cell>
          <cell r="H32">
            <v>0</v>
          </cell>
          <cell r="I32">
            <v>0</v>
          </cell>
          <cell r="J32">
            <v>11</v>
          </cell>
          <cell r="K32">
            <v>13</v>
          </cell>
          <cell r="L32">
            <v>0</v>
          </cell>
          <cell r="M32">
            <v>0</v>
          </cell>
        </row>
        <row r="33">
          <cell r="A33" t="str">
            <v>MTHEND_ROBINSON_SALES</v>
          </cell>
          <cell r="B33">
            <v>0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</row>
        <row r="34">
          <cell r="A34" t="str">
            <v>GRATUITIES</v>
          </cell>
          <cell r="B34">
            <v>0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</row>
        <row r="35">
          <cell r="A35" t="str">
            <v>MTHEND_FB_NEWALTA_SALES</v>
          </cell>
          <cell r="B35">
            <v>0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</row>
        <row r="36">
          <cell r="A36" t="str">
            <v>MTHEND_COKE_SALES</v>
          </cell>
          <cell r="B36">
            <v>20853</v>
          </cell>
          <cell r="C36">
            <v>15816.2998046875</v>
          </cell>
          <cell r="D36">
            <v>15034.349609375</v>
          </cell>
          <cell r="E36">
            <v>21380.759765625</v>
          </cell>
          <cell r="F36">
            <v>22923.060546875</v>
          </cell>
          <cell r="G36">
            <v>19584.900390625</v>
          </cell>
          <cell r="H36">
            <v>0</v>
          </cell>
          <cell r="I36">
            <v>9361.419921875</v>
          </cell>
          <cell r="J36">
            <v>14027.009765625</v>
          </cell>
          <cell r="K36">
            <v>16632.69921875</v>
          </cell>
          <cell r="L36">
            <v>16580.830078125</v>
          </cell>
          <cell r="M36">
            <v>9643.7099609375</v>
          </cell>
        </row>
        <row r="37">
          <cell r="A37" t="str">
            <v>MTHEND_SUL_SALES</v>
          </cell>
          <cell r="B37">
            <v>36436.30078125</v>
          </cell>
          <cell r="C37">
            <v>33886.3984375</v>
          </cell>
          <cell r="D37">
            <v>37715.6015625</v>
          </cell>
          <cell r="E37">
            <v>37688.328125</v>
          </cell>
          <cell r="F37">
            <v>41702.6015625</v>
          </cell>
          <cell r="G37">
            <v>19838.099609375</v>
          </cell>
          <cell r="H37">
            <v>23858.5</v>
          </cell>
          <cell r="I37">
            <v>42203.640625</v>
          </cell>
          <cell r="J37">
            <v>42521.05859375</v>
          </cell>
          <cell r="K37">
            <v>40676.71875</v>
          </cell>
          <cell r="L37">
            <v>36932.7890625</v>
          </cell>
          <cell r="M37">
            <v>33219.48046875</v>
          </cell>
        </row>
        <row r="38">
          <cell r="A38" t="str">
            <v>MTHEND_GYPSUM_SALES</v>
          </cell>
          <cell r="B38">
            <v>0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3629.89990234375</v>
          </cell>
          <cell r="I38">
            <v>16893.919921875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</row>
        <row r="39">
          <cell r="A39" t="str">
            <v>OILSAND_MINED_SB</v>
          </cell>
          <cell r="B39">
            <v>0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</row>
        <row r="40">
          <cell r="A40" t="str">
            <v>OILSAND_MINED_MIL</v>
          </cell>
          <cell r="B40">
            <v>12649827</v>
          </cell>
          <cell r="C40">
            <v>10408996</v>
          </cell>
          <cell r="D40">
            <v>12670073</v>
          </cell>
          <cell r="E40">
            <v>9913450</v>
          </cell>
          <cell r="F40">
            <v>12798659</v>
          </cell>
          <cell r="G40">
            <v>5992934</v>
          </cell>
          <cell r="H40">
            <v>7626513</v>
          </cell>
          <cell r="I40">
            <v>14076856</v>
          </cell>
          <cell r="J40">
            <v>13677601</v>
          </cell>
          <cell r="K40">
            <v>12035091</v>
          </cell>
          <cell r="L40">
            <v>11414159</v>
          </cell>
          <cell r="M40">
            <v>11125362</v>
          </cell>
        </row>
        <row r="41">
          <cell r="A41" t="str">
            <v>P5_BUTANE_FLARED_MAN</v>
          </cell>
          <cell r="B41">
            <v>5858</v>
          </cell>
          <cell r="C41">
            <v>5700</v>
          </cell>
          <cell r="D41">
            <v>1603</v>
          </cell>
          <cell r="E41">
            <v>21436</v>
          </cell>
          <cell r="F41">
            <v>3782</v>
          </cell>
          <cell r="G41">
            <v>211</v>
          </cell>
          <cell r="H41">
            <v>2332</v>
          </cell>
          <cell r="I41">
            <v>1229</v>
          </cell>
          <cell r="J41">
            <v>1229</v>
          </cell>
          <cell r="K41">
            <v>8328</v>
          </cell>
          <cell r="L41">
            <v>7627</v>
          </cell>
          <cell r="M41">
            <v>1716</v>
          </cell>
        </row>
        <row r="42">
          <cell r="A42" t="str">
            <v>20D32_TO_MINE_FUEL</v>
          </cell>
          <cell r="B42">
            <v>70573.6328125</v>
          </cell>
          <cell r="C42">
            <v>62858.390625</v>
          </cell>
          <cell r="D42">
            <v>64194.33984375</v>
          </cell>
          <cell r="E42">
            <v>88211.078125</v>
          </cell>
          <cell r="F42">
            <v>101010.3984375</v>
          </cell>
          <cell r="G42">
            <v>98123.796875</v>
          </cell>
          <cell r="H42">
            <v>96237.7734375</v>
          </cell>
          <cell r="I42">
            <v>89558.640625</v>
          </cell>
          <cell r="J42">
            <v>86575.6015625</v>
          </cell>
          <cell r="K42">
            <v>88962.453125</v>
          </cell>
          <cell r="L42">
            <v>88337.9609375</v>
          </cell>
          <cell r="M42">
            <v>82713.1015625</v>
          </cell>
        </row>
        <row r="43">
          <cell r="A43" t="str">
            <v>DYKE_ROAD_COKE</v>
          </cell>
          <cell r="B43">
            <v>27195</v>
          </cell>
          <cell r="C43">
            <v>34766</v>
          </cell>
          <cell r="D43">
            <v>29037</v>
          </cell>
          <cell r="E43">
            <v>16840</v>
          </cell>
          <cell r="F43">
            <v>8683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11613</v>
          </cell>
        </row>
        <row r="44">
          <cell r="A44" t="str">
            <v>EXT_DIL_LOSSES_MAN</v>
          </cell>
          <cell r="B44">
            <v>31327</v>
          </cell>
          <cell r="C44">
            <v>28319</v>
          </cell>
          <cell r="D44">
            <v>35870</v>
          </cell>
          <cell r="E44">
            <v>25867</v>
          </cell>
          <cell r="F44">
            <v>41568</v>
          </cell>
          <cell r="G44">
            <v>18899</v>
          </cell>
          <cell r="H44">
            <v>16310</v>
          </cell>
          <cell r="I44">
            <v>42225</v>
          </cell>
          <cell r="J44">
            <v>40666</v>
          </cell>
          <cell r="K44">
            <v>23095</v>
          </cell>
          <cell r="L44">
            <v>23636</v>
          </cell>
          <cell r="M44">
            <v>24675</v>
          </cell>
        </row>
        <row r="45">
          <cell r="A45" t="str">
            <v>PGO_TO_20D58</v>
          </cell>
          <cell r="B45">
            <v>4043</v>
          </cell>
          <cell r="C45">
            <v>10928.900390625</v>
          </cell>
          <cell r="D45">
            <v>18262</v>
          </cell>
          <cell r="E45">
            <v>2795.5</v>
          </cell>
          <cell r="F45">
            <v>5082.7001953125</v>
          </cell>
          <cell r="G45">
            <v>0</v>
          </cell>
          <cell r="H45">
            <v>0</v>
          </cell>
          <cell r="I45">
            <v>0</v>
          </cell>
          <cell r="J45">
            <v>1792</v>
          </cell>
          <cell r="K45">
            <v>3200.800048828125</v>
          </cell>
          <cell r="L45">
            <v>17884.80078125</v>
          </cell>
          <cell r="M45">
            <v>18553.900390625</v>
          </cell>
        </row>
        <row r="46">
          <cell r="A46" t="str">
            <v>P31_20D58_PGO</v>
          </cell>
          <cell r="B46">
            <v>6151.1201171875</v>
          </cell>
          <cell r="C46">
            <v>17570.9296875</v>
          </cell>
          <cell r="D46">
            <v>26376.00390625</v>
          </cell>
          <cell r="E46">
            <v>2014.25</v>
          </cell>
          <cell r="F46">
            <v>10748.2001953125</v>
          </cell>
          <cell r="G46">
            <v>662.5</v>
          </cell>
          <cell r="H46">
            <v>3431.969970703125</v>
          </cell>
          <cell r="I46">
            <v>283.23599243164063</v>
          </cell>
          <cell r="J46">
            <v>549.66802978515625</v>
          </cell>
          <cell r="K46">
            <v>4950.74609375</v>
          </cell>
          <cell r="L46">
            <v>27065.4296875</v>
          </cell>
          <cell r="M46">
            <v>28301.486328125</v>
          </cell>
        </row>
        <row r="47">
          <cell r="A47" t="str">
            <v>EXT_P3_TAILS_BIT_BBL_MAN</v>
          </cell>
          <cell r="B47">
            <v>162865</v>
          </cell>
          <cell r="C47">
            <v>137063</v>
          </cell>
          <cell r="D47">
            <v>204324</v>
          </cell>
          <cell r="E47">
            <v>228072</v>
          </cell>
          <cell r="F47">
            <v>176235</v>
          </cell>
          <cell r="G47">
            <v>83550</v>
          </cell>
          <cell r="H47">
            <v>159890</v>
          </cell>
          <cell r="I47">
            <v>240054</v>
          </cell>
          <cell r="J47">
            <v>167588</v>
          </cell>
          <cell r="K47">
            <v>202701</v>
          </cell>
          <cell r="L47">
            <v>143555</v>
          </cell>
          <cell r="M47">
            <v>168943</v>
          </cell>
        </row>
        <row r="48">
          <cell r="A48" t="str">
            <v>EXT_P86_TAILS_BIT_BBL_MAN</v>
          </cell>
          <cell r="B48">
            <v>307459</v>
          </cell>
          <cell r="C48">
            <v>255684</v>
          </cell>
          <cell r="D48">
            <v>336766</v>
          </cell>
          <cell r="E48">
            <v>275805</v>
          </cell>
          <cell r="F48">
            <v>258256</v>
          </cell>
          <cell r="G48">
            <v>211704</v>
          </cell>
          <cell r="H48">
            <v>183284</v>
          </cell>
          <cell r="I48">
            <v>310769</v>
          </cell>
          <cell r="J48">
            <v>341161</v>
          </cell>
          <cell r="K48">
            <v>315739</v>
          </cell>
          <cell r="L48">
            <v>221747</v>
          </cell>
          <cell r="M48">
            <v>295793</v>
          </cell>
        </row>
        <row r="49">
          <cell r="A49" t="str">
            <v>EXT_P82_OVSZ_BIT_BBL_MAN</v>
          </cell>
          <cell r="B49">
            <v>9501</v>
          </cell>
          <cell r="C49">
            <v>33936</v>
          </cell>
          <cell r="D49">
            <v>29022</v>
          </cell>
          <cell r="E49">
            <v>10660</v>
          </cell>
          <cell r="F49">
            <v>2031</v>
          </cell>
          <cell r="G49">
            <v>833</v>
          </cell>
          <cell r="H49">
            <v>857</v>
          </cell>
          <cell r="I49">
            <v>82</v>
          </cell>
          <cell r="J49">
            <v>39</v>
          </cell>
          <cell r="K49">
            <v>1843</v>
          </cell>
          <cell r="L49">
            <v>1138</v>
          </cell>
          <cell r="M49">
            <v>895</v>
          </cell>
        </row>
        <row r="50">
          <cell r="A50" t="str">
            <v>EXT_MILL_OVSZ_BIT_BBL_MAN</v>
          </cell>
          <cell r="B50">
            <v>11564</v>
          </cell>
          <cell r="C50">
            <v>11784</v>
          </cell>
          <cell r="D50">
            <v>7339</v>
          </cell>
          <cell r="E50">
            <v>982</v>
          </cell>
          <cell r="F50">
            <v>1820</v>
          </cell>
          <cell r="G50">
            <v>5246</v>
          </cell>
          <cell r="H50">
            <v>3277</v>
          </cell>
          <cell r="I50">
            <v>4221</v>
          </cell>
          <cell r="J50">
            <v>1887</v>
          </cell>
          <cell r="K50">
            <v>2603</v>
          </cell>
          <cell r="L50">
            <v>4513</v>
          </cell>
          <cell r="M50">
            <v>1824</v>
          </cell>
        </row>
      </sheetData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euil1"/>
    </sheetNames>
    <sheetDataSet>
      <sheetData sheetId="0" refreshError="1">
        <row r="8">
          <cell r="D8">
            <v>0</v>
          </cell>
          <cell r="E8">
            <v>0</v>
          </cell>
          <cell r="G8">
            <v>224</v>
          </cell>
          <cell r="H8">
            <v>80716700</v>
          </cell>
          <cell r="I8">
            <v>0.75105906434727887</v>
          </cell>
          <cell r="K8">
            <v>210</v>
          </cell>
          <cell r="L8">
            <v>11667511</v>
          </cell>
          <cell r="M8">
            <v>0.72637804622596869</v>
          </cell>
          <cell r="R8">
            <v>5</v>
          </cell>
          <cell r="S8">
            <v>44165.9638671875</v>
          </cell>
          <cell r="X8">
            <v>5</v>
          </cell>
          <cell r="Y8">
            <v>559916</v>
          </cell>
          <cell r="Z8">
            <v>0.832509241994984</v>
          </cell>
        </row>
        <row r="9">
          <cell r="D9">
            <v>8</v>
          </cell>
          <cell r="E9">
            <v>340122.03125</v>
          </cell>
          <cell r="G9">
            <v>505</v>
          </cell>
          <cell r="H9">
            <v>2450837</v>
          </cell>
          <cell r="I9">
            <v>0.58070522792825463</v>
          </cell>
          <cell r="K9">
            <v>224</v>
          </cell>
          <cell r="L9">
            <v>165748825</v>
          </cell>
          <cell r="M9">
            <v>0.72582804563169612</v>
          </cell>
          <cell r="R9">
            <v>8</v>
          </cell>
          <cell r="S9">
            <v>269236.375</v>
          </cell>
          <cell r="X9">
            <v>8</v>
          </cell>
          <cell r="Y9">
            <v>512595</v>
          </cell>
          <cell r="Z9">
            <v>0.84421134799264996</v>
          </cell>
        </row>
        <row r="10">
          <cell r="D10">
            <v>13</v>
          </cell>
          <cell r="E10">
            <v>328878.5</v>
          </cell>
          <cell r="G10">
            <v>562</v>
          </cell>
          <cell r="H10">
            <v>2349074</v>
          </cell>
          <cell r="I10">
            <v>0.81931247657587636</v>
          </cell>
          <cell r="K10">
            <v>310</v>
          </cell>
          <cell r="L10">
            <v>14872760</v>
          </cell>
          <cell r="M10">
            <v>0.81184279609164667</v>
          </cell>
          <cell r="R10">
            <v>13</v>
          </cell>
          <cell r="S10">
            <v>323605.71875</v>
          </cell>
          <cell r="X10">
            <v>13</v>
          </cell>
          <cell r="Y10">
            <v>117758</v>
          </cell>
          <cell r="Z10">
            <v>0.88900000052920802</v>
          </cell>
        </row>
        <row r="11">
          <cell r="D11">
            <v>38</v>
          </cell>
          <cell r="E11">
            <v>71470.109375</v>
          </cell>
          <cell r="G11">
            <v>569</v>
          </cell>
          <cell r="H11">
            <v>45452452</v>
          </cell>
          <cell r="I11">
            <v>0.88190000000000013</v>
          </cell>
          <cell r="K11">
            <v>320</v>
          </cell>
          <cell r="L11">
            <v>628142</v>
          </cell>
          <cell r="M11">
            <v>0.80589999999999984</v>
          </cell>
          <cell r="R11">
            <v>20</v>
          </cell>
          <cell r="S11">
            <v>2302.9000549316402</v>
          </cell>
          <cell r="X11">
            <v>33</v>
          </cell>
          <cell r="Y11">
            <v>116705</v>
          </cell>
          <cell r="Z11">
            <v>0.83240003798904205</v>
          </cell>
        </row>
        <row r="12">
          <cell r="D12">
            <v>210</v>
          </cell>
          <cell r="E12">
            <v>87500.4443359375</v>
          </cell>
          <cell r="G12">
            <v>595</v>
          </cell>
          <cell r="H12">
            <v>1466846</v>
          </cell>
          <cell r="I12">
            <v>0.50923199913283324</v>
          </cell>
          <cell r="K12">
            <v>330</v>
          </cell>
          <cell r="L12">
            <v>38012105</v>
          </cell>
          <cell r="M12">
            <v>0.83004195596902608</v>
          </cell>
          <cell r="R12">
            <v>33</v>
          </cell>
          <cell r="S12">
            <v>21943.052246093801</v>
          </cell>
          <cell r="X12">
            <v>395</v>
          </cell>
          <cell r="Y12">
            <v>3000</v>
          </cell>
          <cell r="Z12">
            <v>0</v>
          </cell>
        </row>
        <row r="13">
          <cell r="D13">
            <v>224</v>
          </cell>
          <cell r="E13">
            <v>270340.14306640602</v>
          </cell>
          <cell r="G13">
            <v>598</v>
          </cell>
          <cell r="H13">
            <v>2319241</v>
          </cell>
          <cell r="I13">
            <v>0.69200260900009947</v>
          </cell>
          <cell r="K13">
            <v>335</v>
          </cell>
          <cell r="L13">
            <v>22343758</v>
          </cell>
          <cell r="M13">
            <v>0.81666112620804421</v>
          </cell>
          <cell r="R13">
            <v>38</v>
          </cell>
          <cell r="S13">
            <v>70870.171875</v>
          </cell>
          <cell r="X13">
            <v>570</v>
          </cell>
          <cell r="Y13">
            <v>7575</v>
          </cell>
          <cell r="Z13">
            <v>0</v>
          </cell>
        </row>
        <row r="14">
          <cell r="D14">
            <v>230</v>
          </cell>
          <cell r="E14">
            <v>3009.87231445313</v>
          </cell>
          <cell r="G14">
            <v>655</v>
          </cell>
          <cell r="H14">
            <v>29296</v>
          </cell>
          <cell r="I14">
            <v>1.0287999999999999</v>
          </cell>
          <cell r="K14">
            <v>337</v>
          </cell>
          <cell r="L14">
            <v>59086</v>
          </cell>
          <cell r="M14">
            <v>0.81501991165419896</v>
          </cell>
          <cell r="R14">
            <v>44</v>
          </cell>
          <cell r="S14">
            <v>0</v>
          </cell>
        </row>
        <row r="15">
          <cell r="D15">
            <v>250</v>
          </cell>
          <cell r="E15">
            <v>6957.6328125</v>
          </cell>
          <cell r="G15">
            <v>657</v>
          </cell>
          <cell r="H15">
            <v>9835</v>
          </cell>
          <cell r="I15">
            <v>1.032</v>
          </cell>
          <cell r="K15">
            <v>338</v>
          </cell>
          <cell r="L15">
            <v>414431</v>
          </cell>
          <cell r="M15">
            <v>0.80589999999999973</v>
          </cell>
          <cell r="R15">
            <v>395</v>
          </cell>
          <cell r="S15">
            <v>2984.62963867188</v>
          </cell>
        </row>
        <row r="16">
          <cell r="D16">
            <v>255</v>
          </cell>
          <cell r="E16">
            <v>21665.392578125</v>
          </cell>
          <cell r="G16">
            <v>922</v>
          </cell>
          <cell r="H16">
            <v>1510754</v>
          </cell>
          <cell r="I16">
            <v>0.9058666420873287</v>
          </cell>
          <cell r="K16">
            <v>395</v>
          </cell>
          <cell r="L16">
            <v>31261</v>
          </cell>
          <cell r="M16">
            <v>0.9536</v>
          </cell>
          <cell r="R16">
            <v>560</v>
          </cell>
          <cell r="S16">
            <v>0</v>
          </cell>
        </row>
        <row r="17">
          <cell r="D17">
            <v>256</v>
          </cell>
          <cell r="E17">
            <v>2418.32543945313</v>
          </cell>
          <cell r="K17">
            <v>410</v>
          </cell>
          <cell r="L17">
            <v>13497916</v>
          </cell>
          <cell r="M17">
            <v>0.82914411418770129</v>
          </cell>
          <cell r="R17">
            <v>570</v>
          </cell>
          <cell r="S17">
            <v>8718.83984375</v>
          </cell>
        </row>
        <row r="18">
          <cell r="D18">
            <v>257</v>
          </cell>
          <cell r="E18">
            <v>2170.517578125</v>
          </cell>
          <cell r="K18">
            <v>420</v>
          </cell>
          <cell r="L18">
            <v>28347274</v>
          </cell>
          <cell r="M18">
            <v>0.83181635412279853</v>
          </cell>
        </row>
        <row r="19">
          <cell r="D19">
            <v>258</v>
          </cell>
          <cell r="E19">
            <v>1148.05749511719</v>
          </cell>
          <cell r="K19">
            <v>501</v>
          </cell>
          <cell r="L19">
            <v>10576270</v>
          </cell>
          <cell r="M19">
            <v>1.0071263957141789</v>
          </cell>
        </row>
        <row r="20">
          <cell r="D20">
            <v>260</v>
          </cell>
          <cell r="E20">
            <v>3734.95263671875</v>
          </cell>
          <cell r="K20">
            <v>510</v>
          </cell>
          <cell r="L20">
            <v>1359509</v>
          </cell>
          <cell r="M20">
            <v>1.0898738648291406</v>
          </cell>
        </row>
        <row r="21">
          <cell r="D21">
            <v>270</v>
          </cell>
          <cell r="E21">
            <v>17308.798339843801</v>
          </cell>
          <cell r="K21">
            <v>590</v>
          </cell>
          <cell r="L21">
            <v>27808</v>
          </cell>
          <cell r="M21">
            <v>0.57430000000000003</v>
          </cell>
        </row>
        <row r="22">
          <cell r="D22">
            <v>277</v>
          </cell>
          <cell r="E22">
            <v>259.42575073242199</v>
          </cell>
          <cell r="K22">
            <v>593</v>
          </cell>
          <cell r="L22">
            <v>1499352</v>
          </cell>
          <cell r="M22">
            <v>0.51900000000000002</v>
          </cell>
        </row>
        <row r="23">
          <cell r="D23">
            <v>285</v>
          </cell>
          <cell r="E23">
            <v>210349</v>
          </cell>
          <cell r="K23">
            <v>595</v>
          </cell>
          <cell r="L23">
            <v>2905858</v>
          </cell>
          <cell r="M23">
            <v>0.50949999999999984</v>
          </cell>
        </row>
        <row r="24">
          <cell r="D24">
            <v>310</v>
          </cell>
          <cell r="E24">
            <v>144354.591796875</v>
          </cell>
          <cell r="K24">
            <v>600</v>
          </cell>
          <cell r="L24">
            <v>921618</v>
          </cell>
          <cell r="M24">
            <v>1.0219999999999998</v>
          </cell>
        </row>
        <row r="25">
          <cell r="D25">
            <v>320</v>
          </cell>
          <cell r="E25">
            <v>30824.388671875</v>
          </cell>
          <cell r="K25">
            <v>603</v>
          </cell>
          <cell r="L25">
            <v>1551811</v>
          </cell>
          <cell r="M25">
            <v>1.0260692909123597</v>
          </cell>
        </row>
        <row r="26">
          <cell r="D26">
            <v>330</v>
          </cell>
          <cell r="E26">
            <v>64955.781738281301</v>
          </cell>
          <cell r="K26">
            <v>605</v>
          </cell>
          <cell r="L26">
            <v>11553309</v>
          </cell>
          <cell r="M26">
            <v>1.0173543877083173</v>
          </cell>
        </row>
        <row r="27">
          <cell r="D27">
            <v>335</v>
          </cell>
          <cell r="E27">
            <v>254918.62548828099</v>
          </cell>
          <cell r="K27">
            <v>615</v>
          </cell>
          <cell r="L27">
            <v>195778</v>
          </cell>
          <cell r="M27">
            <v>0.92169999999999996</v>
          </cell>
        </row>
        <row r="28">
          <cell r="D28">
            <v>391</v>
          </cell>
          <cell r="E28">
            <v>4218.83447265625</v>
          </cell>
          <cell r="K28">
            <v>624</v>
          </cell>
          <cell r="L28">
            <v>36847</v>
          </cell>
          <cell r="M28">
            <v>0.96150000000000002</v>
          </cell>
        </row>
        <row r="29">
          <cell r="D29">
            <v>395</v>
          </cell>
          <cell r="E29">
            <v>77385.157348632798</v>
          </cell>
          <cell r="K29">
            <v>642</v>
          </cell>
          <cell r="L29">
            <v>182739</v>
          </cell>
          <cell r="M29">
            <v>0.96710000000000007</v>
          </cell>
        </row>
        <row r="30">
          <cell r="D30">
            <v>410</v>
          </cell>
          <cell r="E30">
            <v>18726.391113281301</v>
          </cell>
          <cell r="K30">
            <v>661</v>
          </cell>
          <cell r="L30">
            <v>126615</v>
          </cell>
          <cell r="M30">
            <v>0.9083</v>
          </cell>
        </row>
        <row r="31">
          <cell r="D31">
            <v>420</v>
          </cell>
          <cell r="E31">
            <v>81975.396484375</v>
          </cell>
          <cell r="K31">
            <v>672</v>
          </cell>
          <cell r="L31">
            <v>-39979</v>
          </cell>
          <cell r="M31">
            <v>1.0218</v>
          </cell>
        </row>
        <row r="32">
          <cell r="D32">
            <v>500</v>
          </cell>
          <cell r="E32">
            <v>141514.15625</v>
          </cell>
          <cell r="K32">
            <v>676</v>
          </cell>
          <cell r="L32">
            <v>3495778</v>
          </cell>
          <cell r="M32">
            <v>1.0169999999999999</v>
          </cell>
        </row>
        <row r="33">
          <cell r="D33">
            <v>501</v>
          </cell>
          <cell r="E33">
            <v>82008.170166015596</v>
          </cell>
          <cell r="K33">
            <v>694</v>
          </cell>
          <cell r="L33">
            <v>343997</v>
          </cell>
          <cell r="M33">
            <v>0.81276492236850906</v>
          </cell>
        </row>
        <row r="34">
          <cell r="D34">
            <v>504</v>
          </cell>
          <cell r="E34">
            <v>5547.27490234375</v>
          </cell>
          <cell r="K34">
            <v>750</v>
          </cell>
          <cell r="L34">
            <v>10646389</v>
          </cell>
          <cell r="M34">
            <v>0.88412326398180652</v>
          </cell>
        </row>
        <row r="35">
          <cell r="D35">
            <v>510</v>
          </cell>
          <cell r="E35">
            <v>400.66934204101602</v>
          </cell>
          <cell r="K35">
            <v>760</v>
          </cell>
          <cell r="L35">
            <v>4298263</v>
          </cell>
          <cell r="M35">
            <v>0.871</v>
          </cell>
        </row>
        <row r="36">
          <cell r="D36">
            <v>511</v>
          </cell>
          <cell r="E36">
            <v>66997.171875</v>
          </cell>
          <cell r="K36">
            <v>793</v>
          </cell>
          <cell r="L36">
            <v>2041139</v>
          </cell>
          <cell r="M36">
            <v>0.88419999999999999</v>
          </cell>
        </row>
        <row r="37">
          <cell r="D37">
            <v>550</v>
          </cell>
          <cell r="E37">
            <v>8473.0595703125</v>
          </cell>
          <cell r="K37">
            <v>795</v>
          </cell>
          <cell r="L37">
            <v>5865926</v>
          </cell>
          <cell r="M37">
            <v>0.87003678345072888</v>
          </cell>
        </row>
        <row r="38">
          <cell r="D38">
            <v>560</v>
          </cell>
          <cell r="E38">
            <v>8005.2404174804697</v>
          </cell>
          <cell r="K38">
            <v>800</v>
          </cell>
          <cell r="L38">
            <v>2018708</v>
          </cell>
          <cell r="M38">
            <v>0.74409999999999998</v>
          </cell>
        </row>
        <row r="39">
          <cell r="D39">
            <v>562</v>
          </cell>
          <cell r="E39">
            <v>7301.9219970703098</v>
          </cell>
          <cell r="K39">
            <v>801</v>
          </cell>
          <cell r="L39">
            <v>604421</v>
          </cell>
          <cell r="M39">
            <v>0.87103344192210375</v>
          </cell>
        </row>
        <row r="40">
          <cell r="D40">
            <v>563</v>
          </cell>
          <cell r="E40">
            <v>25656.626953125</v>
          </cell>
        </row>
        <row r="41">
          <cell r="D41">
            <v>570</v>
          </cell>
          <cell r="E41">
            <v>262958.76953125</v>
          </cell>
        </row>
        <row r="42">
          <cell r="D42">
            <v>571</v>
          </cell>
          <cell r="E42">
            <v>236551.0859375</v>
          </cell>
        </row>
        <row r="43">
          <cell r="D43">
            <v>590</v>
          </cell>
          <cell r="E43">
            <v>4836.7807922363299</v>
          </cell>
        </row>
        <row r="44">
          <cell r="D44">
            <v>593</v>
          </cell>
          <cell r="E44">
            <v>1758.40075683594</v>
          </cell>
        </row>
        <row r="45">
          <cell r="D45">
            <v>595</v>
          </cell>
          <cell r="E45">
            <v>3236.4089965820299</v>
          </cell>
        </row>
        <row r="46">
          <cell r="D46">
            <v>596</v>
          </cell>
          <cell r="E46">
            <v>2801.3558349609398</v>
          </cell>
        </row>
        <row r="47">
          <cell r="D47">
            <v>600</v>
          </cell>
          <cell r="E47">
            <v>99304.869476318403</v>
          </cell>
        </row>
        <row r="48">
          <cell r="D48">
            <v>615</v>
          </cell>
          <cell r="E48">
            <v>421.77304077148398</v>
          </cell>
        </row>
        <row r="49">
          <cell r="D49">
            <v>630</v>
          </cell>
          <cell r="E49">
            <v>29416.5866699219</v>
          </cell>
        </row>
        <row r="50">
          <cell r="D50">
            <v>645</v>
          </cell>
          <cell r="E50">
            <v>1468.1982421875</v>
          </cell>
        </row>
        <row r="51">
          <cell r="D51">
            <v>655</v>
          </cell>
          <cell r="E51">
            <v>249.84413146972699</v>
          </cell>
        </row>
        <row r="52">
          <cell r="D52">
            <v>661</v>
          </cell>
          <cell r="E52">
            <v>50.8161010742188</v>
          </cell>
        </row>
        <row r="53">
          <cell r="D53">
            <v>689</v>
          </cell>
          <cell r="E53">
            <v>5702.5623931884802</v>
          </cell>
        </row>
        <row r="54">
          <cell r="D54">
            <v>694</v>
          </cell>
          <cell r="E54">
            <v>6732.7681274414099</v>
          </cell>
        </row>
        <row r="55">
          <cell r="D55">
            <v>750</v>
          </cell>
          <cell r="E55">
            <v>26576.231597900402</v>
          </cell>
        </row>
        <row r="56">
          <cell r="D56">
            <v>760</v>
          </cell>
          <cell r="E56">
            <v>6058.0894165039099</v>
          </cell>
        </row>
        <row r="57">
          <cell r="D57">
            <v>791</v>
          </cell>
          <cell r="E57">
            <v>433.85371208190901</v>
          </cell>
        </row>
        <row r="58">
          <cell r="D58">
            <v>793</v>
          </cell>
          <cell r="E58">
            <v>3729.65480041504</v>
          </cell>
        </row>
        <row r="59">
          <cell r="D59">
            <v>795</v>
          </cell>
          <cell r="E59">
            <v>23048.517719268799</v>
          </cell>
        </row>
        <row r="60">
          <cell r="D60">
            <v>796</v>
          </cell>
          <cell r="E60">
            <v>2132.8546142578102</v>
          </cell>
        </row>
        <row r="61">
          <cell r="D61">
            <v>797</v>
          </cell>
          <cell r="E61">
            <v>40339.32421875</v>
          </cell>
        </row>
        <row r="62">
          <cell r="D62">
            <v>799</v>
          </cell>
          <cell r="E62">
            <v>5182.22607421875</v>
          </cell>
        </row>
        <row r="63">
          <cell r="D63">
            <v>800</v>
          </cell>
          <cell r="E63">
            <v>6361.0810546875</v>
          </cell>
        </row>
        <row r="64">
          <cell r="D64">
            <v>801</v>
          </cell>
          <cell r="E64">
            <v>1357.27992248535</v>
          </cell>
        </row>
        <row r="65">
          <cell r="D65">
            <v>920</v>
          </cell>
          <cell r="E65">
            <v>4909.20703125</v>
          </cell>
        </row>
        <row r="66">
          <cell r="D66">
            <v>999</v>
          </cell>
          <cell r="E66">
            <v>0</v>
          </cell>
        </row>
        <row r="67">
          <cell r="D67">
            <v>1502</v>
          </cell>
          <cell r="E67">
            <v>0</v>
          </cell>
        </row>
        <row r="68">
          <cell r="D68">
            <v>1508</v>
          </cell>
          <cell r="E68">
            <v>0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 Me"/>
      <sheetName val="Comments"/>
      <sheetName val="Sheet1"/>
      <sheetName val="SCI"/>
      <sheetName val="Performance Chart"/>
      <sheetName val="TL"/>
      <sheetName val="TL5"/>
      <sheetName val="TL6"/>
      <sheetName val="KW"/>
      <sheetName val="KK"/>
      <sheetName val="KK3"/>
      <sheetName val="KK4"/>
      <sheetName val="KK5"/>
      <sheetName val="KK6"/>
      <sheetName val="TS"/>
      <sheetName val="TS4"/>
      <sheetName val="TS5"/>
      <sheetName val="TS6"/>
      <sheetName val="LP"/>
      <sheetName val="SWCC"/>
      <sheetName val="SWCC1"/>
      <sheetName val="SWCC2"/>
      <sheetName val="KCC"/>
      <sheetName val="Company"/>
      <sheetName val="Calcination CO2"/>
      <sheetName val="Fuel CO2 Factors"/>
      <sheetName val="Plant_Template_bak"/>
    </sheetNames>
    <sheetDataSet>
      <sheetData sheetId="0"/>
      <sheetData sheetId="1"/>
      <sheetData sheetId="2"/>
      <sheetData sheetId="3"/>
      <sheetData sheetId="4"/>
      <sheetData sheetId="5">
        <row r="112">
          <cell r="W112">
            <v>0</v>
          </cell>
        </row>
      </sheetData>
      <sheetData sheetId="6"/>
      <sheetData sheetId="7"/>
      <sheetData sheetId="8">
        <row r="112">
          <cell r="W112">
            <v>0</v>
          </cell>
        </row>
      </sheetData>
      <sheetData sheetId="9">
        <row r="112">
          <cell r="W112">
            <v>0</v>
          </cell>
        </row>
      </sheetData>
      <sheetData sheetId="10"/>
      <sheetData sheetId="11"/>
      <sheetData sheetId="12"/>
      <sheetData sheetId="13"/>
      <sheetData sheetId="14">
        <row r="112">
          <cell r="W112">
            <v>0</v>
          </cell>
        </row>
      </sheetData>
      <sheetData sheetId="15"/>
      <sheetData sheetId="16"/>
      <sheetData sheetId="17"/>
      <sheetData sheetId="18">
        <row r="112">
          <cell r="W112">
            <v>0</v>
          </cell>
        </row>
      </sheetData>
      <sheetData sheetId="19">
        <row r="112">
          <cell r="W112">
            <v>0</v>
          </cell>
        </row>
      </sheetData>
      <sheetData sheetId="20"/>
      <sheetData sheetId="21"/>
      <sheetData sheetId="22">
        <row r="60">
          <cell r="W60">
            <v>0</v>
          </cell>
        </row>
      </sheetData>
      <sheetData sheetId="23"/>
      <sheetData sheetId="24"/>
      <sheetData sheetId="25"/>
      <sheetData sheetId="26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Transfer Heater Data"/>
      <sheetName val="Transfer Lab Data"/>
      <sheetName val="White Oils"/>
      <sheetName val="Platformer"/>
      <sheetName val="Boilers"/>
      <sheetName val="LPG-Fuel Gas Mix Temp"/>
      <sheetName val="BLR Fuel"/>
      <sheetName val="Ref Fuel"/>
      <sheetName val="Nat Gas"/>
    </sheetNames>
    <sheetDataSet>
      <sheetData sheetId="0">
        <row r="1">
          <cell r="E1">
            <v>31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euil1"/>
    </sheetNames>
    <sheetDataSet>
      <sheetData sheetId="0" refreshError="1">
        <row r="8">
          <cell r="A8">
            <v>0</v>
          </cell>
          <cell r="B8">
            <v>0</v>
          </cell>
          <cell r="K8">
            <v>210</v>
          </cell>
          <cell r="L8">
            <v>20415774</v>
          </cell>
          <cell r="M8">
            <v>0.74880468126263555</v>
          </cell>
          <cell r="O8">
            <v>2</v>
          </cell>
          <cell r="P8">
            <v>0</v>
          </cell>
        </row>
        <row r="9">
          <cell r="A9">
            <v>8</v>
          </cell>
          <cell r="B9">
            <v>340122.03125</v>
          </cell>
          <cell r="K9">
            <v>224</v>
          </cell>
          <cell r="L9">
            <v>170088488</v>
          </cell>
          <cell r="M9">
            <v>0.73473031024827484</v>
          </cell>
          <cell r="O9">
            <v>5</v>
          </cell>
          <cell r="P9">
            <v>102381.453125</v>
          </cell>
        </row>
        <row r="10">
          <cell r="A10">
            <v>13</v>
          </cell>
          <cell r="B10">
            <v>328878.5</v>
          </cell>
          <cell r="K10">
            <v>271</v>
          </cell>
          <cell r="L10">
            <v>5340</v>
          </cell>
          <cell r="M10">
            <v>0.69179999999999997</v>
          </cell>
          <cell r="O10">
            <v>6</v>
          </cell>
          <cell r="P10">
            <v>0</v>
          </cell>
        </row>
        <row r="11">
          <cell r="A11">
            <v>38</v>
          </cell>
          <cell r="B11">
            <v>71470.109375</v>
          </cell>
          <cell r="K11">
            <v>310</v>
          </cell>
          <cell r="L11">
            <v>20529350</v>
          </cell>
          <cell r="M11">
            <v>0.80714334804073207</v>
          </cell>
          <cell r="O11">
            <v>8</v>
          </cell>
          <cell r="P11">
            <v>263627.85253906302</v>
          </cell>
        </row>
        <row r="12">
          <cell r="A12">
            <v>210</v>
          </cell>
          <cell r="B12">
            <v>87500.4443359375</v>
          </cell>
          <cell r="K12">
            <v>320</v>
          </cell>
          <cell r="L12">
            <v>450803</v>
          </cell>
          <cell r="M12">
            <v>0.80589999999999995</v>
          </cell>
          <cell r="O12">
            <v>13</v>
          </cell>
          <cell r="P12">
            <v>269990.1875</v>
          </cell>
        </row>
        <row r="13">
          <cell r="A13">
            <v>224</v>
          </cell>
          <cell r="B13">
            <v>270340.14306640602</v>
          </cell>
          <cell r="K13">
            <v>330</v>
          </cell>
          <cell r="L13">
            <v>45072091</v>
          </cell>
          <cell r="M13">
            <v>0.83381508367117929</v>
          </cell>
          <cell r="O13">
            <v>16</v>
          </cell>
          <cell r="P13">
            <v>0</v>
          </cell>
        </row>
        <row r="14">
          <cell r="A14">
            <v>230</v>
          </cell>
          <cell r="B14">
            <v>3009.87231445313</v>
          </cell>
          <cell r="K14">
            <v>335</v>
          </cell>
          <cell r="L14">
            <v>28200953</v>
          </cell>
          <cell r="M14">
            <v>0.81961491282227217</v>
          </cell>
          <cell r="O14">
            <v>20</v>
          </cell>
          <cell r="P14">
            <v>3493.009765625</v>
          </cell>
        </row>
        <row r="15">
          <cell r="A15">
            <v>250</v>
          </cell>
          <cell r="B15">
            <v>6957.6328125</v>
          </cell>
          <cell r="K15">
            <v>337</v>
          </cell>
          <cell r="L15">
            <v>2249</v>
          </cell>
          <cell r="M15">
            <v>0.82007674522009788</v>
          </cell>
          <cell r="O15">
            <v>33</v>
          </cell>
          <cell r="P15">
            <v>2211.4111328125</v>
          </cell>
        </row>
        <row r="16">
          <cell r="A16">
            <v>255</v>
          </cell>
          <cell r="B16">
            <v>21665.392578125</v>
          </cell>
          <cell r="K16">
            <v>338</v>
          </cell>
          <cell r="L16">
            <v>199767</v>
          </cell>
          <cell r="M16">
            <v>0.80589999999999995</v>
          </cell>
          <cell r="O16">
            <v>38</v>
          </cell>
          <cell r="P16">
            <v>265543.73339843802</v>
          </cell>
        </row>
        <row r="17">
          <cell r="A17">
            <v>256</v>
          </cell>
          <cell r="B17">
            <v>2418.32543945313</v>
          </cell>
          <cell r="K17">
            <v>395</v>
          </cell>
          <cell r="L17">
            <v>697934</v>
          </cell>
          <cell r="M17">
            <v>0.93160000000000009</v>
          </cell>
          <cell r="O17">
            <v>285</v>
          </cell>
          <cell r="P17">
            <v>4462.9412841796902</v>
          </cell>
        </row>
        <row r="18">
          <cell r="A18">
            <v>257</v>
          </cell>
          <cell r="B18">
            <v>2170.517578125</v>
          </cell>
          <cell r="K18">
            <v>410</v>
          </cell>
          <cell r="L18">
            <v>10312837</v>
          </cell>
          <cell r="M18">
            <v>0.83470248262432545</v>
          </cell>
          <cell r="O18">
            <v>395</v>
          </cell>
          <cell r="P18">
            <v>1847.42028808594</v>
          </cell>
        </row>
        <row r="19">
          <cell r="A19">
            <v>258</v>
          </cell>
          <cell r="B19">
            <v>1148.05749511719</v>
          </cell>
          <cell r="K19">
            <v>420</v>
          </cell>
          <cell r="L19">
            <v>16030169</v>
          </cell>
          <cell r="M19">
            <v>0.83201002604526497</v>
          </cell>
          <cell r="O19">
            <v>560</v>
          </cell>
          <cell r="P19">
            <v>0</v>
          </cell>
        </row>
        <row r="20">
          <cell r="A20">
            <v>260</v>
          </cell>
          <cell r="B20">
            <v>3734.95263671875</v>
          </cell>
          <cell r="K20">
            <v>501</v>
          </cell>
          <cell r="L20">
            <v>27869178</v>
          </cell>
          <cell r="M20">
            <v>0.99767837152929306</v>
          </cell>
          <cell r="O20">
            <v>570</v>
          </cell>
          <cell r="P20">
            <v>2046.16076660156</v>
          </cell>
        </row>
        <row r="21">
          <cell r="A21">
            <v>270</v>
          </cell>
          <cell r="B21">
            <v>17308.798339843801</v>
          </cell>
          <cell r="K21">
            <v>510</v>
          </cell>
          <cell r="L21">
            <v>2292869</v>
          </cell>
          <cell r="M21">
            <v>1.07</v>
          </cell>
        </row>
        <row r="22">
          <cell r="A22">
            <v>277</v>
          </cell>
          <cell r="B22">
            <v>259.42575073242199</v>
          </cell>
          <cell r="K22">
            <v>562</v>
          </cell>
          <cell r="L22">
            <v>558313</v>
          </cell>
          <cell r="M22">
            <v>0.79100000000000004</v>
          </cell>
        </row>
        <row r="23">
          <cell r="A23">
            <v>285</v>
          </cell>
          <cell r="B23">
            <v>210349</v>
          </cell>
          <cell r="K23">
            <v>590</v>
          </cell>
          <cell r="L23">
            <v>1305204</v>
          </cell>
          <cell r="M23">
            <v>0.57430000000000003</v>
          </cell>
        </row>
        <row r="24">
          <cell r="A24">
            <v>310</v>
          </cell>
          <cell r="B24">
            <v>144354.591796875</v>
          </cell>
          <cell r="K24">
            <v>591</v>
          </cell>
          <cell r="L24">
            <v>2251895</v>
          </cell>
          <cell r="M24">
            <v>0.57430000000000003</v>
          </cell>
        </row>
        <row r="25">
          <cell r="A25">
            <v>320</v>
          </cell>
          <cell r="B25">
            <v>30824.388671875</v>
          </cell>
          <cell r="K25">
            <v>593</v>
          </cell>
          <cell r="L25">
            <v>1353563</v>
          </cell>
          <cell r="M25">
            <v>0.51900000000000002</v>
          </cell>
        </row>
        <row r="26">
          <cell r="A26">
            <v>330</v>
          </cell>
          <cell r="B26">
            <v>64955.781738281301</v>
          </cell>
          <cell r="K26">
            <v>594</v>
          </cell>
          <cell r="L26">
            <v>39588</v>
          </cell>
          <cell r="M26">
            <v>0.50949999999999995</v>
          </cell>
        </row>
        <row r="27">
          <cell r="A27">
            <v>335</v>
          </cell>
          <cell r="B27">
            <v>254918.62548828099</v>
          </cell>
          <cell r="K27">
            <v>595</v>
          </cell>
          <cell r="L27">
            <v>3406667</v>
          </cell>
          <cell r="M27">
            <v>0.50949999999999995</v>
          </cell>
        </row>
        <row r="28">
          <cell r="A28">
            <v>391</v>
          </cell>
          <cell r="B28">
            <v>4218.83447265625</v>
          </cell>
          <cell r="K28">
            <v>600</v>
          </cell>
          <cell r="L28">
            <v>8306517</v>
          </cell>
          <cell r="M28">
            <v>1.022</v>
          </cell>
        </row>
        <row r="29">
          <cell r="A29">
            <v>395</v>
          </cell>
          <cell r="B29">
            <v>77385.157348632798</v>
          </cell>
          <cell r="K29">
            <v>602</v>
          </cell>
          <cell r="L29">
            <v>35128</v>
          </cell>
          <cell r="M29">
            <v>1.022</v>
          </cell>
        </row>
        <row r="30">
          <cell r="A30">
            <v>410</v>
          </cell>
          <cell r="B30">
            <v>18726.391113281301</v>
          </cell>
          <cell r="K30">
            <v>605</v>
          </cell>
          <cell r="L30">
            <v>32318426</v>
          </cell>
          <cell r="M30">
            <v>1.0169999999999997</v>
          </cell>
        </row>
        <row r="31">
          <cell r="A31">
            <v>420</v>
          </cell>
          <cell r="B31">
            <v>81975.396484375</v>
          </cell>
          <cell r="K31">
            <v>612</v>
          </cell>
          <cell r="L31">
            <v>19540045</v>
          </cell>
          <cell r="M31">
            <v>1.0269999999999999</v>
          </cell>
        </row>
        <row r="32">
          <cell r="A32">
            <v>500</v>
          </cell>
          <cell r="B32">
            <v>141514.15625</v>
          </cell>
          <cell r="K32">
            <v>624</v>
          </cell>
          <cell r="L32">
            <v>52655</v>
          </cell>
          <cell r="M32">
            <v>0.96150000000000002</v>
          </cell>
        </row>
        <row r="33">
          <cell r="A33">
            <v>501</v>
          </cell>
          <cell r="B33">
            <v>82008.170166015596</v>
          </cell>
          <cell r="K33">
            <v>630</v>
          </cell>
          <cell r="L33">
            <v>109943</v>
          </cell>
          <cell r="M33">
            <v>1.0149999999999999</v>
          </cell>
        </row>
        <row r="34">
          <cell r="A34">
            <v>504</v>
          </cell>
          <cell r="B34">
            <v>5547.27490234375</v>
          </cell>
          <cell r="K34">
            <v>645</v>
          </cell>
          <cell r="L34">
            <v>84916</v>
          </cell>
          <cell r="M34">
            <v>1.0159999999999998</v>
          </cell>
        </row>
        <row r="35">
          <cell r="A35">
            <v>510</v>
          </cell>
          <cell r="B35">
            <v>400.66934204101602</v>
          </cell>
          <cell r="K35">
            <v>676</v>
          </cell>
          <cell r="L35">
            <v>5441501</v>
          </cell>
          <cell r="M35">
            <v>1.0169999999999999</v>
          </cell>
        </row>
        <row r="36">
          <cell r="A36">
            <v>511</v>
          </cell>
          <cell r="B36">
            <v>66997.171875</v>
          </cell>
          <cell r="K36">
            <v>694</v>
          </cell>
          <cell r="L36">
            <v>503716</v>
          </cell>
          <cell r="M36">
            <v>0.81931122894647002</v>
          </cell>
        </row>
        <row r="37">
          <cell r="A37">
            <v>550</v>
          </cell>
          <cell r="B37">
            <v>8473.0595703125</v>
          </cell>
          <cell r="K37">
            <v>750</v>
          </cell>
          <cell r="L37">
            <v>2032704</v>
          </cell>
          <cell r="M37">
            <v>0.88390000000000002</v>
          </cell>
        </row>
        <row r="38">
          <cell r="A38">
            <v>560</v>
          </cell>
          <cell r="B38">
            <v>8005.2404174804697</v>
          </cell>
          <cell r="K38">
            <v>760</v>
          </cell>
          <cell r="L38">
            <v>3449989</v>
          </cell>
          <cell r="M38">
            <v>0.872</v>
          </cell>
        </row>
        <row r="39">
          <cell r="A39">
            <v>562</v>
          </cell>
          <cell r="B39">
            <v>7301.9219970703098</v>
          </cell>
          <cell r="K39">
            <v>795</v>
          </cell>
          <cell r="L39">
            <v>183491</v>
          </cell>
          <cell r="M39">
            <v>0.87045722133510628</v>
          </cell>
        </row>
        <row r="40">
          <cell r="A40">
            <v>563</v>
          </cell>
          <cell r="B40">
            <v>25656.626953125</v>
          </cell>
          <cell r="K40">
            <v>801</v>
          </cell>
          <cell r="L40">
            <v>854530</v>
          </cell>
          <cell r="M40">
            <v>0.87061492059962786</v>
          </cell>
        </row>
        <row r="41">
          <cell r="A41">
            <v>570</v>
          </cell>
          <cell r="B41">
            <v>262958.76953125</v>
          </cell>
          <cell r="K41">
            <v>942</v>
          </cell>
          <cell r="L41">
            <v>4348303</v>
          </cell>
          <cell r="M41">
            <v>0.80940000000000012</v>
          </cell>
        </row>
        <row r="42">
          <cell r="A42">
            <v>571</v>
          </cell>
          <cell r="B42">
            <v>236551.0859375</v>
          </cell>
          <cell r="L42">
            <v>531311624</v>
          </cell>
        </row>
        <row r="43">
          <cell r="A43">
            <v>590</v>
          </cell>
          <cell r="B43">
            <v>4836.7807922363299</v>
          </cell>
          <cell r="L43">
            <v>82041</v>
          </cell>
        </row>
        <row r="44">
          <cell r="A44">
            <v>593</v>
          </cell>
          <cell r="B44">
            <v>1758.40075683594</v>
          </cell>
        </row>
        <row r="45">
          <cell r="A45">
            <v>595</v>
          </cell>
          <cell r="B45">
            <v>3236.4089965820299</v>
          </cell>
        </row>
        <row r="46">
          <cell r="A46">
            <v>596</v>
          </cell>
          <cell r="B46">
            <v>2801.3558349609398</v>
          </cell>
        </row>
        <row r="47">
          <cell r="A47">
            <v>600</v>
          </cell>
          <cell r="B47">
            <v>99304.869476318403</v>
          </cell>
        </row>
        <row r="48">
          <cell r="A48">
            <v>615</v>
          </cell>
          <cell r="B48">
            <v>421.77304077148398</v>
          </cell>
        </row>
        <row r="49">
          <cell r="A49">
            <v>630</v>
          </cell>
          <cell r="B49">
            <v>29416.5866699219</v>
          </cell>
        </row>
        <row r="50">
          <cell r="A50">
            <v>645</v>
          </cell>
          <cell r="B50">
            <v>1468.1982421875</v>
          </cell>
        </row>
        <row r="51">
          <cell r="A51">
            <v>655</v>
          </cell>
          <cell r="B51">
            <v>249.84413146972699</v>
          </cell>
        </row>
        <row r="52">
          <cell r="A52">
            <v>661</v>
          </cell>
          <cell r="B52">
            <v>50.8161010742188</v>
          </cell>
        </row>
        <row r="53">
          <cell r="A53">
            <v>689</v>
          </cell>
          <cell r="B53">
            <v>5702.5623931884802</v>
          </cell>
        </row>
        <row r="54">
          <cell r="A54">
            <v>694</v>
          </cell>
          <cell r="B54">
            <v>6732.7681274414099</v>
          </cell>
        </row>
        <row r="55">
          <cell r="A55">
            <v>750</v>
          </cell>
          <cell r="B55">
            <v>26576.231597900402</v>
          </cell>
        </row>
        <row r="56">
          <cell r="A56">
            <v>760</v>
          </cell>
          <cell r="B56">
            <v>6058.0894165039099</v>
          </cell>
        </row>
        <row r="57">
          <cell r="A57">
            <v>791</v>
          </cell>
          <cell r="B57">
            <v>433.85371208190901</v>
          </cell>
        </row>
        <row r="58">
          <cell r="A58">
            <v>793</v>
          </cell>
          <cell r="B58">
            <v>3729.65480041504</v>
          </cell>
        </row>
        <row r="59">
          <cell r="A59">
            <v>795</v>
          </cell>
          <cell r="B59">
            <v>23048.517719268799</v>
          </cell>
        </row>
        <row r="60">
          <cell r="A60">
            <v>796</v>
          </cell>
          <cell r="B60">
            <v>2132.8546142578102</v>
          </cell>
        </row>
        <row r="61">
          <cell r="A61">
            <v>797</v>
          </cell>
          <cell r="B61">
            <v>40339.32421875</v>
          </cell>
        </row>
        <row r="62">
          <cell r="A62">
            <v>799</v>
          </cell>
          <cell r="B62">
            <v>5182.22607421875</v>
          </cell>
        </row>
        <row r="63">
          <cell r="A63">
            <v>800</v>
          </cell>
          <cell r="B63">
            <v>6361.0810546875</v>
          </cell>
        </row>
        <row r="64">
          <cell r="A64">
            <v>801</v>
          </cell>
          <cell r="B64">
            <v>1357.27992248535</v>
          </cell>
        </row>
        <row r="65">
          <cell r="A65">
            <v>920</v>
          </cell>
          <cell r="B65">
            <v>4909.20703125</v>
          </cell>
        </row>
        <row r="66">
          <cell r="A66">
            <v>999</v>
          </cell>
          <cell r="B66">
            <v>0</v>
          </cell>
        </row>
        <row r="67">
          <cell r="A67">
            <v>1502</v>
          </cell>
          <cell r="B67">
            <v>0</v>
          </cell>
        </row>
        <row r="68">
          <cell r="A68">
            <v>1508</v>
          </cell>
          <cell r="B68">
            <v>0</v>
          </cell>
        </row>
        <row r="69">
          <cell r="A69">
            <v>1508</v>
          </cell>
          <cell r="B69">
            <v>0</v>
          </cell>
        </row>
      </sheetData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O31"/>
      <sheetName val="Module1"/>
      <sheetName val="Opening Inv Reval"/>
      <sheetName val="Inv Incr or Decr"/>
      <sheetName val="Sell Fin @ PV"/>
      <sheetName val="Transfer &amp; PV Prices"/>
      <sheetName val="Opst Finished Inv"/>
      <sheetName val="Accts 113225-113336"/>
      <sheetName val="Shee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6">
          <cell r="B6" t="str">
            <v>010000</v>
          </cell>
          <cell r="C6" t="str">
            <v>SUPER  UNLEADED</v>
          </cell>
          <cell r="D6">
            <v>0.47849999999999998</v>
          </cell>
          <cell r="E6">
            <v>0.53259999999999996</v>
          </cell>
        </row>
        <row r="7">
          <cell r="B7" t="str">
            <v>012000</v>
          </cell>
          <cell r="C7" t="str">
            <v>SUPER  UNLEADED</v>
          </cell>
          <cell r="D7">
            <v>0.47849999999999998</v>
          </cell>
          <cell r="E7">
            <v>0.53259999999999996</v>
          </cell>
        </row>
        <row r="8">
          <cell r="B8" t="str">
            <v>020000</v>
          </cell>
          <cell r="C8" t="str">
            <v>REGULAR   LEADED</v>
          </cell>
          <cell r="D8">
            <v>0.46029999999999999</v>
          </cell>
          <cell r="E8" t="e">
            <v>#N/A</v>
          </cell>
        </row>
        <row r="9">
          <cell r="B9" t="str">
            <v>030000</v>
          </cell>
          <cell r="C9" t="str">
            <v>REG   UNLEADED</v>
          </cell>
          <cell r="D9">
            <v>0.47120000000000001</v>
          </cell>
          <cell r="E9">
            <v>0.49759999999999999</v>
          </cell>
        </row>
        <row r="10">
          <cell r="B10" t="str">
            <v>040000</v>
          </cell>
          <cell r="C10" t="str">
            <v>MAXIMUM   PLUS</v>
          </cell>
          <cell r="D10">
            <v>0.47489999999999999</v>
          </cell>
          <cell r="E10" t="e">
            <v>#N/A</v>
          </cell>
        </row>
        <row r="11">
          <cell r="B11" t="str">
            <v>052004</v>
          </cell>
          <cell r="C11" t="str">
            <v>REFORMATE</v>
          </cell>
          <cell r="D11">
            <v>0.45910000000000001</v>
          </cell>
          <cell r="E11">
            <v>0.5081</v>
          </cell>
        </row>
        <row r="12">
          <cell r="B12" t="str">
            <v>052006</v>
          </cell>
          <cell r="C12" t="str">
            <v xml:space="preserve">CAT  CR  GAS </v>
          </cell>
          <cell r="D12">
            <v>0.45469999999999999</v>
          </cell>
          <cell r="E12">
            <v>0.5081</v>
          </cell>
        </row>
        <row r="13">
          <cell r="B13" t="str">
            <v>052008</v>
          </cell>
          <cell r="C13" t="str">
            <v>ISOMERATE</v>
          </cell>
          <cell r="D13">
            <v>0</v>
          </cell>
          <cell r="E13">
            <v>0.5081</v>
          </cell>
        </row>
        <row r="14">
          <cell r="B14" t="str">
            <v>052012</v>
          </cell>
          <cell r="C14" t="str">
            <v>S.R.  GASO/PENT</v>
          </cell>
          <cell r="D14">
            <v>0.42420000000000002</v>
          </cell>
          <cell r="E14">
            <v>0.5081</v>
          </cell>
        </row>
        <row r="15">
          <cell r="B15" t="str">
            <v>052013</v>
          </cell>
          <cell r="C15" t="str">
            <v>ALKYLATE</v>
          </cell>
          <cell r="D15">
            <v>0.4647</v>
          </cell>
          <cell r="E15">
            <v>0.5081</v>
          </cell>
        </row>
        <row r="16">
          <cell r="B16" t="str">
            <v>052090</v>
          </cell>
          <cell r="C16" t="str">
            <v>VAR  NAPTHA</v>
          </cell>
          <cell r="D16">
            <v>0</v>
          </cell>
          <cell r="E16">
            <v>0.5081</v>
          </cell>
        </row>
        <row r="17">
          <cell r="B17" t="str">
            <v>060080</v>
          </cell>
          <cell r="C17" t="str">
            <v>AVAITION 80/87</v>
          </cell>
          <cell r="D17">
            <v>0</v>
          </cell>
          <cell r="E17" t="e">
            <v>#N/A</v>
          </cell>
        </row>
        <row r="18">
          <cell r="B18" t="str">
            <v>060100</v>
          </cell>
          <cell r="C18" t="str">
            <v>AVAITION 100/130</v>
          </cell>
          <cell r="D18">
            <v>0</v>
          </cell>
          <cell r="E18" t="e">
            <v>#N/A</v>
          </cell>
        </row>
        <row r="19">
          <cell r="B19" t="str">
            <v>060999</v>
          </cell>
          <cell r="C19" t="str">
            <v>AVAITION   GROUP</v>
          </cell>
          <cell r="D19">
            <v>0</v>
          </cell>
          <cell r="E19" t="e">
            <v>#N/A</v>
          </cell>
        </row>
        <row r="20">
          <cell r="B20" t="str">
            <v>072000</v>
          </cell>
          <cell r="C20" t="str">
            <v>NAPTHA</v>
          </cell>
          <cell r="D20">
            <v>0.4425</v>
          </cell>
          <cell r="E20" t="e">
            <v>#N/A</v>
          </cell>
        </row>
        <row r="21">
          <cell r="B21" t="str">
            <v>073000</v>
          </cell>
          <cell r="C21" t="str">
            <v>SPEC   SOLVENT</v>
          </cell>
          <cell r="D21">
            <v>0</v>
          </cell>
          <cell r="E21" t="e">
            <v>#N/A</v>
          </cell>
        </row>
        <row r="22">
          <cell r="B22" t="str">
            <v>073001</v>
          </cell>
          <cell r="C22" t="str">
            <v>SOLVENT  NAPTHA</v>
          </cell>
          <cell r="D22">
            <v>0</v>
          </cell>
          <cell r="E22" t="e">
            <v>#N/A</v>
          </cell>
        </row>
        <row r="23">
          <cell r="B23" t="str">
            <v>073003</v>
          </cell>
          <cell r="C23" t="str">
            <v>SOLVENT  3139</v>
          </cell>
          <cell r="D23">
            <v>0.4425</v>
          </cell>
          <cell r="E23" t="e">
            <v>#N/A</v>
          </cell>
        </row>
        <row r="24">
          <cell r="B24" t="str">
            <v>080000</v>
          </cell>
          <cell r="C24" t="str">
            <v>JET  B</v>
          </cell>
          <cell r="D24">
            <v>0.4425</v>
          </cell>
          <cell r="E24" t="e">
            <v>#N/A</v>
          </cell>
        </row>
        <row r="25">
          <cell r="B25" t="str">
            <v>100000</v>
          </cell>
          <cell r="C25" t="str">
            <v>KEROSENE</v>
          </cell>
          <cell r="D25">
            <v>0.46279999999999999</v>
          </cell>
          <cell r="E25" t="e">
            <v>#N/A</v>
          </cell>
        </row>
        <row r="26">
          <cell r="B26" t="str">
            <v>110000</v>
          </cell>
          <cell r="C26" t="str">
            <v>JET  A</v>
          </cell>
          <cell r="D26">
            <v>0.46279999999999999</v>
          </cell>
          <cell r="E26">
            <v>0.52749999999999997</v>
          </cell>
        </row>
        <row r="27">
          <cell r="B27" t="str">
            <v>120000</v>
          </cell>
          <cell r="C27" t="str">
            <v>STOVE</v>
          </cell>
          <cell r="D27">
            <v>0.46079999999999999</v>
          </cell>
          <cell r="E27">
            <v>0.55120000000000002</v>
          </cell>
        </row>
        <row r="28">
          <cell r="B28" t="str">
            <v>160000</v>
          </cell>
          <cell r="C28" t="str">
            <v>FURNACE  GROUP*</v>
          </cell>
          <cell r="D28">
            <v>0.4652</v>
          </cell>
          <cell r="E28">
            <v>0.52070000000000005</v>
          </cell>
        </row>
        <row r="29">
          <cell r="B29" t="str">
            <v>160001</v>
          </cell>
          <cell r="C29" t="str">
            <v>FURNACE  OIL  16</v>
          </cell>
          <cell r="D29">
            <v>0.4652</v>
          </cell>
          <cell r="E29">
            <v>0.52070000000000005</v>
          </cell>
        </row>
        <row r="30">
          <cell r="B30" t="str">
            <v>160002</v>
          </cell>
          <cell r="C30" t="str">
            <v>SEASONAL FURNACE*</v>
          </cell>
          <cell r="D30">
            <v>0.4652</v>
          </cell>
          <cell r="E30">
            <v>0.52070000000000005</v>
          </cell>
        </row>
        <row r="31">
          <cell r="B31" t="str">
            <v>160015</v>
          </cell>
          <cell r="C31" t="str">
            <v>FURNACE  (D-20)</v>
          </cell>
          <cell r="D31">
            <v>0.4652</v>
          </cell>
          <cell r="E31">
            <v>0.52070000000000005</v>
          </cell>
        </row>
        <row r="32">
          <cell r="B32" t="str">
            <v>160017</v>
          </cell>
          <cell r="C32" t="str">
            <v>FURNACE  SPECIAL*</v>
          </cell>
          <cell r="D32">
            <v>0.4652</v>
          </cell>
          <cell r="E32">
            <v>0.52070000000000005</v>
          </cell>
        </row>
        <row r="33">
          <cell r="B33" t="str">
            <v>160020</v>
          </cell>
          <cell r="C33" t="str">
            <v>FURNACE(DIESEL 20X)</v>
          </cell>
          <cell r="D33">
            <v>0.4652</v>
          </cell>
          <cell r="E33">
            <v>0.52070000000000005</v>
          </cell>
        </row>
        <row r="34">
          <cell r="B34" t="str">
            <v>160025</v>
          </cell>
          <cell r="C34" t="str">
            <v>FURNACE  (D-25)</v>
          </cell>
          <cell r="D34">
            <v>0.4652</v>
          </cell>
          <cell r="E34">
            <v>0.52070000000000005</v>
          </cell>
        </row>
        <row r="35">
          <cell r="B35" t="str">
            <v>160030</v>
          </cell>
          <cell r="C35" t="str">
            <v>FURNACE  (D-30)</v>
          </cell>
          <cell r="D35">
            <v>0.4652</v>
          </cell>
          <cell r="E35">
            <v>0.52070000000000005</v>
          </cell>
        </row>
        <row r="36">
          <cell r="B36" t="str">
            <v>160040</v>
          </cell>
          <cell r="C36" t="str">
            <v>FURNACE  OIL  40</v>
          </cell>
          <cell r="D36">
            <v>0.4652</v>
          </cell>
          <cell r="E36">
            <v>0.52070000000000005</v>
          </cell>
        </row>
        <row r="37">
          <cell r="B37" t="str">
            <v>160050</v>
          </cell>
          <cell r="C37" t="str">
            <v>FURNACE  OIL  0</v>
          </cell>
          <cell r="D37">
            <v>0.4652</v>
          </cell>
          <cell r="E37">
            <v>0.52070000000000005</v>
          </cell>
        </row>
        <row r="38">
          <cell r="B38" t="str">
            <v>160999</v>
          </cell>
          <cell r="C38" t="str">
            <v>FURNACE  (MD  GROUP)</v>
          </cell>
          <cell r="D38">
            <v>0.4652</v>
          </cell>
          <cell r="E38">
            <v>0.52070000000000005</v>
          </cell>
        </row>
        <row r="39">
          <cell r="B39" t="str">
            <v>170000</v>
          </cell>
          <cell r="C39" t="str">
            <v>DIESEL   GROUP*</v>
          </cell>
          <cell r="D39">
            <v>0.45939999999999998</v>
          </cell>
          <cell r="E39">
            <v>0.5252</v>
          </cell>
        </row>
        <row r="40">
          <cell r="B40" t="str">
            <v>170012</v>
          </cell>
          <cell r="C40" t="str">
            <v>DIESEL   -15</v>
          </cell>
          <cell r="D40">
            <v>0.45939999999999998</v>
          </cell>
          <cell r="E40">
            <v>0.5252</v>
          </cell>
        </row>
        <row r="41">
          <cell r="B41" t="str">
            <v>170015</v>
          </cell>
          <cell r="C41" t="str">
            <v>DIESEL   -20</v>
          </cell>
          <cell r="D41">
            <v>0.45939999999999998</v>
          </cell>
          <cell r="E41">
            <v>0.5252</v>
          </cell>
        </row>
        <row r="42">
          <cell r="B42" t="str">
            <v>170017</v>
          </cell>
          <cell r="C42" t="str">
            <v>SEASONAL DIESEL*</v>
          </cell>
          <cell r="D42">
            <v>0.45939999999999998</v>
          </cell>
          <cell r="E42">
            <v>0.5252</v>
          </cell>
        </row>
        <row r="43">
          <cell r="B43" t="str">
            <v>170020</v>
          </cell>
          <cell r="C43" t="str">
            <v>DIESEL   20X</v>
          </cell>
          <cell r="D43">
            <v>0.45939999999999998</v>
          </cell>
          <cell r="E43">
            <v>0.5252</v>
          </cell>
        </row>
        <row r="44">
          <cell r="B44" t="str">
            <v>170025</v>
          </cell>
          <cell r="C44" t="str">
            <v>DIESEL   -25</v>
          </cell>
          <cell r="D44">
            <v>0.45939999999999998</v>
          </cell>
          <cell r="E44">
            <v>0.5252</v>
          </cell>
        </row>
        <row r="48">
          <cell r="C48" t="str">
            <v>TRANSFER  PRICES</v>
          </cell>
        </row>
        <row r="49">
          <cell r="B49" t="str">
            <v>PRODUCT</v>
          </cell>
          <cell r="C49" t="str">
            <v>PRODUCT</v>
          </cell>
          <cell r="D49">
            <v>38412</v>
          </cell>
        </row>
        <row r="50">
          <cell r="B50" t="str">
            <v>CODE</v>
          </cell>
          <cell r="C50" t="str">
            <v>NAME</v>
          </cell>
          <cell r="D50" t="str">
            <v>SAP Apr 05</v>
          </cell>
        </row>
        <row r="51">
          <cell r="D51" t="str">
            <v>OAKVILLE</v>
          </cell>
        </row>
        <row r="52">
          <cell r="B52" t="str">
            <v>170030</v>
          </cell>
          <cell r="C52" t="str">
            <v>DIESEL   -30</v>
          </cell>
          <cell r="D52">
            <v>0.45939999999999998</v>
          </cell>
          <cell r="E52">
            <v>0.5252</v>
          </cell>
        </row>
        <row r="53">
          <cell r="B53" t="str">
            <v>170040</v>
          </cell>
          <cell r="C53" t="str">
            <v>DIESEL   -40</v>
          </cell>
          <cell r="D53">
            <v>0.46079999999999999</v>
          </cell>
          <cell r="E53">
            <v>0.5252</v>
          </cell>
        </row>
        <row r="54">
          <cell r="B54" t="str">
            <v>170050</v>
          </cell>
          <cell r="C54" t="str">
            <v>DIESEL   0</v>
          </cell>
          <cell r="D54">
            <v>0.45939999999999998</v>
          </cell>
          <cell r="E54">
            <v>0.5252</v>
          </cell>
        </row>
        <row r="55">
          <cell r="B55" t="str">
            <v>170100</v>
          </cell>
          <cell r="C55" t="str">
            <v>DIESEL   #1  GM</v>
          </cell>
          <cell r="D55">
            <v>0.45939999999999998</v>
          </cell>
          <cell r="E55">
            <v>0.5252</v>
          </cell>
        </row>
        <row r="56">
          <cell r="B56" t="str">
            <v>170999</v>
          </cell>
          <cell r="C56" t="str">
            <v>DIESEL  (MD  GROUP)</v>
          </cell>
          <cell r="D56">
            <v>0.45939999999999998</v>
          </cell>
          <cell r="E56">
            <v>0.5252</v>
          </cell>
        </row>
        <row r="57">
          <cell r="B57" t="str">
            <v>172</v>
          </cell>
          <cell r="C57" t="str">
            <v>LOW  SULPHUR  DIESEL*</v>
          </cell>
          <cell r="D57">
            <v>0.46579999999999999</v>
          </cell>
          <cell r="E57">
            <v>0.54020000000000001</v>
          </cell>
        </row>
        <row r="58">
          <cell r="B58" t="str">
            <v>172017</v>
          </cell>
          <cell r="C58" t="str">
            <v>SEASONAL  LSD</v>
          </cell>
          <cell r="D58">
            <v>0.4652</v>
          </cell>
          <cell r="E58">
            <v>0.54020000000000001</v>
          </cell>
        </row>
        <row r="59">
          <cell r="B59" t="str">
            <v>192000</v>
          </cell>
          <cell r="C59" t="str">
            <v>DISTILLATE  RAW</v>
          </cell>
          <cell r="D59">
            <v>0.46100000000000002</v>
          </cell>
          <cell r="E59">
            <v>0.54020000000000001</v>
          </cell>
        </row>
        <row r="60">
          <cell r="B60" t="str">
            <v>192001</v>
          </cell>
          <cell r="C60" t="str">
            <v>LT   STR   RUN   DIST</v>
          </cell>
          <cell r="D60">
            <v>0.46100000000000002</v>
          </cell>
          <cell r="E60">
            <v>0.54020000000000001</v>
          </cell>
        </row>
        <row r="61">
          <cell r="B61" t="str">
            <v>192002</v>
          </cell>
          <cell r="C61" t="str">
            <v>HY   STR   RUN   DIST</v>
          </cell>
          <cell r="D61">
            <v>0.46100000000000002</v>
          </cell>
          <cell r="E61">
            <v>0.54020000000000001</v>
          </cell>
        </row>
        <row r="62">
          <cell r="B62" t="str">
            <v>192004</v>
          </cell>
          <cell r="C62" t="str">
            <v>BASE  DISTILLATE</v>
          </cell>
          <cell r="D62">
            <v>0.46100000000000002</v>
          </cell>
          <cell r="E62">
            <v>0.54020000000000001</v>
          </cell>
        </row>
        <row r="63">
          <cell r="B63" t="str">
            <v>192005</v>
          </cell>
          <cell r="C63" t="str">
            <v>L. C. O.  TREATED</v>
          </cell>
          <cell r="D63">
            <v>0.46100000000000002</v>
          </cell>
          <cell r="E63">
            <v>0.54020000000000001</v>
          </cell>
        </row>
        <row r="64">
          <cell r="B64" t="str">
            <v>192006</v>
          </cell>
          <cell r="C64" t="str">
            <v>L. C. O.   RAW</v>
          </cell>
          <cell r="D64">
            <v>0.46100000000000002</v>
          </cell>
          <cell r="E64">
            <v>0.54020000000000001</v>
          </cell>
        </row>
        <row r="65">
          <cell r="B65" t="str">
            <v>192200</v>
          </cell>
          <cell r="C65" t="str">
            <v>DYE  MIX</v>
          </cell>
          <cell r="D65">
            <v>0.46100000000000002</v>
          </cell>
          <cell r="E65">
            <v>0.54020000000000001</v>
          </cell>
        </row>
        <row r="66">
          <cell r="B66" t="str">
            <v>200000</v>
          </cell>
          <cell r="C66" t="str">
            <v>PROPANE</v>
          </cell>
          <cell r="D66">
            <v>0.37</v>
          </cell>
          <cell r="E66">
            <v>0.37</v>
          </cell>
        </row>
        <row r="67">
          <cell r="B67" t="str">
            <v>200001</v>
          </cell>
          <cell r="C67" t="str">
            <v>PROPYLENE</v>
          </cell>
          <cell r="D67">
            <v>0.37</v>
          </cell>
          <cell r="E67">
            <v>0.4667</v>
          </cell>
        </row>
        <row r="68">
          <cell r="B68" t="str">
            <v>200002</v>
          </cell>
          <cell r="C68" t="str">
            <v>P/P  MIX</v>
          </cell>
          <cell r="D68">
            <v>0.37</v>
          </cell>
          <cell r="E68">
            <v>0.4667</v>
          </cell>
        </row>
        <row r="69">
          <cell r="B69" t="str">
            <v>201000</v>
          </cell>
          <cell r="C69" t="str">
            <v>BUTANE</v>
          </cell>
          <cell r="D69">
            <v>0.4647</v>
          </cell>
          <cell r="E69">
            <v>0.4647</v>
          </cell>
        </row>
        <row r="70">
          <cell r="B70" t="str">
            <v>206010</v>
          </cell>
          <cell r="C70" t="str">
            <v>ISO  BUTANE*</v>
          </cell>
          <cell r="D70">
            <v>0.32740000000000002</v>
          </cell>
          <cell r="E70">
            <v>0.32740000000000002</v>
          </cell>
        </row>
        <row r="71">
          <cell r="B71" t="str">
            <v>240000</v>
          </cell>
          <cell r="C71" t="str">
            <v>REF  FUEL  (HFO)</v>
          </cell>
          <cell r="D71">
            <v>0.34699999999999998</v>
          </cell>
          <cell r="E71">
            <v>0.23680000000000001</v>
          </cell>
        </row>
        <row r="72">
          <cell r="B72" t="str">
            <v>240001</v>
          </cell>
          <cell r="C72" t="str">
            <v>HFO 6C 1.5%S</v>
          </cell>
          <cell r="D72">
            <v>0.24030000000000001</v>
          </cell>
          <cell r="E72">
            <v>0.23680000000000001</v>
          </cell>
        </row>
        <row r="73">
          <cell r="B73" t="str">
            <v>250000</v>
          </cell>
          <cell r="C73" t="str">
            <v>HFO 6C 2.0%S</v>
          </cell>
          <cell r="D73">
            <v>0.24030000000000001</v>
          </cell>
          <cell r="E73">
            <v>0.22620000000000001</v>
          </cell>
        </row>
        <row r="74">
          <cell r="B74" t="str">
            <v>270001</v>
          </cell>
          <cell r="C74" t="str">
            <v>ASPHALT Industrial</v>
          </cell>
          <cell r="D74">
            <v>0.30530000000000002</v>
          </cell>
          <cell r="E74">
            <v>0.23169999999999999</v>
          </cell>
        </row>
        <row r="75">
          <cell r="B75" t="str">
            <v>270000</v>
          </cell>
          <cell r="C75" t="str">
            <v>ASPHALT Cement</v>
          </cell>
          <cell r="D75">
            <v>0.12590000000000001</v>
          </cell>
          <cell r="E75">
            <v>0.22070000000000001</v>
          </cell>
        </row>
        <row r="76">
          <cell r="B76" t="str">
            <v>279999</v>
          </cell>
          <cell r="C76" t="str">
            <v>MOTOR  GAS  GROUP</v>
          </cell>
          <cell r="D76">
            <v>0.47089999999999999</v>
          </cell>
          <cell r="E76" t="e">
            <v>#N/A</v>
          </cell>
        </row>
        <row r="77">
          <cell r="B77" t="str">
            <v>339999</v>
          </cell>
          <cell r="C77" t="str">
            <v>M.  D.  GROUP</v>
          </cell>
          <cell r="D77">
            <v>0.4093</v>
          </cell>
          <cell r="E77" t="e">
            <v>#N/A</v>
          </cell>
        </row>
        <row r="78">
          <cell r="B78" t="str">
            <v>661000</v>
          </cell>
          <cell r="C78" t="str">
            <v>SECONDARY   UNIT   FD</v>
          </cell>
          <cell r="D78">
            <v>0.4425</v>
          </cell>
        </row>
        <row r="79">
          <cell r="B79" t="str">
            <v>661003</v>
          </cell>
          <cell r="C79" t="str">
            <v>RAW  TURPOLENE</v>
          </cell>
          <cell r="D79">
            <v>0.4425</v>
          </cell>
        </row>
        <row r="80">
          <cell r="B80" t="str">
            <v>661004</v>
          </cell>
          <cell r="C80" t="str">
            <v>H.  D.  S.   FEED</v>
          </cell>
          <cell r="D80">
            <v>0.4425</v>
          </cell>
        </row>
        <row r="81">
          <cell r="B81" t="str">
            <v>661006</v>
          </cell>
          <cell r="C81" t="str">
            <v>FCCU  FEED</v>
          </cell>
          <cell r="D81">
            <v>0.4425</v>
          </cell>
        </row>
        <row r="82">
          <cell r="B82" t="str">
            <v>661007</v>
          </cell>
          <cell r="C82" t="str">
            <v>CAT  POLY/ALKY  FD</v>
          </cell>
          <cell r="D82">
            <v>0.4425</v>
          </cell>
        </row>
        <row r="83">
          <cell r="B83" t="str">
            <v>661010</v>
          </cell>
          <cell r="C83" t="str">
            <v>SOLVENT  PLANT  FEED</v>
          </cell>
          <cell r="D83">
            <v>0.4425</v>
          </cell>
        </row>
        <row r="84">
          <cell r="B84" t="str">
            <v>661015</v>
          </cell>
          <cell r="C84" t="str">
            <v>CB&amp;G  CROSS-OVER</v>
          </cell>
          <cell r="D84">
            <v>0.4425</v>
          </cell>
        </row>
        <row r="85">
          <cell r="B85" t="str">
            <v>661022</v>
          </cell>
          <cell r="C85" t="str">
            <v>REFINERY  SLOP</v>
          </cell>
          <cell r="D85">
            <v>0.3634</v>
          </cell>
        </row>
        <row r="86">
          <cell r="B86" t="str">
            <v>662000</v>
          </cell>
          <cell r="C86" t="str">
            <v>SLOP</v>
          </cell>
          <cell r="D86">
            <v>0.3634</v>
          </cell>
        </row>
        <row r="87">
          <cell r="B87" t="str">
            <v>663000</v>
          </cell>
          <cell r="C87" t="str">
            <v>REFINERY  GAS</v>
          </cell>
          <cell r="D87">
            <v>0.2908</v>
          </cell>
          <cell r="E87" t="e">
            <v>#N/A</v>
          </cell>
        </row>
        <row r="88">
          <cell r="B88" t="str">
            <v>672000</v>
          </cell>
          <cell r="C88" t="str">
            <v>SULPHUR</v>
          </cell>
          <cell r="D88">
            <v>2.4500000000000001E-2</v>
          </cell>
          <cell r="E88">
            <v>2.4500000000000001E-2</v>
          </cell>
        </row>
      </sheetData>
      <sheetData sheetId="6" refreshError="1"/>
      <sheetData sheetId="7" refreshError="1"/>
      <sheetData sheetId="8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w Data"/>
      <sheetName val="Month End Adjusted"/>
      <sheetName val="Adjustments"/>
      <sheetName val="Prod"/>
      <sheetName val="Ath Pipeline &amp; Tanks"/>
      <sheetName val="Sales Accounting"/>
      <sheetName val="Syl"/>
      <sheetName val="Pipeline Balance"/>
      <sheetName val="Data"/>
      <sheetName val="SAP Interface"/>
      <sheetName val="Control"/>
      <sheetName val="Natural Gas"/>
      <sheetName val="Imports to STF"/>
      <sheetName val="By-Products"/>
      <sheetName val="Interplant Tags &amp; Manual Entry"/>
      <sheetName val="S-23"/>
      <sheetName val="Production Records"/>
      <sheetName val="Notes &amp; Comparison &amp; Signoff"/>
      <sheetName val="Diesel Comparison"/>
      <sheetName val="Enbridge Top Tech Reports"/>
      <sheetName val="Firebag"/>
      <sheetName val="Interplant Tags"/>
      <sheetName val="Diesel"/>
    </sheetNames>
    <sheetDataSet>
      <sheetData sheetId="0">
        <row r="60">
          <cell r="O60">
            <v>708007.0625</v>
          </cell>
        </row>
      </sheetData>
      <sheetData sheetId="1">
        <row r="60">
          <cell r="O60">
            <v>708007.0625</v>
          </cell>
        </row>
      </sheetData>
      <sheetData sheetId="2">
        <row r="60">
          <cell r="O60">
            <v>708007.0625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5">
          <cell r="A5">
            <v>708007</v>
          </cell>
          <cell r="B5" t="str">
            <v>82FI991A_COR</v>
          </cell>
          <cell r="C5" t="str">
            <v>82FI991B_COR</v>
          </cell>
        </row>
        <row r="6">
          <cell r="B6" t="str">
            <v>MCF</v>
          </cell>
          <cell r="C6" t="str">
            <v>MCF</v>
          </cell>
        </row>
        <row r="7">
          <cell r="A7" t="str">
            <v>Timestamp</v>
          </cell>
          <cell r="B7" t="str">
            <v>82FI991A_COR - SnapShot</v>
          </cell>
          <cell r="C7" t="str">
            <v>82FI991B_COR - SnapShot</v>
          </cell>
        </row>
        <row r="8">
          <cell r="A8">
            <v>38200.291666666664</v>
          </cell>
          <cell r="B8">
            <v>0</v>
          </cell>
          <cell r="C8">
            <v>0</v>
          </cell>
        </row>
        <row r="9">
          <cell r="A9">
            <v>38201.291666666664</v>
          </cell>
          <cell r="B9">
            <v>33.888450622558594</v>
          </cell>
          <cell r="C9">
            <v>0</v>
          </cell>
        </row>
        <row r="10">
          <cell r="A10">
            <v>38202.291666666664</v>
          </cell>
          <cell r="B10">
            <v>62.206134796142578</v>
          </cell>
          <cell r="C10">
            <v>0</v>
          </cell>
        </row>
        <row r="11">
          <cell r="A11">
            <v>38203.291666666664</v>
          </cell>
          <cell r="B11">
            <v>62.206134796142578</v>
          </cell>
          <cell r="C11">
            <v>0</v>
          </cell>
        </row>
        <row r="12">
          <cell r="A12">
            <v>38204.291666666664</v>
          </cell>
          <cell r="B12">
            <v>62.206134796142578</v>
          </cell>
          <cell r="C12">
            <v>0</v>
          </cell>
        </row>
        <row r="13">
          <cell r="A13">
            <v>38205.291666666664</v>
          </cell>
          <cell r="B13">
            <v>79.647697448730469</v>
          </cell>
          <cell r="C13">
            <v>0</v>
          </cell>
        </row>
        <row r="14">
          <cell r="A14">
            <v>38206.291666666664</v>
          </cell>
          <cell r="B14">
            <v>204.45835876464844</v>
          </cell>
          <cell r="C14">
            <v>0</v>
          </cell>
        </row>
        <row r="15">
          <cell r="A15">
            <v>38207.291666666664</v>
          </cell>
          <cell r="B15">
            <v>373.84954833984375</v>
          </cell>
          <cell r="C15">
            <v>0</v>
          </cell>
        </row>
        <row r="16">
          <cell r="A16">
            <v>38208.291666666664</v>
          </cell>
          <cell r="B16">
            <v>507.87127685546875</v>
          </cell>
          <cell r="C16">
            <v>9.8400812149047852</v>
          </cell>
        </row>
        <row r="17">
          <cell r="A17">
            <v>38209.291666666664</v>
          </cell>
          <cell r="B17">
            <v>609.3421630859375</v>
          </cell>
          <cell r="C17">
            <v>15.022808074951172</v>
          </cell>
        </row>
        <row r="18">
          <cell r="A18">
            <v>38210.291666666664</v>
          </cell>
          <cell r="B18">
            <v>660.2686767578125</v>
          </cell>
          <cell r="C18">
            <v>15.022808074951172</v>
          </cell>
        </row>
        <row r="19">
          <cell r="A19">
            <v>38211.291666666664</v>
          </cell>
          <cell r="B19">
            <v>679.1728515625</v>
          </cell>
          <cell r="C19">
            <v>15.022808074951172</v>
          </cell>
        </row>
        <row r="20">
          <cell r="A20">
            <v>38212.291666666664</v>
          </cell>
          <cell r="B20">
            <v>682.25335693359375</v>
          </cell>
          <cell r="C20">
            <v>15.022808074951172</v>
          </cell>
        </row>
        <row r="21">
          <cell r="A21">
            <v>38213.291666666664</v>
          </cell>
          <cell r="B21">
            <v>682.25335693359375</v>
          </cell>
          <cell r="C21">
            <v>15.022808074951172</v>
          </cell>
        </row>
        <row r="22">
          <cell r="A22">
            <v>38214.291666666664</v>
          </cell>
          <cell r="B22">
            <v>737.05413818359375</v>
          </cell>
          <cell r="C22">
            <v>15.022808074951172</v>
          </cell>
        </row>
        <row r="23">
          <cell r="A23">
            <v>38215.291666666664</v>
          </cell>
          <cell r="B23">
            <v>781.80340576171875</v>
          </cell>
          <cell r="C23">
            <v>15.022808074951172</v>
          </cell>
        </row>
        <row r="24">
          <cell r="A24">
            <v>38216.291666666664</v>
          </cell>
          <cell r="B24">
            <v>849.4034423828125</v>
          </cell>
          <cell r="C24">
            <v>15.022808074951172</v>
          </cell>
        </row>
        <row r="25">
          <cell r="A25">
            <v>38217.291666666664</v>
          </cell>
          <cell r="B25">
            <v>1013.8825073242188</v>
          </cell>
          <cell r="C25">
            <v>32.000568389892578</v>
          </cell>
        </row>
        <row r="26">
          <cell r="A26">
            <v>38218.291666666664</v>
          </cell>
          <cell r="B26">
            <v>1121.1258544921875</v>
          </cell>
          <cell r="C26">
            <v>39.305438995361328</v>
          </cell>
        </row>
        <row r="27">
          <cell r="A27">
            <v>38219.291666666664</v>
          </cell>
          <cell r="B27">
            <v>1279.418212890625</v>
          </cell>
          <cell r="C27">
            <v>69.624778747558594</v>
          </cell>
        </row>
        <row r="28">
          <cell r="A28">
            <v>38220.291666666664</v>
          </cell>
          <cell r="B28">
            <v>1463.696044921875</v>
          </cell>
          <cell r="C28">
            <v>94.13629150390625</v>
          </cell>
        </row>
        <row r="29">
          <cell r="A29">
            <v>38221.291666666664</v>
          </cell>
          <cell r="B29">
            <v>1707.154052734375</v>
          </cell>
          <cell r="C29">
            <v>169.07989501953125</v>
          </cell>
        </row>
        <row r="30">
          <cell r="A30">
            <v>38222.291666666664</v>
          </cell>
          <cell r="B30">
            <v>1978.332763671875</v>
          </cell>
          <cell r="C30">
            <v>302.08172607421875</v>
          </cell>
        </row>
        <row r="31">
          <cell r="A31">
            <v>38223.291666666664</v>
          </cell>
          <cell r="B31">
            <v>2192.221923828125</v>
          </cell>
          <cell r="C31">
            <v>343.24740600585938</v>
          </cell>
        </row>
        <row r="32">
          <cell r="A32">
            <v>38224.291666666664</v>
          </cell>
          <cell r="B32">
            <v>2412.10888671875</v>
          </cell>
          <cell r="C32">
            <v>389.6275634765625</v>
          </cell>
        </row>
        <row r="33">
          <cell r="A33">
            <v>38225.291666666664</v>
          </cell>
          <cell r="B33">
            <v>2652.793212890625</v>
          </cell>
          <cell r="C33">
            <v>469.65921020507813</v>
          </cell>
        </row>
        <row r="34">
          <cell r="A34">
            <v>38226.291666666664</v>
          </cell>
          <cell r="B34">
            <v>2838.91259765625</v>
          </cell>
          <cell r="C34">
            <v>504.96453857421875</v>
          </cell>
        </row>
        <row r="35">
          <cell r="A35">
            <v>38227.291666666664</v>
          </cell>
          <cell r="B35">
            <v>3024.544189453125</v>
          </cell>
          <cell r="C35">
            <v>516.002197265625</v>
          </cell>
        </row>
        <row r="36">
          <cell r="A36">
            <v>38228.291666666664</v>
          </cell>
          <cell r="B36">
            <v>3288.128662109375</v>
          </cell>
          <cell r="C36">
            <v>576.42596435546875</v>
          </cell>
        </row>
        <row r="37">
          <cell r="A37">
            <v>38229.291666666664</v>
          </cell>
          <cell r="B37">
            <v>3520.9658203125</v>
          </cell>
          <cell r="C37">
            <v>633.80975341796875</v>
          </cell>
        </row>
        <row r="38">
          <cell r="A38">
            <v>38230.291666666664</v>
          </cell>
          <cell r="B38">
            <v>3726.984130859375</v>
          </cell>
          <cell r="C38">
            <v>711.59539794921875</v>
          </cell>
        </row>
        <row r="39">
          <cell r="A39">
            <v>38231.291666666664</v>
          </cell>
          <cell r="B39">
            <v>3949.406982421875</v>
          </cell>
          <cell r="C39">
            <v>737.87060546875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rvey"/>
      <sheetName val="MASTER"/>
      <sheetName val="Graphs"/>
      <sheetName val="Block Operation"/>
      <sheetName val="Charge Data"/>
      <sheetName val="Historic"/>
      <sheetName val="E240A"/>
      <sheetName val="E240B"/>
      <sheetName val="E223"/>
      <sheetName val="E240 Delta"/>
      <sheetName val="E240 Delta Graph"/>
      <sheetName val="E201ABC"/>
      <sheetName val="E214AB"/>
      <sheetName val="E209"/>
      <sheetName val="E217"/>
      <sheetName val="E218"/>
      <sheetName val="E215"/>
      <sheetName val="E226"/>
      <sheetName val="E227"/>
      <sheetName val="E242"/>
      <sheetName val="E216AB"/>
      <sheetName val="E219AB"/>
      <sheetName val="E228AB"/>
      <sheetName val="E402AB"/>
      <sheetName val="E404"/>
      <sheetName val="E405AB"/>
      <sheetName val="E412AB"/>
      <sheetName val="PHD Diagram"/>
      <sheetName val="Unit Conv"/>
    </sheetNames>
    <sheetDataSet>
      <sheetData sheetId="0"/>
      <sheetData sheetId="1"/>
      <sheetData sheetId="2"/>
      <sheetData sheetId="3">
        <row r="1">
          <cell r="B1">
            <v>0</v>
          </cell>
          <cell r="C1" t="str">
            <v>HTUMODE.S1CURSTS</v>
          </cell>
        </row>
        <row r="4">
          <cell r="B4" t="str">
            <v>Timestamp</v>
          </cell>
          <cell r="C4" t="str">
            <v>HTUMODE.S1CURSTS - SnapShot</v>
          </cell>
        </row>
        <row r="5">
          <cell r="B5">
            <v>40163.354166666664</v>
          </cell>
          <cell r="C5" t="str">
            <v>MEDIUM</v>
          </cell>
        </row>
        <row r="6">
          <cell r="B6">
            <v>40163.375</v>
          </cell>
          <cell r="C6" t="str">
            <v>MEDIUM</v>
          </cell>
        </row>
        <row r="7">
          <cell r="B7">
            <v>40163.395833333336</v>
          </cell>
          <cell r="C7" t="str">
            <v>MEDIUM</v>
          </cell>
        </row>
        <row r="8">
          <cell r="B8">
            <v>40163.416666666664</v>
          </cell>
          <cell r="C8" t="str">
            <v>MEDIUM</v>
          </cell>
        </row>
        <row r="9">
          <cell r="B9">
            <v>40163.4375</v>
          </cell>
          <cell r="C9" t="str">
            <v>MEDIUM</v>
          </cell>
        </row>
        <row r="10">
          <cell r="B10">
            <v>40163.458333333336</v>
          </cell>
          <cell r="C10" t="str">
            <v>MEDIUM</v>
          </cell>
        </row>
        <row r="11">
          <cell r="B11">
            <v>40163.479166666664</v>
          </cell>
          <cell r="C11" t="str">
            <v>MEDIUM</v>
          </cell>
        </row>
        <row r="12">
          <cell r="B12">
            <v>40163.5</v>
          </cell>
          <cell r="C12" t="str">
            <v>MEDIUM</v>
          </cell>
        </row>
        <row r="13">
          <cell r="B13">
            <v>40163.520833333336</v>
          </cell>
          <cell r="C13" t="str">
            <v>MEDIUM</v>
          </cell>
        </row>
        <row r="14">
          <cell r="B14">
            <v>40163.541666666664</v>
          </cell>
          <cell r="C14" t="str">
            <v>MEDIUM</v>
          </cell>
        </row>
        <row r="15">
          <cell r="B15">
            <v>40163.5625</v>
          </cell>
          <cell r="C15" t="str">
            <v>MEDIUM</v>
          </cell>
        </row>
        <row r="16">
          <cell r="B16">
            <v>40163.583333333336</v>
          </cell>
          <cell r="C16" t="str">
            <v>MEDIUM</v>
          </cell>
        </row>
        <row r="17">
          <cell r="B17">
            <v>40163.604166666664</v>
          </cell>
          <cell r="C17" t="str">
            <v>MEDIUM</v>
          </cell>
        </row>
        <row r="18">
          <cell r="B18">
            <v>40163.625</v>
          </cell>
          <cell r="C18" t="str">
            <v>MEDIUM</v>
          </cell>
        </row>
        <row r="19">
          <cell r="B19">
            <v>40163.645833333336</v>
          </cell>
          <cell r="C19" t="str">
            <v>MEDIUM</v>
          </cell>
        </row>
        <row r="20">
          <cell r="B20">
            <v>40163.666666666664</v>
          </cell>
          <cell r="C20" t="str">
            <v>MEDIUM</v>
          </cell>
        </row>
        <row r="21">
          <cell r="B21">
            <v>40163.6875</v>
          </cell>
          <cell r="C21" t="str">
            <v>MEDIUM</v>
          </cell>
        </row>
        <row r="22">
          <cell r="B22">
            <v>40163.708333333336</v>
          </cell>
          <cell r="C22" t="str">
            <v>MEDIUM</v>
          </cell>
        </row>
        <row r="23">
          <cell r="B23">
            <v>40163.729166666664</v>
          </cell>
          <cell r="C23" t="str">
            <v>MEDIUM</v>
          </cell>
        </row>
        <row r="24">
          <cell r="B24">
            <v>40163.75</v>
          </cell>
          <cell r="C24" t="str">
            <v>MEDIUM</v>
          </cell>
        </row>
        <row r="25">
          <cell r="B25">
            <v>40163.770833333336</v>
          </cell>
          <cell r="C25" t="str">
            <v>MEDIUM</v>
          </cell>
        </row>
        <row r="26">
          <cell r="B26">
            <v>40163.791666666664</v>
          </cell>
          <cell r="C26" t="str">
            <v>MEDIUM</v>
          </cell>
        </row>
        <row r="27">
          <cell r="B27">
            <v>40163.8125</v>
          </cell>
          <cell r="C27" t="str">
            <v>MEDIUM</v>
          </cell>
        </row>
        <row r="28">
          <cell r="B28">
            <v>40163.833333333336</v>
          </cell>
          <cell r="C28" t="str">
            <v>MEDIUM</v>
          </cell>
        </row>
        <row r="29">
          <cell r="B29">
            <v>40163.854166666664</v>
          </cell>
          <cell r="C29" t="str">
            <v>MEDIUM</v>
          </cell>
        </row>
      </sheetData>
      <sheetData sheetId="4"/>
      <sheetData sheetId="5"/>
      <sheetData sheetId="6"/>
      <sheetData sheetId="7"/>
      <sheetData sheetId="8"/>
      <sheetData sheetId="9"/>
      <sheetData sheetId="10" refreshError="1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BH3"/>
  <sheetViews>
    <sheetView zoomScale="120" zoomScaleNormal="12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9" defaultRowHeight="15.6" customHeight="1"/>
  <cols>
    <col min="1" max="1" width="22.42578125" style="1" customWidth="1"/>
    <col min="2" max="2" width="18.5703125" style="4" customWidth="1"/>
    <col min="3" max="4" width="17.5703125" style="4" bestFit="1" customWidth="1"/>
    <col min="5" max="5" width="17.5703125" style="4" customWidth="1"/>
    <col min="6" max="6" width="17.5703125" style="4" bestFit="1" customWidth="1"/>
    <col min="7" max="8" width="16.7109375" style="4" bestFit="1" customWidth="1"/>
    <col min="9" max="60" width="5.42578125" style="4" bestFit="1" customWidth="1"/>
    <col min="61" max="100" width="5.28515625" style="3" bestFit="1" customWidth="1"/>
    <col min="101" max="16384" width="9" style="3"/>
  </cols>
  <sheetData>
    <row r="1" spans="1:60" ht="18" customHeight="1">
      <c r="A1" s="1" t="s">
        <v>0</v>
      </c>
      <c r="B1" s="1182"/>
      <c r="C1" s="1182"/>
      <c r="D1" s="1182"/>
      <c r="E1" s="1182"/>
      <c r="F1" s="1182"/>
      <c r="G1" s="1182"/>
      <c r="H1" s="118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</row>
    <row r="2" spans="1:60" ht="12.75"/>
    <row r="3" spans="1:60" ht="12.75"/>
  </sheetData>
  <phoneticPr fontId="0" type="noConversion"/>
  <pageMargins left="0.65" right="0.51" top="0.81" bottom="1" header="0.5" footer="0.5"/>
  <pageSetup paperSize="9" orientation="portrait" horizontalDpi="150" verticalDpi="150" copies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88213-41AF-4750-ACCD-8950DF429D77}">
  <dimension ref="A1:BL1361"/>
  <sheetViews>
    <sheetView showGridLines="0" tabSelected="1" zoomScale="115" zoomScaleNormal="115" workbookViewId="0">
      <pane ySplit="5" topLeftCell="A6" activePane="bottomLeft" state="frozen"/>
      <selection activeCell="Q1" sqref="Q1"/>
      <selection pane="bottomLeft" activeCell="A2" sqref="A2"/>
    </sheetView>
  </sheetViews>
  <sheetFormatPr defaultColWidth="13" defaultRowHeight="21.95" customHeight="1"/>
  <cols>
    <col min="1" max="1" width="50" style="13" customWidth="1"/>
    <col min="2" max="2" width="11.42578125" style="13" customWidth="1"/>
    <col min="3" max="4" width="11.28515625" style="13" customWidth="1"/>
    <col min="5" max="5" width="13.28515625" style="13" customWidth="1"/>
    <col min="6" max="6" width="12.5703125" style="13" customWidth="1"/>
    <col min="7" max="7" width="10.85546875" style="13" customWidth="1"/>
    <col min="8" max="8" width="16.42578125" style="13" customWidth="1"/>
    <col min="9" max="9" width="23.28515625" style="13" customWidth="1"/>
    <col min="10" max="10" width="21.140625" style="13" customWidth="1"/>
    <col min="11" max="11" width="28.42578125" style="13" customWidth="1"/>
    <col min="12" max="12" width="13.5703125" style="13" customWidth="1"/>
    <col min="13" max="13" width="20.7109375" style="13" customWidth="1"/>
    <col min="14" max="15" width="5.85546875" style="13" customWidth="1"/>
    <col min="16" max="16" width="19.7109375" style="13" customWidth="1"/>
    <col min="17" max="17" width="9.7109375" style="13" customWidth="1"/>
    <col min="18" max="18" width="18.28515625" style="13" customWidth="1"/>
    <col min="19" max="19" width="8" style="52" customWidth="1"/>
    <col min="20" max="20" width="21.5703125" style="52" customWidth="1"/>
    <col min="21" max="21" width="14.5703125" style="7" customWidth="1"/>
    <col min="22" max="22" width="36.5703125" style="7" customWidth="1"/>
    <col min="23" max="23" width="8.85546875" style="7" customWidth="1"/>
    <col min="24" max="24" width="16.28515625" style="7" customWidth="1"/>
    <col min="25" max="25" width="14.28515625" style="7" customWidth="1"/>
    <col min="26" max="26" width="18" style="7" customWidth="1"/>
    <col min="27" max="27" width="17" style="449" customWidth="1"/>
    <col min="28" max="28" width="17" style="22" customWidth="1"/>
    <col min="29" max="29" width="14.28515625" style="7" bestFit="1" customWidth="1"/>
    <col min="30" max="30" width="24.140625" style="7" customWidth="1"/>
    <col min="31" max="31" width="4.85546875" style="7" customWidth="1"/>
    <col min="32" max="32" width="5.42578125" style="7" customWidth="1"/>
    <col min="33" max="33" width="14" style="7" customWidth="1"/>
    <col min="34" max="37" width="13" style="7" customWidth="1"/>
    <col min="38" max="38" width="5.5703125" style="7" customWidth="1"/>
    <col min="39" max="39" width="8.28515625" style="7" customWidth="1"/>
    <col min="40" max="40" width="2.42578125" style="7" customWidth="1"/>
    <col min="41" max="41" width="15.5703125" style="7" customWidth="1"/>
    <col min="42" max="43" width="3.7109375" style="7" customWidth="1"/>
    <col min="44" max="44" width="39.140625" style="7" customWidth="1"/>
    <col min="45" max="45" width="13" style="7" customWidth="1"/>
    <col min="46" max="46" width="3.7109375" style="7" customWidth="1"/>
    <col min="47" max="47" width="14.5703125" style="49" customWidth="1"/>
    <col min="48" max="48" width="4.7109375" style="7" customWidth="1"/>
    <col min="49" max="52" width="13" style="7" customWidth="1"/>
    <col min="53" max="53" width="13.7109375" style="67" bestFit="1" customWidth="1"/>
    <col min="54" max="54" width="42.28515625" style="67" customWidth="1"/>
    <col min="55" max="55" width="6.28515625" style="67" customWidth="1"/>
    <col min="56" max="56" width="10.42578125" style="67" customWidth="1"/>
    <col min="57" max="57" width="18.5703125" style="68" bestFit="1" customWidth="1"/>
    <col min="58" max="58" width="11.28515625" style="68" bestFit="1" customWidth="1"/>
    <col min="59" max="59" width="16.28515625" style="68" bestFit="1" customWidth="1"/>
    <col min="60" max="60" width="18.42578125" style="68" bestFit="1" customWidth="1"/>
    <col min="61" max="61" width="13.28515625" style="68" bestFit="1" customWidth="1"/>
    <col min="62" max="220" width="13" style="7"/>
    <col min="221" max="221" width="25.42578125" style="7" customWidth="1"/>
    <col min="222" max="222" width="8.42578125" style="7" customWidth="1"/>
    <col min="223" max="223" width="6.28515625" style="7" customWidth="1"/>
    <col min="224" max="224" width="9.85546875" style="7" customWidth="1"/>
    <col min="225" max="225" width="10.7109375" style="7" customWidth="1"/>
    <col min="226" max="226" width="11.7109375" style="7" customWidth="1"/>
    <col min="227" max="227" width="12.7109375" style="7" customWidth="1"/>
    <col min="228" max="228" width="6.28515625" style="7" customWidth="1"/>
    <col min="229" max="229" width="11.42578125" style="7" customWidth="1"/>
    <col min="230" max="231" width="7" style="7" customWidth="1"/>
    <col min="232" max="232" width="19.42578125" style="7" customWidth="1"/>
    <col min="233" max="233" width="6.85546875" style="7" customWidth="1"/>
    <col min="234" max="234" width="12.28515625" style="7" customWidth="1"/>
    <col min="235" max="235" width="4.5703125" style="7" customWidth="1"/>
    <col min="236" max="236" width="14.5703125" style="7" customWidth="1"/>
    <col min="237" max="237" width="36.5703125" style="7" customWidth="1"/>
    <col min="238" max="238" width="7.7109375" style="7" customWidth="1"/>
    <col min="239" max="239" width="16.28515625" style="7" customWidth="1"/>
    <col min="240" max="240" width="14.28515625" style="7" customWidth="1"/>
    <col min="241" max="241" width="18" style="7" customWidth="1"/>
    <col min="242" max="242" width="11.85546875" style="7" customWidth="1"/>
    <col min="243" max="243" width="14.28515625" style="7" customWidth="1"/>
    <col min="244" max="244" width="14.42578125" style="7" customWidth="1"/>
    <col min="245" max="245" width="11.7109375" style="7" customWidth="1"/>
    <col min="246" max="250" width="13" style="7"/>
    <col min="251" max="251" width="5.5703125" style="7" customWidth="1"/>
    <col min="252" max="252" width="8.28515625" style="7" customWidth="1"/>
    <col min="253" max="253" width="2.42578125" style="7" customWidth="1"/>
    <col min="254" max="254" width="15.5703125" style="7" customWidth="1"/>
    <col min="255" max="256" width="3.7109375" style="7" customWidth="1"/>
    <col min="257" max="257" width="39.140625" style="7" customWidth="1"/>
    <col min="258" max="258" width="13" style="7"/>
    <col min="259" max="259" width="3.7109375" style="7" customWidth="1"/>
    <col min="260" max="260" width="13" style="7"/>
    <col min="261" max="261" width="5" style="7" bestFit="1" customWidth="1"/>
    <col min="262" max="476" width="13" style="7"/>
    <col min="477" max="477" width="25.42578125" style="7" customWidth="1"/>
    <col min="478" max="478" width="8.42578125" style="7" customWidth="1"/>
    <col min="479" max="479" width="6.28515625" style="7" customWidth="1"/>
    <col min="480" max="480" width="9.85546875" style="7" customWidth="1"/>
    <col min="481" max="481" width="10.7109375" style="7" customWidth="1"/>
    <col min="482" max="482" width="11.7109375" style="7" customWidth="1"/>
    <col min="483" max="483" width="12.7109375" style="7" customWidth="1"/>
    <col min="484" max="484" width="6.28515625" style="7" customWidth="1"/>
    <col min="485" max="485" width="11.42578125" style="7" customWidth="1"/>
    <col min="486" max="487" width="7" style="7" customWidth="1"/>
    <col min="488" max="488" width="19.42578125" style="7" customWidth="1"/>
    <col min="489" max="489" width="6.85546875" style="7" customWidth="1"/>
    <col min="490" max="490" width="12.28515625" style="7" customWidth="1"/>
    <col min="491" max="491" width="4.5703125" style="7" customWidth="1"/>
    <col min="492" max="492" width="14.5703125" style="7" customWidth="1"/>
    <col min="493" max="493" width="36.5703125" style="7" customWidth="1"/>
    <col min="494" max="494" width="7.7109375" style="7" customWidth="1"/>
    <col min="495" max="495" width="16.28515625" style="7" customWidth="1"/>
    <col min="496" max="496" width="14.28515625" style="7" customWidth="1"/>
    <col min="497" max="497" width="18" style="7" customWidth="1"/>
    <col min="498" max="498" width="11.85546875" style="7" customWidth="1"/>
    <col min="499" max="499" width="14.28515625" style="7" customWidth="1"/>
    <col min="500" max="500" width="14.42578125" style="7" customWidth="1"/>
    <col min="501" max="501" width="11.7109375" style="7" customWidth="1"/>
    <col min="502" max="506" width="13" style="7"/>
    <col min="507" max="507" width="5.5703125" style="7" customWidth="1"/>
    <col min="508" max="508" width="8.28515625" style="7" customWidth="1"/>
    <col min="509" max="509" width="2.42578125" style="7" customWidth="1"/>
    <col min="510" max="510" width="15.5703125" style="7" customWidth="1"/>
    <col min="511" max="512" width="3.7109375" style="7" customWidth="1"/>
    <col min="513" max="513" width="39.140625" style="7" customWidth="1"/>
    <col min="514" max="514" width="13" style="7"/>
    <col min="515" max="515" width="3.7109375" style="7" customWidth="1"/>
    <col min="516" max="516" width="13" style="7"/>
    <col min="517" max="517" width="5" style="7" bestFit="1" customWidth="1"/>
    <col min="518" max="732" width="13" style="7"/>
    <col min="733" max="733" width="25.42578125" style="7" customWidth="1"/>
    <col min="734" max="734" width="8.42578125" style="7" customWidth="1"/>
    <col min="735" max="735" width="6.28515625" style="7" customWidth="1"/>
    <col min="736" max="736" width="9.85546875" style="7" customWidth="1"/>
    <col min="737" max="737" width="10.7109375" style="7" customWidth="1"/>
    <col min="738" max="738" width="11.7109375" style="7" customWidth="1"/>
    <col min="739" max="739" width="12.7109375" style="7" customWidth="1"/>
    <col min="740" max="740" width="6.28515625" style="7" customWidth="1"/>
    <col min="741" max="741" width="11.42578125" style="7" customWidth="1"/>
    <col min="742" max="743" width="7" style="7" customWidth="1"/>
    <col min="744" max="744" width="19.42578125" style="7" customWidth="1"/>
    <col min="745" max="745" width="6.85546875" style="7" customWidth="1"/>
    <col min="746" max="746" width="12.28515625" style="7" customWidth="1"/>
    <col min="747" max="747" width="4.5703125" style="7" customWidth="1"/>
    <col min="748" max="748" width="14.5703125" style="7" customWidth="1"/>
    <col min="749" max="749" width="36.5703125" style="7" customWidth="1"/>
    <col min="750" max="750" width="7.7109375" style="7" customWidth="1"/>
    <col min="751" max="751" width="16.28515625" style="7" customWidth="1"/>
    <col min="752" max="752" width="14.28515625" style="7" customWidth="1"/>
    <col min="753" max="753" width="18" style="7" customWidth="1"/>
    <col min="754" max="754" width="11.85546875" style="7" customWidth="1"/>
    <col min="755" max="755" width="14.28515625" style="7" customWidth="1"/>
    <col min="756" max="756" width="14.42578125" style="7" customWidth="1"/>
    <col min="757" max="757" width="11.7109375" style="7" customWidth="1"/>
    <col min="758" max="762" width="13" style="7"/>
    <col min="763" max="763" width="5.5703125" style="7" customWidth="1"/>
    <col min="764" max="764" width="8.28515625" style="7" customWidth="1"/>
    <col min="765" max="765" width="2.42578125" style="7" customWidth="1"/>
    <col min="766" max="766" width="15.5703125" style="7" customWidth="1"/>
    <col min="767" max="768" width="3.7109375" style="7" customWidth="1"/>
    <col min="769" max="769" width="39.140625" style="7" customWidth="1"/>
    <col min="770" max="770" width="13" style="7"/>
    <col min="771" max="771" width="3.7109375" style="7" customWidth="1"/>
    <col min="772" max="772" width="13" style="7"/>
    <col min="773" max="773" width="5" style="7" bestFit="1" customWidth="1"/>
    <col min="774" max="988" width="13" style="7"/>
    <col min="989" max="989" width="25.42578125" style="7" customWidth="1"/>
    <col min="990" max="990" width="8.42578125" style="7" customWidth="1"/>
    <col min="991" max="991" width="6.28515625" style="7" customWidth="1"/>
    <col min="992" max="992" width="9.85546875" style="7" customWidth="1"/>
    <col min="993" max="993" width="10.7109375" style="7" customWidth="1"/>
    <col min="994" max="994" width="11.7109375" style="7" customWidth="1"/>
    <col min="995" max="995" width="12.7109375" style="7" customWidth="1"/>
    <col min="996" max="996" width="6.28515625" style="7" customWidth="1"/>
    <col min="997" max="997" width="11.42578125" style="7" customWidth="1"/>
    <col min="998" max="999" width="7" style="7" customWidth="1"/>
    <col min="1000" max="1000" width="19.42578125" style="7" customWidth="1"/>
    <col min="1001" max="1001" width="6.85546875" style="7" customWidth="1"/>
    <col min="1002" max="1002" width="12.28515625" style="7" customWidth="1"/>
    <col min="1003" max="1003" width="4.5703125" style="7" customWidth="1"/>
    <col min="1004" max="1004" width="14.5703125" style="7" customWidth="1"/>
    <col min="1005" max="1005" width="36.5703125" style="7" customWidth="1"/>
    <col min="1006" max="1006" width="7.7109375" style="7" customWidth="1"/>
    <col min="1007" max="1007" width="16.28515625" style="7" customWidth="1"/>
    <col min="1008" max="1008" width="14.28515625" style="7" customWidth="1"/>
    <col min="1009" max="1009" width="18" style="7" customWidth="1"/>
    <col min="1010" max="1010" width="11.85546875" style="7" customWidth="1"/>
    <col min="1011" max="1011" width="14.28515625" style="7" customWidth="1"/>
    <col min="1012" max="1012" width="14.42578125" style="7" customWidth="1"/>
    <col min="1013" max="1013" width="11.7109375" style="7" customWidth="1"/>
    <col min="1014" max="1018" width="13" style="7"/>
    <col min="1019" max="1019" width="5.5703125" style="7" customWidth="1"/>
    <col min="1020" max="1020" width="8.28515625" style="7" customWidth="1"/>
    <col min="1021" max="1021" width="2.42578125" style="7" customWidth="1"/>
    <col min="1022" max="1022" width="15.5703125" style="7" customWidth="1"/>
    <col min="1023" max="1024" width="3.7109375" style="7" customWidth="1"/>
    <col min="1025" max="1025" width="39.140625" style="7" customWidth="1"/>
    <col min="1026" max="1026" width="13" style="7"/>
    <col min="1027" max="1027" width="3.7109375" style="7" customWidth="1"/>
    <col min="1028" max="1028" width="13" style="7"/>
    <col min="1029" max="1029" width="5" style="7" bestFit="1" customWidth="1"/>
    <col min="1030" max="1244" width="13" style="7"/>
    <col min="1245" max="1245" width="25.42578125" style="7" customWidth="1"/>
    <col min="1246" max="1246" width="8.42578125" style="7" customWidth="1"/>
    <col min="1247" max="1247" width="6.28515625" style="7" customWidth="1"/>
    <col min="1248" max="1248" width="9.85546875" style="7" customWidth="1"/>
    <col min="1249" max="1249" width="10.7109375" style="7" customWidth="1"/>
    <col min="1250" max="1250" width="11.7109375" style="7" customWidth="1"/>
    <col min="1251" max="1251" width="12.7109375" style="7" customWidth="1"/>
    <col min="1252" max="1252" width="6.28515625" style="7" customWidth="1"/>
    <col min="1253" max="1253" width="11.42578125" style="7" customWidth="1"/>
    <col min="1254" max="1255" width="7" style="7" customWidth="1"/>
    <col min="1256" max="1256" width="19.42578125" style="7" customWidth="1"/>
    <col min="1257" max="1257" width="6.85546875" style="7" customWidth="1"/>
    <col min="1258" max="1258" width="12.28515625" style="7" customWidth="1"/>
    <col min="1259" max="1259" width="4.5703125" style="7" customWidth="1"/>
    <col min="1260" max="1260" width="14.5703125" style="7" customWidth="1"/>
    <col min="1261" max="1261" width="36.5703125" style="7" customWidth="1"/>
    <col min="1262" max="1262" width="7.7109375" style="7" customWidth="1"/>
    <col min="1263" max="1263" width="16.28515625" style="7" customWidth="1"/>
    <col min="1264" max="1264" width="14.28515625" style="7" customWidth="1"/>
    <col min="1265" max="1265" width="18" style="7" customWidth="1"/>
    <col min="1266" max="1266" width="11.85546875" style="7" customWidth="1"/>
    <col min="1267" max="1267" width="14.28515625" style="7" customWidth="1"/>
    <col min="1268" max="1268" width="14.42578125" style="7" customWidth="1"/>
    <col min="1269" max="1269" width="11.7109375" style="7" customWidth="1"/>
    <col min="1270" max="1274" width="13" style="7"/>
    <col min="1275" max="1275" width="5.5703125" style="7" customWidth="1"/>
    <col min="1276" max="1276" width="8.28515625" style="7" customWidth="1"/>
    <col min="1277" max="1277" width="2.42578125" style="7" customWidth="1"/>
    <col min="1278" max="1278" width="15.5703125" style="7" customWidth="1"/>
    <col min="1279" max="1280" width="3.7109375" style="7" customWidth="1"/>
    <col min="1281" max="1281" width="39.140625" style="7" customWidth="1"/>
    <col min="1282" max="1282" width="13" style="7"/>
    <col min="1283" max="1283" width="3.7109375" style="7" customWidth="1"/>
    <col min="1284" max="1284" width="13" style="7"/>
    <col min="1285" max="1285" width="5" style="7" bestFit="1" customWidth="1"/>
    <col min="1286" max="1500" width="13" style="7"/>
    <col min="1501" max="1501" width="25.42578125" style="7" customWidth="1"/>
    <col min="1502" max="1502" width="8.42578125" style="7" customWidth="1"/>
    <col min="1503" max="1503" width="6.28515625" style="7" customWidth="1"/>
    <col min="1504" max="1504" width="9.85546875" style="7" customWidth="1"/>
    <col min="1505" max="1505" width="10.7109375" style="7" customWidth="1"/>
    <col min="1506" max="1506" width="11.7109375" style="7" customWidth="1"/>
    <col min="1507" max="1507" width="12.7109375" style="7" customWidth="1"/>
    <col min="1508" max="1508" width="6.28515625" style="7" customWidth="1"/>
    <col min="1509" max="1509" width="11.42578125" style="7" customWidth="1"/>
    <col min="1510" max="1511" width="7" style="7" customWidth="1"/>
    <col min="1512" max="1512" width="19.42578125" style="7" customWidth="1"/>
    <col min="1513" max="1513" width="6.85546875" style="7" customWidth="1"/>
    <col min="1514" max="1514" width="12.28515625" style="7" customWidth="1"/>
    <col min="1515" max="1515" width="4.5703125" style="7" customWidth="1"/>
    <col min="1516" max="1516" width="14.5703125" style="7" customWidth="1"/>
    <col min="1517" max="1517" width="36.5703125" style="7" customWidth="1"/>
    <col min="1518" max="1518" width="7.7109375" style="7" customWidth="1"/>
    <col min="1519" max="1519" width="16.28515625" style="7" customWidth="1"/>
    <col min="1520" max="1520" width="14.28515625" style="7" customWidth="1"/>
    <col min="1521" max="1521" width="18" style="7" customWidth="1"/>
    <col min="1522" max="1522" width="11.85546875" style="7" customWidth="1"/>
    <col min="1523" max="1523" width="14.28515625" style="7" customWidth="1"/>
    <col min="1524" max="1524" width="14.42578125" style="7" customWidth="1"/>
    <col min="1525" max="1525" width="11.7109375" style="7" customWidth="1"/>
    <col min="1526" max="1530" width="13" style="7"/>
    <col min="1531" max="1531" width="5.5703125" style="7" customWidth="1"/>
    <col min="1532" max="1532" width="8.28515625" style="7" customWidth="1"/>
    <col min="1533" max="1533" width="2.42578125" style="7" customWidth="1"/>
    <col min="1534" max="1534" width="15.5703125" style="7" customWidth="1"/>
    <col min="1535" max="1536" width="3.7109375" style="7" customWidth="1"/>
    <col min="1537" max="1537" width="39.140625" style="7" customWidth="1"/>
    <col min="1538" max="1538" width="13" style="7"/>
    <col min="1539" max="1539" width="3.7109375" style="7" customWidth="1"/>
    <col min="1540" max="1540" width="13" style="7"/>
    <col min="1541" max="1541" width="5" style="7" bestFit="1" customWidth="1"/>
    <col min="1542" max="1756" width="13" style="7"/>
    <col min="1757" max="1757" width="25.42578125" style="7" customWidth="1"/>
    <col min="1758" max="1758" width="8.42578125" style="7" customWidth="1"/>
    <col min="1759" max="1759" width="6.28515625" style="7" customWidth="1"/>
    <col min="1760" max="1760" width="9.85546875" style="7" customWidth="1"/>
    <col min="1761" max="1761" width="10.7109375" style="7" customWidth="1"/>
    <col min="1762" max="1762" width="11.7109375" style="7" customWidth="1"/>
    <col min="1763" max="1763" width="12.7109375" style="7" customWidth="1"/>
    <col min="1764" max="1764" width="6.28515625" style="7" customWidth="1"/>
    <col min="1765" max="1765" width="11.42578125" style="7" customWidth="1"/>
    <col min="1766" max="1767" width="7" style="7" customWidth="1"/>
    <col min="1768" max="1768" width="19.42578125" style="7" customWidth="1"/>
    <col min="1769" max="1769" width="6.85546875" style="7" customWidth="1"/>
    <col min="1770" max="1770" width="12.28515625" style="7" customWidth="1"/>
    <col min="1771" max="1771" width="4.5703125" style="7" customWidth="1"/>
    <col min="1772" max="1772" width="14.5703125" style="7" customWidth="1"/>
    <col min="1773" max="1773" width="36.5703125" style="7" customWidth="1"/>
    <col min="1774" max="1774" width="7.7109375" style="7" customWidth="1"/>
    <col min="1775" max="1775" width="16.28515625" style="7" customWidth="1"/>
    <col min="1776" max="1776" width="14.28515625" style="7" customWidth="1"/>
    <col min="1777" max="1777" width="18" style="7" customWidth="1"/>
    <col min="1778" max="1778" width="11.85546875" style="7" customWidth="1"/>
    <col min="1779" max="1779" width="14.28515625" style="7" customWidth="1"/>
    <col min="1780" max="1780" width="14.42578125" style="7" customWidth="1"/>
    <col min="1781" max="1781" width="11.7109375" style="7" customWidth="1"/>
    <col min="1782" max="1786" width="13" style="7"/>
    <col min="1787" max="1787" width="5.5703125" style="7" customWidth="1"/>
    <col min="1788" max="1788" width="8.28515625" style="7" customWidth="1"/>
    <col min="1789" max="1789" width="2.42578125" style="7" customWidth="1"/>
    <col min="1790" max="1790" width="15.5703125" style="7" customWidth="1"/>
    <col min="1791" max="1792" width="3.7109375" style="7" customWidth="1"/>
    <col min="1793" max="1793" width="39.140625" style="7" customWidth="1"/>
    <col min="1794" max="1794" width="13" style="7"/>
    <col min="1795" max="1795" width="3.7109375" style="7" customWidth="1"/>
    <col min="1796" max="1796" width="13" style="7"/>
    <col min="1797" max="1797" width="5" style="7" bestFit="1" customWidth="1"/>
    <col min="1798" max="2012" width="13" style="7"/>
    <col min="2013" max="2013" width="25.42578125" style="7" customWidth="1"/>
    <col min="2014" max="2014" width="8.42578125" style="7" customWidth="1"/>
    <col min="2015" max="2015" width="6.28515625" style="7" customWidth="1"/>
    <col min="2016" max="2016" width="9.85546875" style="7" customWidth="1"/>
    <col min="2017" max="2017" width="10.7109375" style="7" customWidth="1"/>
    <col min="2018" max="2018" width="11.7109375" style="7" customWidth="1"/>
    <col min="2019" max="2019" width="12.7109375" style="7" customWidth="1"/>
    <col min="2020" max="2020" width="6.28515625" style="7" customWidth="1"/>
    <col min="2021" max="2021" width="11.42578125" style="7" customWidth="1"/>
    <col min="2022" max="2023" width="7" style="7" customWidth="1"/>
    <col min="2024" max="2024" width="19.42578125" style="7" customWidth="1"/>
    <col min="2025" max="2025" width="6.85546875" style="7" customWidth="1"/>
    <col min="2026" max="2026" width="12.28515625" style="7" customWidth="1"/>
    <col min="2027" max="2027" width="4.5703125" style="7" customWidth="1"/>
    <col min="2028" max="2028" width="14.5703125" style="7" customWidth="1"/>
    <col min="2029" max="2029" width="36.5703125" style="7" customWidth="1"/>
    <col min="2030" max="2030" width="7.7109375" style="7" customWidth="1"/>
    <col min="2031" max="2031" width="16.28515625" style="7" customWidth="1"/>
    <col min="2032" max="2032" width="14.28515625" style="7" customWidth="1"/>
    <col min="2033" max="2033" width="18" style="7" customWidth="1"/>
    <col min="2034" max="2034" width="11.85546875" style="7" customWidth="1"/>
    <col min="2035" max="2035" width="14.28515625" style="7" customWidth="1"/>
    <col min="2036" max="2036" width="14.42578125" style="7" customWidth="1"/>
    <col min="2037" max="2037" width="11.7109375" style="7" customWidth="1"/>
    <col min="2038" max="2042" width="13" style="7"/>
    <col min="2043" max="2043" width="5.5703125" style="7" customWidth="1"/>
    <col min="2044" max="2044" width="8.28515625" style="7" customWidth="1"/>
    <col min="2045" max="2045" width="2.42578125" style="7" customWidth="1"/>
    <col min="2046" max="2046" width="15.5703125" style="7" customWidth="1"/>
    <col min="2047" max="2048" width="3.7109375" style="7" customWidth="1"/>
    <col min="2049" max="2049" width="39.140625" style="7" customWidth="1"/>
    <col min="2050" max="2050" width="13" style="7"/>
    <col min="2051" max="2051" width="3.7109375" style="7" customWidth="1"/>
    <col min="2052" max="2052" width="13" style="7"/>
    <col min="2053" max="2053" width="5" style="7" bestFit="1" customWidth="1"/>
    <col min="2054" max="2268" width="13" style="7"/>
    <col min="2269" max="2269" width="25.42578125" style="7" customWidth="1"/>
    <col min="2270" max="2270" width="8.42578125" style="7" customWidth="1"/>
    <col min="2271" max="2271" width="6.28515625" style="7" customWidth="1"/>
    <col min="2272" max="2272" width="9.85546875" style="7" customWidth="1"/>
    <col min="2273" max="2273" width="10.7109375" style="7" customWidth="1"/>
    <col min="2274" max="2274" width="11.7109375" style="7" customWidth="1"/>
    <col min="2275" max="2275" width="12.7109375" style="7" customWidth="1"/>
    <col min="2276" max="2276" width="6.28515625" style="7" customWidth="1"/>
    <col min="2277" max="2277" width="11.42578125" style="7" customWidth="1"/>
    <col min="2278" max="2279" width="7" style="7" customWidth="1"/>
    <col min="2280" max="2280" width="19.42578125" style="7" customWidth="1"/>
    <col min="2281" max="2281" width="6.85546875" style="7" customWidth="1"/>
    <col min="2282" max="2282" width="12.28515625" style="7" customWidth="1"/>
    <col min="2283" max="2283" width="4.5703125" style="7" customWidth="1"/>
    <col min="2284" max="2284" width="14.5703125" style="7" customWidth="1"/>
    <col min="2285" max="2285" width="36.5703125" style="7" customWidth="1"/>
    <col min="2286" max="2286" width="7.7109375" style="7" customWidth="1"/>
    <col min="2287" max="2287" width="16.28515625" style="7" customWidth="1"/>
    <col min="2288" max="2288" width="14.28515625" style="7" customWidth="1"/>
    <col min="2289" max="2289" width="18" style="7" customWidth="1"/>
    <col min="2290" max="2290" width="11.85546875" style="7" customWidth="1"/>
    <col min="2291" max="2291" width="14.28515625" style="7" customWidth="1"/>
    <col min="2292" max="2292" width="14.42578125" style="7" customWidth="1"/>
    <col min="2293" max="2293" width="11.7109375" style="7" customWidth="1"/>
    <col min="2294" max="2298" width="13" style="7"/>
    <col min="2299" max="2299" width="5.5703125" style="7" customWidth="1"/>
    <col min="2300" max="2300" width="8.28515625" style="7" customWidth="1"/>
    <col min="2301" max="2301" width="2.42578125" style="7" customWidth="1"/>
    <col min="2302" max="2302" width="15.5703125" style="7" customWidth="1"/>
    <col min="2303" max="2304" width="3.7109375" style="7" customWidth="1"/>
    <col min="2305" max="2305" width="39.140625" style="7" customWidth="1"/>
    <col min="2306" max="2306" width="13" style="7"/>
    <col min="2307" max="2307" width="3.7109375" style="7" customWidth="1"/>
    <col min="2308" max="2308" width="13" style="7"/>
    <col min="2309" max="2309" width="5" style="7" bestFit="1" customWidth="1"/>
    <col min="2310" max="2524" width="13" style="7"/>
    <col min="2525" max="2525" width="25.42578125" style="7" customWidth="1"/>
    <col min="2526" max="2526" width="8.42578125" style="7" customWidth="1"/>
    <col min="2527" max="2527" width="6.28515625" style="7" customWidth="1"/>
    <col min="2528" max="2528" width="9.85546875" style="7" customWidth="1"/>
    <col min="2529" max="2529" width="10.7109375" style="7" customWidth="1"/>
    <col min="2530" max="2530" width="11.7109375" style="7" customWidth="1"/>
    <col min="2531" max="2531" width="12.7109375" style="7" customWidth="1"/>
    <col min="2532" max="2532" width="6.28515625" style="7" customWidth="1"/>
    <col min="2533" max="2533" width="11.42578125" style="7" customWidth="1"/>
    <col min="2534" max="2535" width="7" style="7" customWidth="1"/>
    <col min="2536" max="2536" width="19.42578125" style="7" customWidth="1"/>
    <col min="2537" max="2537" width="6.85546875" style="7" customWidth="1"/>
    <col min="2538" max="2538" width="12.28515625" style="7" customWidth="1"/>
    <col min="2539" max="2539" width="4.5703125" style="7" customWidth="1"/>
    <col min="2540" max="2540" width="14.5703125" style="7" customWidth="1"/>
    <col min="2541" max="2541" width="36.5703125" style="7" customWidth="1"/>
    <col min="2542" max="2542" width="7.7109375" style="7" customWidth="1"/>
    <col min="2543" max="2543" width="16.28515625" style="7" customWidth="1"/>
    <col min="2544" max="2544" width="14.28515625" style="7" customWidth="1"/>
    <col min="2545" max="2545" width="18" style="7" customWidth="1"/>
    <col min="2546" max="2546" width="11.85546875" style="7" customWidth="1"/>
    <col min="2547" max="2547" width="14.28515625" style="7" customWidth="1"/>
    <col min="2548" max="2548" width="14.42578125" style="7" customWidth="1"/>
    <col min="2549" max="2549" width="11.7109375" style="7" customWidth="1"/>
    <col min="2550" max="2554" width="13" style="7"/>
    <col min="2555" max="2555" width="5.5703125" style="7" customWidth="1"/>
    <col min="2556" max="2556" width="8.28515625" style="7" customWidth="1"/>
    <col min="2557" max="2557" width="2.42578125" style="7" customWidth="1"/>
    <col min="2558" max="2558" width="15.5703125" style="7" customWidth="1"/>
    <col min="2559" max="2560" width="3.7109375" style="7" customWidth="1"/>
    <col min="2561" max="2561" width="39.140625" style="7" customWidth="1"/>
    <col min="2562" max="2562" width="13" style="7"/>
    <col min="2563" max="2563" width="3.7109375" style="7" customWidth="1"/>
    <col min="2564" max="2564" width="13" style="7"/>
    <col min="2565" max="2565" width="5" style="7" bestFit="1" customWidth="1"/>
    <col min="2566" max="2780" width="13" style="7"/>
    <col min="2781" max="2781" width="25.42578125" style="7" customWidth="1"/>
    <col min="2782" max="2782" width="8.42578125" style="7" customWidth="1"/>
    <col min="2783" max="2783" width="6.28515625" style="7" customWidth="1"/>
    <col min="2784" max="2784" width="9.85546875" style="7" customWidth="1"/>
    <col min="2785" max="2785" width="10.7109375" style="7" customWidth="1"/>
    <col min="2786" max="2786" width="11.7109375" style="7" customWidth="1"/>
    <col min="2787" max="2787" width="12.7109375" style="7" customWidth="1"/>
    <col min="2788" max="2788" width="6.28515625" style="7" customWidth="1"/>
    <col min="2789" max="2789" width="11.42578125" style="7" customWidth="1"/>
    <col min="2790" max="2791" width="7" style="7" customWidth="1"/>
    <col min="2792" max="2792" width="19.42578125" style="7" customWidth="1"/>
    <col min="2793" max="2793" width="6.85546875" style="7" customWidth="1"/>
    <col min="2794" max="2794" width="12.28515625" style="7" customWidth="1"/>
    <col min="2795" max="2795" width="4.5703125" style="7" customWidth="1"/>
    <col min="2796" max="2796" width="14.5703125" style="7" customWidth="1"/>
    <col min="2797" max="2797" width="36.5703125" style="7" customWidth="1"/>
    <col min="2798" max="2798" width="7.7109375" style="7" customWidth="1"/>
    <col min="2799" max="2799" width="16.28515625" style="7" customWidth="1"/>
    <col min="2800" max="2800" width="14.28515625" style="7" customWidth="1"/>
    <col min="2801" max="2801" width="18" style="7" customWidth="1"/>
    <col min="2802" max="2802" width="11.85546875" style="7" customWidth="1"/>
    <col min="2803" max="2803" width="14.28515625" style="7" customWidth="1"/>
    <col min="2804" max="2804" width="14.42578125" style="7" customWidth="1"/>
    <col min="2805" max="2805" width="11.7109375" style="7" customWidth="1"/>
    <col min="2806" max="2810" width="13" style="7"/>
    <col min="2811" max="2811" width="5.5703125" style="7" customWidth="1"/>
    <col min="2812" max="2812" width="8.28515625" style="7" customWidth="1"/>
    <col min="2813" max="2813" width="2.42578125" style="7" customWidth="1"/>
    <col min="2814" max="2814" width="15.5703125" style="7" customWidth="1"/>
    <col min="2815" max="2816" width="3.7109375" style="7" customWidth="1"/>
    <col min="2817" max="2817" width="39.140625" style="7" customWidth="1"/>
    <col min="2818" max="2818" width="13" style="7"/>
    <col min="2819" max="2819" width="3.7109375" style="7" customWidth="1"/>
    <col min="2820" max="2820" width="13" style="7"/>
    <col min="2821" max="2821" width="5" style="7" bestFit="1" customWidth="1"/>
    <col min="2822" max="3036" width="13" style="7"/>
    <col min="3037" max="3037" width="25.42578125" style="7" customWidth="1"/>
    <col min="3038" max="3038" width="8.42578125" style="7" customWidth="1"/>
    <col min="3039" max="3039" width="6.28515625" style="7" customWidth="1"/>
    <col min="3040" max="3040" width="9.85546875" style="7" customWidth="1"/>
    <col min="3041" max="3041" width="10.7109375" style="7" customWidth="1"/>
    <col min="3042" max="3042" width="11.7109375" style="7" customWidth="1"/>
    <col min="3043" max="3043" width="12.7109375" style="7" customWidth="1"/>
    <col min="3044" max="3044" width="6.28515625" style="7" customWidth="1"/>
    <col min="3045" max="3045" width="11.42578125" style="7" customWidth="1"/>
    <col min="3046" max="3047" width="7" style="7" customWidth="1"/>
    <col min="3048" max="3048" width="19.42578125" style="7" customWidth="1"/>
    <col min="3049" max="3049" width="6.85546875" style="7" customWidth="1"/>
    <col min="3050" max="3050" width="12.28515625" style="7" customWidth="1"/>
    <col min="3051" max="3051" width="4.5703125" style="7" customWidth="1"/>
    <col min="3052" max="3052" width="14.5703125" style="7" customWidth="1"/>
    <col min="3053" max="3053" width="36.5703125" style="7" customWidth="1"/>
    <col min="3054" max="3054" width="7.7109375" style="7" customWidth="1"/>
    <col min="3055" max="3055" width="16.28515625" style="7" customWidth="1"/>
    <col min="3056" max="3056" width="14.28515625" style="7" customWidth="1"/>
    <col min="3057" max="3057" width="18" style="7" customWidth="1"/>
    <col min="3058" max="3058" width="11.85546875" style="7" customWidth="1"/>
    <col min="3059" max="3059" width="14.28515625" style="7" customWidth="1"/>
    <col min="3060" max="3060" width="14.42578125" style="7" customWidth="1"/>
    <col min="3061" max="3061" width="11.7109375" style="7" customWidth="1"/>
    <col min="3062" max="3066" width="13" style="7"/>
    <col min="3067" max="3067" width="5.5703125" style="7" customWidth="1"/>
    <col min="3068" max="3068" width="8.28515625" style="7" customWidth="1"/>
    <col min="3069" max="3069" width="2.42578125" style="7" customWidth="1"/>
    <col min="3070" max="3070" width="15.5703125" style="7" customWidth="1"/>
    <col min="3071" max="3072" width="3.7109375" style="7" customWidth="1"/>
    <col min="3073" max="3073" width="39.140625" style="7" customWidth="1"/>
    <col min="3074" max="3074" width="13" style="7"/>
    <col min="3075" max="3075" width="3.7109375" style="7" customWidth="1"/>
    <col min="3076" max="3076" width="13" style="7"/>
    <col min="3077" max="3077" width="5" style="7" bestFit="1" customWidth="1"/>
    <col min="3078" max="3292" width="13" style="7"/>
    <col min="3293" max="3293" width="25.42578125" style="7" customWidth="1"/>
    <col min="3294" max="3294" width="8.42578125" style="7" customWidth="1"/>
    <col min="3295" max="3295" width="6.28515625" style="7" customWidth="1"/>
    <col min="3296" max="3296" width="9.85546875" style="7" customWidth="1"/>
    <col min="3297" max="3297" width="10.7109375" style="7" customWidth="1"/>
    <col min="3298" max="3298" width="11.7109375" style="7" customWidth="1"/>
    <col min="3299" max="3299" width="12.7109375" style="7" customWidth="1"/>
    <col min="3300" max="3300" width="6.28515625" style="7" customWidth="1"/>
    <col min="3301" max="3301" width="11.42578125" style="7" customWidth="1"/>
    <col min="3302" max="3303" width="7" style="7" customWidth="1"/>
    <col min="3304" max="3304" width="19.42578125" style="7" customWidth="1"/>
    <col min="3305" max="3305" width="6.85546875" style="7" customWidth="1"/>
    <col min="3306" max="3306" width="12.28515625" style="7" customWidth="1"/>
    <col min="3307" max="3307" width="4.5703125" style="7" customWidth="1"/>
    <col min="3308" max="3308" width="14.5703125" style="7" customWidth="1"/>
    <col min="3309" max="3309" width="36.5703125" style="7" customWidth="1"/>
    <col min="3310" max="3310" width="7.7109375" style="7" customWidth="1"/>
    <col min="3311" max="3311" width="16.28515625" style="7" customWidth="1"/>
    <col min="3312" max="3312" width="14.28515625" style="7" customWidth="1"/>
    <col min="3313" max="3313" width="18" style="7" customWidth="1"/>
    <col min="3314" max="3314" width="11.85546875" style="7" customWidth="1"/>
    <col min="3315" max="3315" width="14.28515625" style="7" customWidth="1"/>
    <col min="3316" max="3316" width="14.42578125" style="7" customWidth="1"/>
    <col min="3317" max="3317" width="11.7109375" style="7" customWidth="1"/>
    <col min="3318" max="3322" width="13" style="7"/>
    <col min="3323" max="3323" width="5.5703125" style="7" customWidth="1"/>
    <col min="3324" max="3324" width="8.28515625" style="7" customWidth="1"/>
    <col min="3325" max="3325" width="2.42578125" style="7" customWidth="1"/>
    <col min="3326" max="3326" width="15.5703125" style="7" customWidth="1"/>
    <col min="3327" max="3328" width="3.7109375" style="7" customWidth="1"/>
    <col min="3329" max="3329" width="39.140625" style="7" customWidth="1"/>
    <col min="3330" max="3330" width="13" style="7"/>
    <col min="3331" max="3331" width="3.7109375" style="7" customWidth="1"/>
    <col min="3332" max="3332" width="13" style="7"/>
    <col min="3333" max="3333" width="5" style="7" bestFit="1" customWidth="1"/>
    <col min="3334" max="3548" width="13" style="7"/>
    <col min="3549" max="3549" width="25.42578125" style="7" customWidth="1"/>
    <col min="3550" max="3550" width="8.42578125" style="7" customWidth="1"/>
    <col min="3551" max="3551" width="6.28515625" style="7" customWidth="1"/>
    <col min="3552" max="3552" width="9.85546875" style="7" customWidth="1"/>
    <col min="3553" max="3553" width="10.7109375" style="7" customWidth="1"/>
    <col min="3554" max="3554" width="11.7109375" style="7" customWidth="1"/>
    <col min="3555" max="3555" width="12.7109375" style="7" customWidth="1"/>
    <col min="3556" max="3556" width="6.28515625" style="7" customWidth="1"/>
    <col min="3557" max="3557" width="11.42578125" style="7" customWidth="1"/>
    <col min="3558" max="3559" width="7" style="7" customWidth="1"/>
    <col min="3560" max="3560" width="19.42578125" style="7" customWidth="1"/>
    <col min="3561" max="3561" width="6.85546875" style="7" customWidth="1"/>
    <col min="3562" max="3562" width="12.28515625" style="7" customWidth="1"/>
    <col min="3563" max="3563" width="4.5703125" style="7" customWidth="1"/>
    <col min="3564" max="3564" width="14.5703125" style="7" customWidth="1"/>
    <col min="3565" max="3565" width="36.5703125" style="7" customWidth="1"/>
    <col min="3566" max="3566" width="7.7109375" style="7" customWidth="1"/>
    <col min="3567" max="3567" width="16.28515625" style="7" customWidth="1"/>
    <col min="3568" max="3568" width="14.28515625" style="7" customWidth="1"/>
    <col min="3569" max="3569" width="18" style="7" customWidth="1"/>
    <col min="3570" max="3570" width="11.85546875" style="7" customWidth="1"/>
    <col min="3571" max="3571" width="14.28515625" style="7" customWidth="1"/>
    <col min="3572" max="3572" width="14.42578125" style="7" customWidth="1"/>
    <col min="3573" max="3573" width="11.7109375" style="7" customWidth="1"/>
    <col min="3574" max="3578" width="13" style="7"/>
    <col min="3579" max="3579" width="5.5703125" style="7" customWidth="1"/>
    <col min="3580" max="3580" width="8.28515625" style="7" customWidth="1"/>
    <col min="3581" max="3581" width="2.42578125" style="7" customWidth="1"/>
    <col min="3582" max="3582" width="15.5703125" style="7" customWidth="1"/>
    <col min="3583" max="3584" width="3.7109375" style="7" customWidth="1"/>
    <col min="3585" max="3585" width="39.140625" style="7" customWidth="1"/>
    <col min="3586" max="3586" width="13" style="7"/>
    <col min="3587" max="3587" width="3.7109375" style="7" customWidth="1"/>
    <col min="3588" max="3588" width="13" style="7"/>
    <col min="3589" max="3589" width="5" style="7" bestFit="1" customWidth="1"/>
    <col min="3590" max="3804" width="13" style="7"/>
    <col min="3805" max="3805" width="25.42578125" style="7" customWidth="1"/>
    <col min="3806" max="3806" width="8.42578125" style="7" customWidth="1"/>
    <col min="3807" max="3807" width="6.28515625" style="7" customWidth="1"/>
    <col min="3808" max="3808" width="9.85546875" style="7" customWidth="1"/>
    <col min="3809" max="3809" width="10.7109375" style="7" customWidth="1"/>
    <col min="3810" max="3810" width="11.7109375" style="7" customWidth="1"/>
    <col min="3811" max="3811" width="12.7109375" style="7" customWidth="1"/>
    <col min="3812" max="3812" width="6.28515625" style="7" customWidth="1"/>
    <col min="3813" max="3813" width="11.42578125" style="7" customWidth="1"/>
    <col min="3814" max="3815" width="7" style="7" customWidth="1"/>
    <col min="3816" max="3816" width="19.42578125" style="7" customWidth="1"/>
    <col min="3817" max="3817" width="6.85546875" style="7" customWidth="1"/>
    <col min="3818" max="3818" width="12.28515625" style="7" customWidth="1"/>
    <col min="3819" max="3819" width="4.5703125" style="7" customWidth="1"/>
    <col min="3820" max="3820" width="14.5703125" style="7" customWidth="1"/>
    <col min="3821" max="3821" width="36.5703125" style="7" customWidth="1"/>
    <col min="3822" max="3822" width="7.7109375" style="7" customWidth="1"/>
    <col min="3823" max="3823" width="16.28515625" style="7" customWidth="1"/>
    <col min="3824" max="3824" width="14.28515625" style="7" customWidth="1"/>
    <col min="3825" max="3825" width="18" style="7" customWidth="1"/>
    <col min="3826" max="3826" width="11.85546875" style="7" customWidth="1"/>
    <col min="3827" max="3827" width="14.28515625" style="7" customWidth="1"/>
    <col min="3828" max="3828" width="14.42578125" style="7" customWidth="1"/>
    <col min="3829" max="3829" width="11.7109375" style="7" customWidth="1"/>
    <col min="3830" max="3834" width="13" style="7"/>
    <col min="3835" max="3835" width="5.5703125" style="7" customWidth="1"/>
    <col min="3836" max="3836" width="8.28515625" style="7" customWidth="1"/>
    <col min="3837" max="3837" width="2.42578125" style="7" customWidth="1"/>
    <col min="3838" max="3838" width="15.5703125" style="7" customWidth="1"/>
    <col min="3839" max="3840" width="3.7109375" style="7" customWidth="1"/>
    <col min="3841" max="3841" width="39.140625" style="7" customWidth="1"/>
    <col min="3842" max="3842" width="13" style="7"/>
    <col min="3843" max="3843" width="3.7109375" style="7" customWidth="1"/>
    <col min="3844" max="3844" width="13" style="7"/>
    <col min="3845" max="3845" width="5" style="7" bestFit="1" customWidth="1"/>
    <col min="3846" max="4060" width="13" style="7"/>
    <col min="4061" max="4061" width="25.42578125" style="7" customWidth="1"/>
    <col min="4062" max="4062" width="8.42578125" style="7" customWidth="1"/>
    <col min="4063" max="4063" width="6.28515625" style="7" customWidth="1"/>
    <col min="4064" max="4064" width="9.85546875" style="7" customWidth="1"/>
    <col min="4065" max="4065" width="10.7109375" style="7" customWidth="1"/>
    <col min="4066" max="4066" width="11.7109375" style="7" customWidth="1"/>
    <col min="4067" max="4067" width="12.7109375" style="7" customWidth="1"/>
    <col min="4068" max="4068" width="6.28515625" style="7" customWidth="1"/>
    <col min="4069" max="4069" width="11.42578125" style="7" customWidth="1"/>
    <col min="4070" max="4071" width="7" style="7" customWidth="1"/>
    <col min="4072" max="4072" width="19.42578125" style="7" customWidth="1"/>
    <col min="4073" max="4073" width="6.85546875" style="7" customWidth="1"/>
    <col min="4074" max="4074" width="12.28515625" style="7" customWidth="1"/>
    <col min="4075" max="4075" width="4.5703125" style="7" customWidth="1"/>
    <col min="4076" max="4076" width="14.5703125" style="7" customWidth="1"/>
    <col min="4077" max="4077" width="36.5703125" style="7" customWidth="1"/>
    <col min="4078" max="4078" width="7.7109375" style="7" customWidth="1"/>
    <col min="4079" max="4079" width="16.28515625" style="7" customWidth="1"/>
    <col min="4080" max="4080" width="14.28515625" style="7" customWidth="1"/>
    <col min="4081" max="4081" width="18" style="7" customWidth="1"/>
    <col min="4082" max="4082" width="11.85546875" style="7" customWidth="1"/>
    <col min="4083" max="4083" width="14.28515625" style="7" customWidth="1"/>
    <col min="4084" max="4084" width="14.42578125" style="7" customWidth="1"/>
    <col min="4085" max="4085" width="11.7109375" style="7" customWidth="1"/>
    <col min="4086" max="4090" width="13" style="7"/>
    <col min="4091" max="4091" width="5.5703125" style="7" customWidth="1"/>
    <col min="4092" max="4092" width="8.28515625" style="7" customWidth="1"/>
    <col min="4093" max="4093" width="2.42578125" style="7" customWidth="1"/>
    <col min="4094" max="4094" width="15.5703125" style="7" customWidth="1"/>
    <col min="4095" max="4096" width="3.7109375" style="7" customWidth="1"/>
    <col min="4097" max="4097" width="39.140625" style="7" customWidth="1"/>
    <col min="4098" max="4098" width="13" style="7"/>
    <col min="4099" max="4099" width="3.7109375" style="7" customWidth="1"/>
    <col min="4100" max="4100" width="13" style="7"/>
    <col min="4101" max="4101" width="5" style="7" bestFit="1" customWidth="1"/>
    <col min="4102" max="4316" width="13" style="7"/>
    <col min="4317" max="4317" width="25.42578125" style="7" customWidth="1"/>
    <col min="4318" max="4318" width="8.42578125" style="7" customWidth="1"/>
    <col min="4319" max="4319" width="6.28515625" style="7" customWidth="1"/>
    <col min="4320" max="4320" width="9.85546875" style="7" customWidth="1"/>
    <col min="4321" max="4321" width="10.7109375" style="7" customWidth="1"/>
    <col min="4322" max="4322" width="11.7109375" style="7" customWidth="1"/>
    <col min="4323" max="4323" width="12.7109375" style="7" customWidth="1"/>
    <col min="4324" max="4324" width="6.28515625" style="7" customWidth="1"/>
    <col min="4325" max="4325" width="11.42578125" style="7" customWidth="1"/>
    <col min="4326" max="4327" width="7" style="7" customWidth="1"/>
    <col min="4328" max="4328" width="19.42578125" style="7" customWidth="1"/>
    <col min="4329" max="4329" width="6.85546875" style="7" customWidth="1"/>
    <col min="4330" max="4330" width="12.28515625" style="7" customWidth="1"/>
    <col min="4331" max="4331" width="4.5703125" style="7" customWidth="1"/>
    <col min="4332" max="4332" width="14.5703125" style="7" customWidth="1"/>
    <col min="4333" max="4333" width="36.5703125" style="7" customWidth="1"/>
    <col min="4334" max="4334" width="7.7109375" style="7" customWidth="1"/>
    <col min="4335" max="4335" width="16.28515625" style="7" customWidth="1"/>
    <col min="4336" max="4336" width="14.28515625" style="7" customWidth="1"/>
    <col min="4337" max="4337" width="18" style="7" customWidth="1"/>
    <col min="4338" max="4338" width="11.85546875" style="7" customWidth="1"/>
    <col min="4339" max="4339" width="14.28515625" style="7" customWidth="1"/>
    <col min="4340" max="4340" width="14.42578125" style="7" customWidth="1"/>
    <col min="4341" max="4341" width="11.7109375" style="7" customWidth="1"/>
    <col min="4342" max="4346" width="13" style="7"/>
    <col min="4347" max="4347" width="5.5703125" style="7" customWidth="1"/>
    <col min="4348" max="4348" width="8.28515625" style="7" customWidth="1"/>
    <col min="4349" max="4349" width="2.42578125" style="7" customWidth="1"/>
    <col min="4350" max="4350" width="15.5703125" style="7" customWidth="1"/>
    <col min="4351" max="4352" width="3.7109375" style="7" customWidth="1"/>
    <col min="4353" max="4353" width="39.140625" style="7" customWidth="1"/>
    <col min="4354" max="4354" width="13" style="7"/>
    <col min="4355" max="4355" width="3.7109375" style="7" customWidth="1"/>
    <col min="4356" max="4356" width="13" style="7"/>
    <col min="4357" max="4357" width="5" style="7" bestFit="1" customWidth="1"/>
    <col min="4358" max="4572" width="13" style="7"/>
    <col min="4573" max="4573" width="25.42578125" style="7" customWidth="1"/>
    <col min="4574" max="4574" width="8.42578125" style="7" customWidth="1"/>
    <col min="4575" max="4575" width="6.28515625" style="7" customWidth="1"/>
    <col min="4576" max="4576" width="9.85546875" style="7" customWidth="1"/>
    <col min="4577" max="4577" width="10.7109375" style="7" customWidth="1"/>
    <col min="4578" max="4578" width="11.7109375" style="7" customWidth="1"/>
    <col min="4579" max="4579" width="12.7109375" style="7" customWidth="1"/>
    <col min="4580" max="4580" width="6.28515625" style="7" customWidth="1"/>
    <col min="4581" max="4581" width="11.42578125" style="7" customWidth="1"/>
    <col min="4582" max="4583" width="7" style="7" customWidth="1"/>
    <col min="4584" max="4584" width="19.42578125" style="7" customWidth="1"/>
    <col min="4585" max="4585" width="6.85546875" style="7" customWidth="1"/>
    <col min="4586" max="4586" width="12.28515625" style="7" customWidth="1"/>
    <col min="4587" max="4587" width="4.5703125" style="7" customWidth="1"/>
    <col min="4588" max="4588" width="14.5703125" style="7" customWidth="1"/>
    <col min="4589" max="4589" width="36.5703125" style="7" customWidth="1"/>
    <col min="4590" max="4590" width="7.7109375" style="7" customWidth="1"/>
    <col min="4591" max="4591" width="16.28515625" style="7" customWidth="1"/>
    <col min="4592" max="4592" width="14.28515625" style="7" customWidth="1"/>
    <col min="4593" max="4593" width="18" style="7" customWidth="1"/>
    <col min="4594" max="4594" width="11.85546875" style="7" customWidth="1"/>
    <col min="4595" max="4595" width="14.28515625" style="7" customWidth="1"/>
    <col min="4596" max="4596" width="14.42578125" style="7" customWidth="1"/>
    <col min="4597" max="4597" width="11.7109375" style="7" customWidth="1"/>
    <col min="4598" max="4602" width="13" style="7"/>
    <col min="4603" max="4603" width="5.5703125" style="7" customWidth="1"/>
    <col min="4604" max="4604" width="8.28515625" style="7" customWidth="1"/>
    <col min="4605" max="4605" width="2.42578125" style="7" customWidth="1"/>
    <col min="4606" max="4606" width="15.5703125" style="7" customWidth="1"/>
    <col min="4607" max="4608" width="3.7109375" style="7" customWidth="1"/>
    <col min="4609" max="4609" width="39.140625" style="7" customWidth="1"/>
    <col min="4610" max="4610" width="13" style="7"/>
    <col min="4611" max="4611" width="3.7109375" style="7" customWidth="1"/>
    <col min="4612" max="4612" width="13" style="7"/>
    <col min="4613" max="4613" width="5" style="7" bestFit="1" customWidth="1"/>
    <col min="4614" max="4828" width="13" style="7"/>
    <col min="4829" max="4829" width="25.42578125" style="7" customWidth="1"/>
    <col min="4830" max="4830" width="8.42578125" style="7" customWidth="1"/>
    <col min="4831" max="4831" width="6.28515625" style="7" customWidth="1"/>
    <col min="4832" max="4832" width="9.85546875" style="7" customWidth="1"/>
    <col min="4833" max="4833" width="10.7109375" style="7" customWidth="1"/>
    <col min="4834" max="4834" width="11.7109375" style="7" customWidth="1"/>
    <col min="4835" max="4835" width="12.7109375" style="7" customWidth="1"/>
    <col min="4836" max="4836" width="6.28515625" style="7" customWidth="1"/>
    <col min="4837" max="4837" width="11.42578125" style="7" customWidth="1"/>
    <col min="4838" max="4839" width="7" style="7" customWidth="1"/>
    <col min="4840" max="4840" width="19.42578125" style="7" customWidth="1"/>
    <col min="4841" max="4841" width="6.85546875" style="7" customWidth="1"/>
    <col min="4842" max="4842" width="12.28515625" style="7" customWidth="1"/>
    <col min="4843" max="4843" width="4.5703125" style="7" customWidth="1"/>
    <col min="4844" max="4844" width="14.5703125" style="7" customWidth="1"/>
    <col min="4845" max="4845" width="36.5703125" style="7" customWidth="1"/>
    <col min="4846" max="4846" width="7.7109375" style="7" customWidth="1"/>
    <col min="4847" max="4847" width="16.28515625" style="7" customWidth="1"/>
    <col min="4848" max="4848" width="14.28515625" style="7" customWidth="1"/>
    <col min="4849" max="4849" width="18" style="7" customWidth="1"/>
    <col min="4850" max="4850" width="11.85546875" style="7" customWidth="1"/>
    <col min="4851" max="4851" width="14.28515625" style="7" customWidth="1"/>
    <col min="4852" max="4852" width="14.42578125" style="7" customWidth="1"/>
    <col min="4853" max="4853" width="11.7109375" style="7" customWidth="1"/>
    <col min="4854" max="4858" width="13" style="7"/>
    <col min="4859" max="4859" width="5.5703125" style="7" customWidth="1"/>
    <col min="4860" max="4860" width="8.28515625" style="7" customWidth="1"/>
    <col min="4861" max="4861" width="2.42578125" style="7" customWidth="1"/>
    <col min="4862" max="4862" width="15.5703125" style="7" customWidth="1"/>
    <col min="4863" max="4864" width="3.7109375" style="7" customWidth="1"/>
    <col min="4865" max="4865" width="39.140625" style="7" customWidth="1"/>
    <col min="4866" max="4866" width="13" style="7"/>
    <col min="4867" max="4867" width="3.7109375" style="7" customWidth="1"/>
    <col min="4868" max="4868" width="13" style="7"/>
    <col min="4869" max="4869" width="5" style="7" bestFit="1" customWidth="1"/>
    <col min="4870" max="5084" width="13" style="7"/>
    <col min="5085" max="5085" width="25.42578125" style="7" customWidth="1"/>
    <col min="5086" max="5086" width="8.42578125" style="7" customWidth="1"/>
    <col min="5087" max="5087" width="6.28515625" style="7" customWidth="1"/>
    <col min="5088" max="5088" width="9.85546875" style="7" customWidth="1"/>
    <col min="5089" max="5089" width="10.7109375" style="7" customWidth="1"/>
    <col min="5090" max="5090" width="11.7109375" style="7" customWidth="1"/>
    <col min="5091" max="5091" width="12.7109375" style="7" customWidth="1"/>
    <col min="5092" max="5092" width="6.28515625" style="7" customWidth="1"/>
    <col min="5093" max="5093" width="11.42578125" style="7" customWidth="1"/>
    <col min="5094" max="5095" width="7" style="7" customWidth="1"/>
    <col min="5096" max="5096" width="19.42578125" style="7" customWidth="1"/>
    <col min="5097" max="5097" width="6.85546875" style="7" customWidth="1"/>
    <col min="5098" max="5098" width="12.28515625" style="7" customWidth="1"/>
    <col min="5099" max="5099" width="4.5703125" style="7" customWidth="1"/>
    <col min="5100" max="5100" width="14.5703125" style="7" customWidth="1"/>
    <col min="5101" max="5101" width="36.5703125" style="7" customWidth="1"/>
    <col min="5102" max="5102" width="7.7109375" style="7" customWidth="1"/>
    <col min="5103" max="5103" width="16.28515625" style="7" customWidth="1"/>
    <col min="5104" max="5104" width="14.28515625" style="7" customWidth="1"/>
    <col min="5105" max="5105" width="18" style="7" customWidth="1"/>
    <col min="5106" max="5106" width="11.85546875" style="7" customWidth="1"/>
    <col min="5107" max="5107" width="14.28515625" style="7" customWidth="1"/>
    <col min="5108" max="5108" width="14.42578125" style="7" customWidth="1"/>
    <col min="5109" max="5109" width="11.7109375" style="7" customWidth="1"/>
    <col min="5110" max="5114" width="13" style="7"/>
    <col min="5115" max="5115" width="5.5703125" style="7" customWidth="1"/>
    <col min="5116" max="5116" width="8.28515625" style="7" customWidth="1"/>
    <col min="5117" max="5117" width="2.42578125" style="7" customWidth="1"/>
    <col min="5118" max="5118" width="15.5703125" style="7" customWidth="1"/>
    <col min="5119" max="5120" width="3.7109375" style="7" customWidth="1"/>
    <col min="5121" max="5121" width="39.140625" style="7" customWidth="1"/>
    <col min="5122" max="5122" width="13" style="7"/>
    <col min="5123" max="5123" width="3.7109375" style="7" customWidth="1"/>
    <col min="5124" max="5124" width="13" style="7"/>
    <col min="5125" max="5125" width="5" style="7" bestFit="1" customWidth="1"/>
    <col min="5126" max="5340" width="13" style="7"/>
    <col min="5341" max="5341" width="25.42578125" style="7" customWidth="1"/>
    <col min="5342" max="5342" width="8.42578125" style="7" customWidth="1"/>
    <col min="5343" max="5343" width="6.28515625" style="7" customWidth="1"/>
    <col min="5344" max="5344" width="9.85546875" style="7" customWidth="1"/>
    <col min="5345" max="5345" width="10.7109375" style="7" customWidth="1"/>
    <col min="5346" max="5346" width="11.7109375" style="7" customWidth="1"/>
    <col min="5347" max="5347" width="12.7109375" style="7" customWidth="1"/>
    <col min="5348" max="5348" width="6.28515625" style="7" customWidth="1"/>
    <col min="5349" max="5349" width="11.42578125" style="7" customWidth="1"/>
    <col min="5350" max="5351" width="7" style="7" customWidth="1"/>
    <col min="5352" max="5352" width="19.42578125" style="7" customWidth="1"/>
    <col min="5353" max="5353" width="6.85546875" style="7" customWidth="1"/>
    <col min="5354" max="5354" width="12.28515625" style="7" customWidth="1"/>
    <col min="5355" max="5355" width="4.5703125" style="7" customWidth="1"/>
    <col min="5356" max="5356" width="14.5703125" style="7" customWidth="1"/>
    <col min="5357" max="5357" width="36.5703125" style="7" customWidth="1"/>
    <col min="5358" max="5358" width="7.7109375" style="7" customWidth="1"/>
    <col min="5359" max="5359" width="16.28515625" style="7" customWidth="1"/>
    <col min="5360" max="5360" width="14.28515625" style="7" customWidth="1"/>
    <col min="5361" max="5361" width="18" style="7" customWidth="1"/>
    <col min="5362" max="5362" width="11.85546875" style="7" customWidth="1"/>
    <col min="5363" max="5363" width="14.28515625" style="7" customWidth="1"/>
    <col min="5364" max="5364" width="14.42578125" style="7" customWidth="1"/>
    <col min="5365" max="5365" width="11.7109375" style="7" customWidth="1"/>
    <col min="5366" max="5370" width="13" style="7"/>
    <col min="5371" max="5371" width="5.5703125" style="7" customWidth="1"/>
    <col min="5372" max="5372" width="8.28515625" style="7" customWidth="1"/>
    <col min="5373" max="5373" width="2.42578125" style="7" customWidth="1"/>
    <col min="5374" max="5374" width="15.5703125" style="7" customWidth="1"/>
    <col min="5375" max="5376" width="3.7109375" style="7" customWidth="1"/>
    <col min="5377" max="5377" width="39.140625" style="7" customWidth="1"/>
    <col min="5378" max="5378" width="13" style="7"/>
    <col min="5379" max="5379" width="3.7109375" style="7" customWidth="1"/>
    <col min="5380" max="5380" width="13" style="7"/>
    <col min="5381" max="5381" width="5" style="7" bestFit="1" customWidth="1"/>
    <col min="5382" max="5596" width="13" style="7"/>
    <col min="5597" max="5597" width="25.42578125" style="7" customWidth="1"/>
    <col min="5598" max="5598" width="8.42578125" style="7" customWidth="1"/>
    <col min="5599" max="5599" width="6.28515625" style="7" customWidth="1"/>
    <col min="5600" max="5600" width="9.85546875" style="7" customWidth="1"/>
    <col min="5601" max="5601" width="10.7109375" style="7" customWidth="1"/>
    <col min="5602" max="5602" width="11.7109375" style="7" customWidth="1"/>
    <col min="5603" max="5603" width="12.7109375" style="7" customWidth="1"/>
    <col min="5604" max="5604" width="6.28515625" style="7" customWidth="1"/>
    <col min="5605" max="5605" width="11.42578125" style="7" customWidth="1"/>
    <col min="5606" max="5607" width="7" style="7" customWidth="1"/>
    <col min="5608" max="5608" width="19.42578125" style="7" customWidth="1"/>
    <col min="5609" max="5609" width="6.85546875" style="7" customWidth="1"/>
    <col min="5610" max="5610" width="12.28515625" style="7" customWidth="1"/>
    <col min="5611" max="5611" width="4.5703125" style="7" customWidth="1"/>
    <col min="5612" max="5612" width="14.5703125" style="7" customWidth="1"/>
    <col min="5613" max="5613" width="36.5703125" style="7" customWidth="1"/>
    <col min="5614" max="5614" width="7.7109375" style="7" customWidth="1"/>
    <col min="5615" max="5615" width="16.28515625" style="7" customWidth="1"/>
    <col min="5616" max="5616" width="14.28515625" style="7" customWidth="1"/>
    <col min="5617" max="5617" width="18" style="7" customWidth="1"/>
    <col min="5618" max="5618" width="11.85546875" style="7" customWidth="1"/>
    <col min="5619" max="5619" width="14.28515625" style="7" customWidth="1"/>
    <col min="5620" max="5620" width="14.42578125" style="7" customWidth="1"/>
    <col min="5621" max="5621" width="11.7109375" style="7" customWidth="1"/>
    <col min="5622" max="5626" width="13" style="7"/>
    <col min="5627" max="5627" width="5.5703125" style="7" customWidth="1"/>
    <col min="5628" max="5628" width="8.28515625" style="7" customWidth="1"/>
    <col min="5629" max="5629" width="2.42578125" style="7" customWidth="1"/>
    <col min="5630" max="5630" width="15.5703125" style="7" customWidth="1"/>
    <col min="5631" max="5632" width="3.7109375" style="7" customWidth="1"/>
    <col min="5633" max="5633" width="39.140625" style="7" customWidth="1"/>
    <col min="5634" max="5634" width="13" style="7"/>
    <col min="5635" max="5635" width="3.7109375" style="7" customWidth="1"/>
    <col min="5636" max="5636" width="13" style="7"/>
    <col min="5637" max="5637" width="5" style="7" bestFit="1" customWidth="1"/>
    <col min="5638" max="5852" width="13" style="7"/>
    <col min="5853" max="5853" width="25.42578125" style="7" customWidth="1"/>
    <col min="5854" max="5854" width="8.42578125" style="7" customWidth="1"/>
    <col min="5855" max="5855" width="6.28515625" style="7" customWidth="1"/>
    <col min="5856" max="5856" width="9.85546875" style="7" customWidth="1"/>
    <col min="5857" max="5857" width="10.7109375" style="7" customWidth="1"/>
    <col min="5858" max="5858" width="11.7109375" style="7" customWidth="1"/>
    <col min="5859" max="5859" width="12.7109375" style="7" customWidth="1"/>
    <col min="5860" max="5860" width="6.28515625" style="7" customWidth="1"/>
    <col min="5861" max="5861" width="11.42578125" style="7" customWidth="1"/>
    <col min="5862" max="5863" width="7" style="7" customWidth="1"/>
    <col min="5864" max="5864" width="19.42578125" style="7" customWidth="1"/>
    <col min="5865" max="5865" width="6.85546875" style="7" customWidth="1"/>
    <col min="5866" max="5866" width="12.28515625" style="7" customWidth="1"/>
    <col min="5867" max="5867" width="4.5703125" style="7" customWidth="1"/>
    <col min="5868" max="5868" width="14.5703125" style="7" customWidth="1"/>
    <col min="5869" max="5869" width="36.5703125" style="7" customWidth="1"/>
    <col min="5870" max="5870" width="7.7109375" style="7" customWidth="1"/>
    <col min="5871" max="5871" width="16.28515625" style="7" customWidth="1"/>
    <col min="5872" max="5872" width="14.28515625" style="7" customWidth="1"/>
    <col min="5873" max="5873" width="18" style="7" customWidth="1"/>
    <col min="5874" max="5874" width="11.85546875" style="7" customWidth="1"/>
    <col min="5875" max="5875" width="14.28515625" style="7" customWidth="1"/>
    <col min="5876" max="5876" width="14.42578125" style="7" customWidth="1"/>
    <col min="5877" max="5877" width="11.7109375" style="7" customWidth="1"/>
    <col min="5878" max="5882" width="13" style="7"/>
    <col min="5883" max="5883" width="5.5703125" style="7" customWidth="1"/>
    <col min="5884" max="5884" width="8.28515625" style="7" customWidth="1"/>
    <col min="5885" max="5885" width="2.42578125" style="7" customWidth="1"/>
    <col min="5886" max="5886" width="15.5703125" style="7" customWidth="1"/>
    <col min="5887" max="5888" width="3.7109375" style="7" customWidth="1"/>
    <col min="5889" max="5889" width="39.140625" style="7" customWidth="1"/>
    <col min="5890" max="5890" width="13" style="7"/>
    <col min="5891" max="5891" width="3.7109375" style="7" customWidth="1"/>
    <col min="5892" max="5892" width="13" style="7"/>
    <col min="5893" max="5893" width="5" style="7" bestFit="1" customWidth="1"/>
    <col min="5894" max="6108" width="13" style="7"/>
    <col min="6109" max="6109" width="25.42578125" style="7" customWidth="1"/>
    <col min="6110" max="6110" width="8.42578125" style="7" customWidth="1"/>
    <col min="6111" max="6111" width="6.28515625" style="7" customWidth="1"/>
    <col min="6112" max="6112" width="9.85546875" style="7" customWidth="1"/>
    <col min="6113" max="6113" width="10.7109375" style="7" customWidth="1"/>
    <col min="6114" max="6114" width="11.7109375" style="7" customWidth="1"/>
    <col min="6115" max="6115" width="12.7109375" style="7" customWidth="1"/>
    <col min="6116" max="6116" width="6.28515625" style="7" customWidth="1"/>
    <col min="6117" max="6117" width="11.42578125" style="7" customWidth="1"/>
    <col min="6118" max="6119" width="7" style="7" customWidth="1"/>
    <col min="6120" max="6120" width="19.42578125" style="7" customWidth="1"/>
    <col min="6121" max="6121" width="6.85546875" style="7" customWidth="1"/>
    <col min="6122" max="6122" width="12.28515625" style="7" customWidth="1"/>
    <col min="6123" max="6123" width="4.5703125" style="7" customWidth="1"/>
    <col min="6124" max="6124" width="14.5703125" style="7" customWidth="1"/>
    <col min="6125" max="6125" width="36.5703125" style="7" customWidth="1"/>
    <col min="6126" max="6126" width="7.7109375" style="7" customWidth="1"/>
    <col min="6127" max="6127" width="16.28515625" style="7" customWidth="1"/>
    <col min="6128" max="6128" width="14.28515625" style="7" customWidth="1"/>
    <col min="6129" max="6129" width="18" style="7" customWidth="1"/>
    <col min="6130" max="6130" width="11.85546875" style="7" customWidth="1"/>
    <col min="6131" max="6131" width="14.28515625" style="7" customWidth="1"/>
    <col min="6132" max="6132" width="14.42578125" style="7" customWidth="1"/>
    <col min="6133" max="6133" width="11.7109375" style="7" customWidth="1"/>
    <col min="6134" max="6138" width="13" style="7"/>
    <col min="6139" max="6139" width="5.5703125" style="7" customWidth="1"/>
    <col min="6140" max="6140" width="8.28515625" style="7" customWidth="1"/>
    <col min="6141" max="6141" width="2.42578125" style="7" customWidth="1"/>
    <col min="6142" max="6142" width="15.5703125" style="7" customWidth="1"/>
    <col min="6143" max="6144" width="3.7109375" style="7" customWidth="1"/>
    <col min="6145" max="6145" width="39.140625" style="7" customWidth="1"/>
    <col min="6146" max="6146" width="13" style="7"/>
    <col min="6147" max="6147" width="3.7109375" style="7" customWidth="1"/>
    <col min="6148" max="6148" width="13" style="7"/>
    <col min="6149" max="6149" width="5" style="7" bestFit="1" customWidth="1"/>
    <col min="6150" max="6364" width="13" style="7"/>
    <col min="6365" max="6365" width="25.42578125" style="7" customWidth="1"/>
    <col min="6366" max="6366" width="8.42578125" style="7" customWidth="1"/>
    <col min="6367" max="6367" width="6.28515625" style="7" customWidth="1"/>
    <col min="6368" max="6368" width="9.85546875" style="7" customWidth="1"/>
    <col min="6369" max="6369" width="10.7109375" style="7" customWidth="1"/>
    <col min="6370" max="6370" width="11.7109375" style="7" customWidth="1"/>
    <col min="6371" max="6371" width="12.7109375" style="7" customWidth="1"/>
    <col min="6372" max="6372" width="6.28515625" style="7" customWidth="1"/>
    <col min="6373" max="6373" width="11.42578125" style="7" customWidth="1"/>
    <col min="6374" max="6375" width="7" style="7" customWidth="1"/>
    <col min="6376" max="6376" width="19.42578125" style="7" customWidth="1"/>
    <col min="6377" max="6377" width="6.85546875" style="7" customWidth="1"/>
    <col min="6378" max="6378" width="12.28515625" style="7" customWidth="1"/>
    <col min="6379" max="6379" width="4.5703125" style="7" customWidth="1"/>
    <col min="6380" max="6380" width="14.5703125" style="7" customWidth="1"/>
    <col min="6381" max="6381" width="36.5703125" style="7" customWidth="1"/>
    <col min="6382" max="6382" width="7.7109375" style="7" customWidth="1"/>
    <col min="6383" max="6383" width="16.28515625" style="7" customWidth="1"/>
    <col min="6384" max="6384" width="14.28515625" style="7" customWidth="1"/>
    <col min="6385" max="6385" width="18" style="7" customWidth="1"/>
    <col min="6386" max="6386" width="11.85546875" style="7" customWidth="1"/>
    <col min="6387" max="6387" width="14.28515625" style="7" customWidth="1"/>
    <col min="6388" max="6388" width="14.42578125" style="7" customWidth="1"/>
    <col min="6389" max="6389" width="11.7109375" style="7" customWidth="1"/>
    <col min="6390" max="6394" width="13" style="7"/>
    <col min="6395" max="6395" width="5.5703125" style="7" customWidth="1"/>
    <col min="6396" max="6396" width="8.28515625" style="7" customWidth="1"/>
    <col min="6397" max="6397" width="2.42578125" style="7" customWidth="1"/>
    <col min="6398" max="6398" width="15.5703125" style="7" customWidth="1"/>
    <col min="6399" max="6400" width="3.7109375" style="7" customWidth="1"/>
    <col min="6401" max="6401" width="39.140625" style="7" customWidth="1"/>
    <col min="6402" max="6402" width="13" style="7"/>
    <col min="6403" max="6403" width="3.7109375" style="7" customWidth="1"/>
    <col min="6404" max="6404" width="13" style="7"/>
    <col min="6405" max="6405" width="5" style="7" bestFit="1" customWidth="1"/>
    <col min="6406" max="6620" width="13" style="7"/>
    <col min="6621" max="6621" width="25.42578125" style="7" customWidth="1"/>
    <col min="6622" max="6622" width="8.42578125" style="7" customWidth="1"/>
    <col min="6623" max="6623" width="6.28515625" style="7" customWidth="1"/>
    <col min="6624" max="6624" width="9.85546875" style="7" customWidth="1"/>
    <col min="6625" max="6625" width="10.7109375" style="7" customWidth="1"/>
    <col min="6626" max="6626" width="11.7109375" style="7" customWidth="1"/>
    <col min="6627" max="6627" width="12.7109375" style="7" customWidth="1"/>
    <col min="6628" max="6628" width="6.28515625" style="7" customWidth="1"/>
    <col min="6629" max="6629" width="11.42578125" style="7" customWidth="1"/>
    <col min="6630" max="6631" width="7" style="7" customWidth="1"/>
    <col min="6632" max="6632" width="19.42578125" style="7" customWidth="1"/>
    <col min="6633" max="6633" width="6.85546875" style="7" customWidth="1"/>
    <col min="6634" max="6634" width="12.28515625" style="7" customWidth="1"/>
    <col min="6635" max="6635" width="4.5703125" style="7" customWidth="1"/>
    <col min="6636" max="6636" width="14.5703125" style="7" customWidth="1"/>
    <col min="6637" max="6637" width="36.5703125" style="7" customWidth="1"/>
    <col min="6638" max="6638" width="7.7109375" style="7" customWidth="1"/>
    <col min="6639" max="6639" width="16.28515625" style="7" customWidth="1"/>
    <col min="6640" max="6640" width="14.28515625" style="7" customWidth="1"/>
    <col min="6641" max="6641" width="18" style="7" customWidth="1"/>
    <col min="6642" max="6642" width="11.85546875" style="7" customWidth="1"/>
    <col min="6643" max="6643" width="14.28515625" style="7" customWidth="1"/>
    <col min="6644" max="6644" width="14.42578125" style="7" customWidth="1"/>
    <col min="6645" max="6645" width="11.7109375" style="7" customWidth="1"/>
    <col min="6646" max="6650" width="13" style="7"/>
    <col min="6651" max="6651" width="5.5703125" style="7" customWidth="1"/>
    <col min="6652" max="6652" width="8.28515625" style="7" customWidth="1"/>
    <col min="6653" max="6653" width="2.42578125" style="7" customWidth="1"/>
    <col min="6654" max="6654" width="15.5703125" style="7" customWidth="1"/>
    <col min="6655" max="6656" width="3.7109375" style="7" customWidth="1"/>
    <col min="6657" max="6657" width="39.140625" style="7" customWidth="1"/>
    <col min="6658" max="6658" width="13" style="7"/>
    <col min="6659" max="6659" width="3.7109375" style="7" customWidth="1"/>
    <col min="6660" max="6660" width="13" style="7"/>
    <col min="6661" max="6661" width="5" style="7" bestFit="1" customWidth="1"/>
    <col min="6662" max="6876" width="13" style="7"/>
    <col min="6877" max="6877" width="25.42578125" style="7" customWidth="1"/>
    <col min="6878" max="6878" width="8.42578125" style="7" customWidth="1"/>
    <col min="6879" max="6879" width="6.28515625" style="7" customWidth="1"/>
    <col min="6880" max="6880" width="9.85546875" style="7" customWidth="1"/>
    <col min="6881" max="6881" width="10.7109375" style="7" customWidth="1"/>
    <col min="6882" max="6882" width="11.7109375" style="7" customWidth="1"/>
    <col min="6883" max="6883" width="12.7109375" style="7" customWidth="1"/>
    <col min="6884" max="6884" width="6.28515625" style="7" customWidth="1"/>
    <col min="6885" max="6885" width="11.42578125" style="7" customWidth="1"/>
    <col min="6886" max="6887" width="7" style="7" customWidth="1"/>
    <col min="6888" max="6888" width="19.42578125" style="7" customWidth="1"/>
    <col min="6889" max="6889" width="6.85546875" style="7" customWidth="1"/>
    <col min="6890" max="6890" width="12.28515625" style="7" customWidth="1"/>
    <col min="6891" max="6891" width="4.5703125" style="7" customWidth="1"/>
    <col min="6892" max="6892" width="14.5703125" style="7" customWidth="1"/>
    <col min="6893" max="6893" width="36.5703125" style="7" customWidth="1"/>
    <col min="6894" max="6894" width="7.7109375" style="7" customWidth="1"/>
    <col min="6895" max="6895" width="16.28515625" style="7" customWidth="1"/>
    <col min="6896" max="6896" width="14.28515625" style="7" customWidth="1"/>
    <col min="6897" max="6897" width="18" style="7" customWidth="1"/>
    <col min="6898" max="6898" width="11.85546875" style="7" customWidth="1"/>
    <col min="6899" max="6899" width="14.28515625" style="7" customWidth="1"/>
    <col min="6900" max="6900" width="14.42578125" style="7" customWidth="1"/>
    <col min="6901" max="6901" width="11.7109375" style="7" customWidth="1"/>
    <col min="6902" max="6906" width="13" style="7"/>
    <col min="6907" max="6907" width="5.5703125" style="7" customWidth="1"/>
    <col min="6908" max="6908" width="8.28515625" style="7" customWidth="1"/>
    <col min="6909" max="6909" width="2.42578125" style="7" customWidth="1"/>
    <col min="6910" max="6910" width="15.5703125" style="7" customWidth="1"/>
    <col min="6911" max="6912" width="3.7109375" style="7" customWidth="1"/>
    <col min="6913" max="6913" width="39.140625" style="7" customWidth="1"/>
    <col min="6914" max="6914" width="13" style="7"/>
    <col min="6915" max="6915" width="3.7109375" style="7" customWidth="1"/>
    <col min="6916" max="6916" width="13" style="7"/>
    <col min="6917" max="6917" width="5" style="7" bestFit="1" customWidth="1"/>
    <col min="6918" max="7132" width="13" style="7"/>
    <col min="7133" max="7133" width="25.42578125" style="7" customWidth="1"/>
    <col min="7134" max="7134" width="8.42578125" style="7" customWidth="1"/>
    <col min="7135" max="7135" width="6.28515625" style="7" customWidth="1"/>
    <col min="7136" max="7136" width="9.85546875" style="7" customWidth="1"/>
    <col min="7137" max="7137" width="10.7109375" style="7" customWidth="1"/>
    <col min="7138" max="7138" width="11.7109375" style="7" customWidth="1"/>
    <col min="7139" max="7139" width="12.7109375" style="7" customWidth="1"/>
    <col min="7140" max="7140" width="6.28515625" style="7" customWidth="1"/>
    <col min="7141" max="7141" width="11.42578125" style="7" customWidth="1"/>
    <col min="7142" max="7143" width="7" style="7" customWidth="1"/>
    <col min="7144" max="7144" width="19.42578125" style="7" customWidth="1"/>
    <col min="7145" max="7145" width="6.85546875" style="7" customWidth="1"/>
    <col min="7146" max="7146" width="12.28515625" style="7" customWidth="1"/>
    <col min="7147" max="7147" width="4.5703125" style="7" customWidth="1"/>
    <col min="7148" max="7148" width="14.5703125" style="7" customWidth="1"/>
    <col min="7149" max="7149" width="36.5703125" style="7" customWidth="1"/>
    <col min="7150" max="7150" width="7.7109375" style="7" customWidth="1"/>
    <col min="7151" max="7151" width="16.28515625" style="7" customWidth="1"/>
    <col min="7152" max="7152" width="14.28515625" style="7" customWidth="1"/>
    <col min="7153" max="7153" width="18" style="7" customWidth="1"/>
    <col min="7154" max="7154" width="11.85546875" style="7" customWidth="1"/>
    <col min="7155" max="7155" width="14.28515625" style="7" customWidth="1"/>
    <col min="7156" max="7156" width="14.42578125" style="7" customWidth="1"/>
    <col min="7157" max="7157" width="11.7109375" style="7" customWidth="1"/>
    <col min="7158" max="7162" width="13" style="7"/>
    <col min="7163" max="7163" width="5.5703125" style="7" customWidth="1"/>
    <col min="7164" max="7164" width="8.28515625" style="7" customWidth="1"/>
    <col min="7165" max="7165" width="2.42578125" style="7" customWidth="1"/>
    <col min="7166" max="7166" width="15.5703125" style="7" customWidth="1"/>
    <col min="7167" max="7168" width="3.7109375" style="7" customWidth="1"/>
    <col min="7169" max="7169" width="39.140625" style="7" customWidth="1"/>
    <col min="7170" max="7170" width="13" style="7"/>
    <col min="7171" max="7171" width="3.7109375" style="7" customWidth="1"/>
    <col min="7172" max="7172" width="13" style="7"/>
    <col min="7173" max="7173" width="5" style="7" bestFit="1" customWidth="1"/>
    <col min="7174" max="7388" width="13" style="7"/>
    <col min="7389" max="7389" width="25.42578125" style="7" customWidth="1"/>
    <col min="7390" max="7390" width="8.42578125" style="7" customWidth="1"/>
    <col min="7391" max="7391" width="6.28515625" style="7" customWidth="1"/>
    <col min="7392" max="7392" width="9.85546875" style="7" customWidth="1"/>
    <col min="7393" max="7393" width="10.7109375" style="7" customWidth="1"/>
    <col min="7394" max="7394" width="11.7109375" style="7" customWidth="1"/>
    <col min="7395" max="7395" width="12.7109375" style="7" customWidth="1"/>
    <col min="7396" max="7396" width="6.28515625" style="7" customWidth="1"/>
    <col min="7397" max="7397" width="11.42578125" style="7" customWidth="1"/>
    <col min="7398" max="7399" width="7" style="7" customWidth="1"/>
    <col min="7400" max="7400" width="19.42578125" style="7" customWidth="1"/>
    <col min="7401" max="7401" width="6.85546875" style="7" customWidth="1"/>
    <col min="7402" max="7402" width="12.28515625" style="7" customWidth="1"/>
    <col min="7403" max="7403" width="4.5703125" style="7" customWidth="1"/>
    <col min="7404" max="7404" width="14.5703125" style="7" customWidth="1"/>
    <col min="7405" max="7405" width="36.5703125" style="7" customWidth="1"/>
    <col min="7406" max="7406" width="7.7109375" style="7" customWidth="1"/>
    <col min="7407" max="7407" width="16.28515625" style="7" customWidth="1"/>
    <col min="7408" max="7408" width="14.28515625" style="7" customWidth="1"/>
    <col min="7409" max="7409" width="18" style="7" customWidth="1"/>
    <col min="7410" max="7410" width="11.85546875" style="7" customWidth="1"/>
    <col min="7411" max="7411" width="14.28515625" style="7" customWidth="1"/>
    <col min="7412" max="7412" width="14.42578125" style="7" customWidth="1"/>
    <col min="7413" max="7413" width="11.7109375" style="7" customWidth="1"/>
    <col min="7414" max="7418" width="13" style="7"/>
    <col min="7419" max="7419" width="5.5703125" style="7" customWidth="1"/>
    <col min="7420" max="7420" width="8.28515625" style="7" customWidth="1"/>
    <col min="7421" max="7421" width="2.42578125" style="7" customWidth="1"/>
    <col min="7422" max="7422" width="15.5703125" style="7" customWidth="1"/>
    <col min="7423" max="7424" width="3.7109375" style="7" customWidth="1"/>
    <col min="7425" max="7425" width="39.140625" style="7" customWidth="1"/>
    <col min="7426" max="7426" width="13" style="7"/>
    <col min="7427" max="7427" width="3.7109375" style="7" customWidth="1"/>
    <col min="7428" max="7428" width="13" style="7"/>
    <col min="7429" max="7429" width="5" style="7" bestFit="1" customWidth="1"/>
    <col min="7430" max="7644" width="13" style="7"/>
    <col min="7645" max="7645" width="25.42578125" style="7" customWidth="1"/>
    <col min="7646" max="7646" width="8.42578125" style="7" customWidth="1"/>
    <col min="7647" max="7647" width="6.28515625" style="7" customWidth="1"/>
    <col min="7648" max="7648" width="9.85546875" style="7" customWidth="1"/>
    <col min="7649" max="7649" width="10.7109375" style="7" customWidth="1"/>
    <col min="7650" max="7650" width="11.7109375" style="7" customWidth="1"/>
    <col min="7651" max="7651" width="12.7109375" style="7" customWidth="1"/>
    <col min="7652" max="7652" width="6.28515625" style="7" customWidth="1"/>
    <col min="7653" max="7653" width="11.42578125" style="7" customWidth="1"/>
    <col min="7654" max="7655" width="7" style="7" customWidth="1"/>
    <col min="7656" max="7656" width="19.42578125" style="7" customWidth="1"/>
    <col min="7657" max="7657" width="6.85546875" style="7" customWidth="1"/>
    <col min="7658" max="7658" width="12.28515625" style="7" customWidth="1"/>
    <col min="7659" max="7659" width="4.5703125" style="7" customWidth="1"/>
    <col min="7660" max="7660" width="14.5703125" style="7" customWidth="1"/>
    <col min="7661" max="7661" width="36.5703125" style="7" customWidth="1"/>
    <col min="7662" max="7662" width="7.7109375" style="7" customWidth="1"/>
    <col min="7663" max="7663" width="16.28515625" style="7" customWidth="1"/>
    <col min="7664" max="7664" width="14.28515625" style="7" customWidth="1"/>
    <col min="7665" max="7665" width="18" style="7" customWidth="1"/>
    <col min="7666" max="7666" width="11.85546875" style="7" customWidth="1"/>
    <col min="7667" max="7667" width="14.28515625" style="7" customWidth="1"/>
    <col min="7668" max="7668" width="14.42578125" style="7" customWidth="1"/>
    <col min="7669" max="7669" width="11.7109375" style="7" customWidth="1"/>
    <col min="7670" max="7674" width="13" style="7"/>
    <col min="7675" max="7675" width="5.5703125" style="7" customWidth="1"/>
    <col min="7676" max="7676" width="8.28515625" style="7" customWidth="1"/>
    <col min="7677" max="7677" width="2.42578125" style="7" customWidth="1"/>
    <col min="7678" max="7678" width="15.5703125" style="7" customWidth="1"/>
    <col min="7679" max="7680" width="3.7109375" style="7" customWidth="1"/>
    <col min="7681" max="7681" width="39.140625" style="7" customWidth="1"/>
    <col min="7682" max="7682" width="13" style="7"/>
    <col min="7683" max="7683" width="3.7109375" style="7" customWidth="1"/>
    <col min="7684" max="7684" width="13" style="7"/>
    <col min="7685" max="7685" width="5" style="7" bestFit="1" customWidth="1"/>
    <col min="7686" max="7900" width="13" style="7"/>
    <col min="7901" max="7901" width="25.42578125" style="7" customWidth="1"/>
    <col min="7902" max="7902" width="8.42578125" style="7" customWidth="1"/>
    <col min="7903" max="7903" width="6.28515625" style="7" customWidth="1"/>
    <col min="7904" max="7904" width="9.85546875" style="7" customWidth="1"/>
    <col min="7905" max="7905" width="10.7109375" style="7" customWidth="1"/>
    <col min="7906" max="7906" width="11.7109375" style="7" customWidth="1"/>
    <col min="7907" max="7907" width="12.7109375" style="7" customWidth="1"/>
    <col min="7908" max="7908" width="6.28515625" style="7" customWidth="1"/>
    <col min="7909" max="7909" width="11.42578125" style="7" customWidth="1"/>
    <col min="7910" max="7911" width="7" style="7" customWidth="1"/>
    <col min="7912" max="7912" width="19.42578125" style="7" customWidth="1"/>
    <col min="7913" max="7913" width="6.85546875" style="7" customWidth="1"/>
    <col min="7914" max="7914" width="12.28515625" style="7" customWidth="1"/>
    <col min="7915" max="7915" width="4.5703125" style="7" customWidth="1"/>
    <col min="7916" max="7916" width="14.5703125" style="7" customWidth="1"/>
    <col min="7917" max="7917" width="36.5703125" style="7" customWidth="1"/>
    <col min="7918" max="7918" width="7.7109375" style="7" customWidth="1"/>
    <col min="7919" max="7919" width="16.28515625" style="7" customWidth="1"/>
    <col min="7920" max="7920" width="14.28515625" style="7" customWidth="1"/>
    <col min="7921" max="7921" width="18" style="7" customWidth="1"/>
    <col min="7922" max="7922" width="11.85546875" style="7" customWidth="1"/>
    <col min="7923" max="7923" width="14.28515625" style="7" customWidth="1"/>
    <col min="7924" max="7924" width="14.42578125" style="7" customWidth="1"/>
    <col min="7925" max="7925" width="11.7109375" style="7" customWidth="1"/>
    <col min="7926" max="7930" width="13" style="7"/>
    <col min="7931" max="7931" width="5.5703125" style="7" customWidth="1"/>
    <col min="7932" max="7932" width="8.28515625" style="7" customWidth="1"/>
    <col min="7933" max="7933" width="2.42578125" style="7" customWidth="1"/>
    <col min="7934" max="7934" width="15.5703125" style="7" customWidth="1"/>
    <col min="7935" max="7936" width="3.7109375" style="7" customWidth="1"/>
    <col min="7937" max="7937" width="39.140625" style="7" customWidth="1"/>
    <col min="7938" max="7938" width="13" style="7"/>
    <col min="7939" max="7939" width="3.7109375" style="7" customWidth="1"/>
    <col min="7940" max="7940" width="13" style="7"/>
    <col min="7941" max="7941" width="5" style="7" bestFit="1" customWidth="1"/>
    <col min="7942" max="8156" width="13" style="7"/>
    <col min="8157" max="8157" width="25.42578125" style="7" customWidth="1"/>
    <col min="8158" max="8158" width="8.42578125" style="7" customWidth="1"/>
    <col min="8159" max="8159" width="6.28515625" style="7" customWidth="1"/>
    <col min="8160" max="8160" width="9.85546875" style="7" customWidth="1"/>
    <col min="8161" max="8161" width="10.7109375" style="7" customWidth="1"/>
    <col min="8162" max="8162" width="11.7109375" style="7" customWidth="1"/>
    <col min="8163" max="8163" width="12.7109375" style="7" customWidth="1"/>
    <col min="8164" max="8164" width="6.28515625" style="7" customWidth="1"/>
    <col min="8165" max="8165" width="11.42578125" style="7" customWidth="1"/>
    <col min="8166" max="8167" width="7" style="7" customWidth="1"/>
    <col min="8168" max="8168" width="19.42578125" style="7" customWidth="1"/>
    <col min="8169" max="8169" width="6.85546875" style="7" customWidth="1"/>
    <col min="8170" max="8170" width="12.28515625" style="7" customWidth="1"/>
    <col min="8171" max="8171" width="4.5703125" style="7" customWidth="1"/>
    <col min="8172" max="8172" width="14.5703125" style="7" customWidth="1"/>
    <col min="8173" max="8173" width="36.5703125" style="7" customWidth="1"/>
    <col min="8174" max="8174" width="7.7109375" style="7" customWidth="1"/>
    <col min="8175" max="8175" width="16.28515625" style="7" customWidth="1"/>
    <col min="8176" max="8176" width="14.28515625" style="7" customWidth="1"/>
    <col min="8177" max="8177" width="18" style="7" customWidth="1"/>
    <col min="8178" max="8178" width="11.85546875" style="7" customWidth="1"/>
    <col min="8179" max="8179" width="14.28515625" style="7" customWidth="1"/>
    <col min="8180" max="8180" width="14.42578125" style="7" customWidth="1"/>
    <col min="8181" max="8181" width="11.7109375" style="7" customWidth="1"/>
    <col min="8182" max="8186" width="13" style="7"/>
    <col min="8187" max="8187" width="5.5703125" style="7" customWidth="1"/>
    <col min="8188" max="8188" width="8.28515625" style="7" customWidth="1"/>
    <col min="8189" max="8189" width="2.42578125" style="7" customWidth="1"/>
    <col min="8190" max="8190" width="15.5703125" style="7" customWidth="1"/>
    <col min="8191" max="8192" width="3.7109375" style="7" customWidth="1"/>
    <col min="8193" max="8193" width="39.140625" style="7" customWidth="1"/>
    <col min="8194" max="8194" width="13" style="7"/>
    <col min="8195" max="8195" width="3.7109375" style="7" customWidth="1"/>
    <col min="8196" max="8196" width="13" style="7"/>
    <col min="8197" max="8197" width="5" style="7" bestFit="1" customWidth="1"/>
    <col min="8198" max="8412" width="13" style="7"/>
    <col min="8413" max="8413" width="25.42578125" style="7" customWidth="1"/>
    <col min="8414" max="8414" width="8.42578125" style="7" customWidth="1"/>
    <col min="8415" max="8415" width="6.28515625" style="7" customWidth="1"/>
    <col min="8416" max="8416" width="9.85546875" style="7" customWidth="1"/>
    <col min="8417" max="8417" width="10.7109375" style="7" customWidth="1"/>
    <col min="8418" max="8418" width="11.7109375" style="7" customWidth="1"/>
    <col min="8419" max="8419" width="12.7109375" style="7" customWidth="1"/>
    <col min="8420" max="8420" width="6.28515625" style="7" customWidth="1"/>
    <col min="8421" max="8421" width="11.42578125" style="7" customWidth="1"/>
    <col min="8422" max="8423" width="7" style="7" customWidth="1"/>
    <col min="8424" max="8424" width="19.42578125" style="7" customWidth="1"/>
    <col min="8425" max="8425" width="6.85546875" style="7" customWidth="1"/>
    <col min="8426" max="8426" width="12.28515625" style="7" customWidth="1"/>
    <col min="8427" max="8427" width="4.5703125" style="7" customWidth="1"/>
    <col min="8428" max="8428" width="14.5703125" style="7" customWidth="1"/>
    <col min="8429" max="8429" width="36.5703125" style="7" customWidth="1"/>
    <col min="8430" max="8430" width="7.7109375" style="7" customWidth="1"/>
    <col min="8431" max="8431" width="16.28515625" style="7" customWidth="1"/>
    <col min="8432" max="8432" width="14.28515625" style="7" customWidth="1"/>
    <col min="8433" max="8433" width="18" style="7" customWidth="1"/>
    <col min="8434" max="8434" width="11.85546875" style="7" customWidth="1"/>
    <col min="8435" max="8435" width="14.28515625" style="7" customWidth="1"/>
    <col min="8436" max="8436" width="14.42578125" style="7" customWidth="1"/>
    <col min="8437" max="8437" width="11.7109375" style="7" customWidth="1"/>
    <col min="8438" max="8442" width="13" style="7"/>
    <col min="8443" max="8443" width="5.5703125" style="7" customWidth="1"/>
    <col min="8444" max="8444" width="8.28515625" style="7" customWidth="1"/>
    <col min="8445" max="8445" width="2.42578125" style="7" customWidth="1"/>
    <col min="8446" max="8446" width="15.5703125" style="7" customWidth="1"/>
    <col min="8447" max="8448" width="3.7109375" style="7" customWidth="1"/>
    <col min="8449" max="8449" width="39.140625" style="7" customWidth="1"/>
    <col min="8450" max="8450" width="13" style="7"/>
    <col min="8451" max="8451" width="3.7109375" style="7" customWidth="1"/>
    <col min="8452" max="8452" width="13" style="7"/>
    <col min="8453" max="8453" width="5" style="7" bestFit="1" customWidth="1"/>
    <col min="8454" max="8668" width="13" style="7"/>
    <col min="8669" max="8669" width="25.42578125" style="7" customWidth="1"/>
    <col min="8670" max="8670" width="8.42578125" style="7" customWidth="1"/>
    <col min="8671" max="8671" width="6.28515625" style="7" customWidth="1"/>
    <col min="8672" max="8672" width="9.85546875" style="7" customWidth="1"/>
    <col min="8673" max="8673" width="10.7109375" style="7" customWidth="1"/>
    <col min="8674" max="8674" width="11.7109375" style="7" customWidth="1"/>
    <col min="8675" max="8675" width="12.7109375" style="7" customWidth="1"/>
    <col min="8676" max="8676" width="6.28515625" style="7" customWidth="1"/>
    <col min="8677" max="8677" width="11.42578125" style="7" customWidth="1"/>
    <col min="8678" max="8679" width="7" style="7" customWidth="1"/>
    <col min="8680" max="8680" width="19.42578125" style="7" customWidth="1"/>
    <col min="8681" max="8681" width="6.85546875" style="7" customWidth="1"/>
    <col min="8682" max="8682" width="12.28515625" style="7" customWidth="1"/>
    <col min="8683" max="8683" width="4.5703125" style="7" customWidth="1"/>
    <col min="8684" max="8684" width="14.5703125" style="7" customWidth="1"/>
    <col min="8685" max="8685" width="36.5703125" style="7" customWidth="1"/>
    <col min="8686" max="8686" width="7.7109375" style="7" customWidth="1"/>
    <col min="8687" max="8687" width="16.28515625" style="7" customWidth="1"/>
    <col min="8688" max="8688" width="14.28515625" style="7" customWidth="1"/>
    <col min="8689" max="8689" width="18" style="7" customWidth="1"/>
    <col min="8690" max="8690" width="11.85546875" style="7" customWidth="1"/>
    <col min="8691" max="8691" width="14.28515625" style="7" customWidth="1"/>
    <col min="8692" max="8692" width="14.42578125" style="7" customWidth="1"/>
    <col min="8693" max="8693" width="11.7109375" style="7" customWidth="1"/>
    <col min="8694" max="8698" width="13" style="7"/>
    <col min="8699" max="8699" width="5.5703125" style="7" customWidth="1"/>
    <col min="8700" max="8700" width="8.28515625" style="7" customWidth="1"/>
    <col min="8701" max="8701" width="2.42578125" style="7" customWidth="1"/>
    <col min="8702" max="8702" width="15.5703125" style="7" customWidth="1"/>
    <col min="8703" max="8704" width="3.7109375" style="7" customWidth="1"/>
    <col min="8705" max="8705" width="39.140625" style="7" customWidth="1"/>
    <col min="8706" max="8706" width="13" style="7"/>
    <col min="8707" max="8707" width="3.7109375" style="7" customWidth="1"/>
    <col min="8708" max="8708" width="13" style="7"/>
    <col min="8709" max="8709" width="5" style="7" bestFit="1" customWidth="1"/>
    <col min="8710" max="8924" width="13" style="7"/>
    <col min="8925" max="8925" width="25.42578125" style="7" customWidth="1"/>
    <col min="8926" max="8926" width="8.42578125" style="7" customWidth="1"/>
    <col min="8927" max="8927" width="6.28515625" style="7" customWidth="1"/>
    <col min="8928" max="8928" width="9.85546875" style="7" customWidth="1"/>
    <col min="8929" max="8929" width="10.7109375" style="7" customWidth="1"/>
    <col min="8930" max="8930" width="11.7109375" style="7" customWidth="1"/>
    <col min="8931" max="8931" width="12.7109375" style="7" customWidth="1"/>
    <col min="8932" max="8932" width="6.28515625" style="7" customWidth="1"/>
    <col min="8933" max="8933" width="11.42578125" style="7" customWidth="1"/>
    <col min="8934" max="8935" width="7" style="7" customWidth="1"/>
    <col min="8936" max="8936" width="19.42578125" style="7" customWidth="1"/>
    <col min="8937" max="8937" width="6.85546875" style="7" customWidth="1"/>
    <col min="8938" max="8938" width="12.28515625" style="7" customWidth="1"/>
    <col min="8939" max="8939" width="4.5703125" style="7" customWidth="1"/>
    <col min="8940" max="8940" width="14.5703125" style="7" customWidth="1"/>
    <col min="8941" max="8941" width="36.5703125" style="7" customWidth="1"/>
    <col min="8942" max="8942" width="7.7109375" style="7" customWidth="1"/>
    <col min="8943" max="8943" width="16.28515625" style="7" customWidth="1"/>
    <col min="8944" max="8944" width="14.28515625" style="7" customWidth="1"/>
    <col min="8945" max="8945" width="18" style="7" customWidth="1"/>
    <col min="8946" max="8946" width="11.85546875" style="7" customWidth="1"/>
    <col min="8947" max="8947" width="14.28515625" style="7" customWidth="1"/>
    <col min="8948" max="8948" width="14.42578125" style="7" customWidth="1"/>
    <col min="8949" max="8949" width="11.7109375" style="7" customWidth="1"/>
    <col min="8950" max="8954" width="13" style="7"/>
    <col min="8955" max="8955" width="5.5703125" style="7" customWidth="1"/>
    <col min="8956" max="8956" width="8.28515625" style="7" customWidth="1"/>
    <col min="8957" max="8957" width="2.42578125" style="7" customWidth="1"/>
    <col min="8958" max="8958" width="15.5703125" style="7" customWidth="1"/>
    <col min="8959" max="8960" width="3.7109375" style="7" customWidth="1"/>
    <col min="8961" max="8961" width="39.140625" style="7" customWidth="1"/>
    <col min="8962" max="8962" width="13" style="7"/>
    <col min="8963" max="8963" width="3.7109375" style="7" customWidth="1"/>
    <col min="8964" max="8964" width="13" style="7"/>
    <col min="8965" max="8965" width="5" style="7" bestFit="1" customWidth="1"/>
    <col min="8966" max="9180" width="13" style="7"/>
    <col min="9181" max="9181" width="25.42578125" style="7" customWidth="1"/>
    <col min="9182" max="9182" width="8.42578125" style="7" customWidth="1"/>
    <col min="9183" max="9183" width="6.28515625" style="7" customWidth="1"/>
    <col min="9184" max="9184" width="9.85546875" style="7" customWidth="1"/>
    <col min="9185" max="9185" width="10.7109375" style="7" customWidth="1"/>
    <col min="9186" max="9186" width="11.7109375" style="7" customWidth="1"/>
    <col min="9187" max="9187" width="12.7109375" style="7" customWidth="1"/>
    <col min="9188" max="9188" width="6.28515625" style="7" customWidth="1"/>
    <col min="9189" max="9189" width="11.42578125" style="7" customWidth="1"/>
    <col min="9190" max="9191" width="7" style="7" customWidth="1"/>
    <col min="9192" max="9192" width="19.42578125" style="7" customWidth="1"/>
    <col min="9193" max="9193" width="6.85546875" style="7" customWidth="1"/>
    <col min="9194" max="9194" width="12.28515625" style="7" customWidth="1"/>
    <col min="9195" max="9195" width="4.5703125" style="7" customWidth="1"/>
    <col min="9196" max="9196" width="14.5703125" style="7" customWidth="1"/>
    <col min="9197" max="9197" width="36.5703125" style="7" customWidth="1"/>
    <col min="9198" max="9198" width="7.7109375" style="7" customWidth="1"/>
    <col min="9199" max="9199" width="16.28515625" style="7" customWidth="1"/>
    <col min="9200" max="9200" width="14.28515625" style="7" customWidth="1"/>
    <col min="9201" max="9201" width="18" style="7" customWidth="1"/>
    <col min="9202" max="9202" width="11.85546875" style="7" customWidth="1"/>
    <col min="9203" max="9203" width="14.28515625" style="7" customWidth="1"/>
    <col min="9204" max="9204" width="14.42578125" style="7" customWidth="1"/>
    <col min="9205" max="9205" width="11.7109375" style="7" customWidth="1"/>
    <col min="9206" max="9210" width="13" style="7"/>
    <col min="9211" max="9211" width="5.5703125" style="7" customWidth="1"/>
    <col min="9212" max="9212" width="8.28515625" style="7" customWidth="1"/>
    <col min="9213" max="9213" width="2.42578125" style="7" customWidth="1"/>
    <col min="9214" max="9214" width="15.5703125" style="7" customWidth="1"/>
    <col min="9215" max="9216" width="3.7109375" style="7" customWidth="1"/>
    <col min="9217" max="9217" width="39.140625" style="7" customWidth="1"/>
    <col min="9218" max="9218" width="13" style="7"/>
    <col min="9219" max="9219" width="3.7109375" style="7" customWidth="1"/>
    <col min="9220" max="9220" width="13" style="7"/>
    <col min="9221" max="9221" width="5" style="7" bestFit="1" customWidth="1"/>
    <col min="9222" max="9436" width="13" style="7"/>
    <col min="9437" max="9437" width="25.42578125" style="7" customWidth="1"/>
    <col min="9438" max="9438" width="8.42578125" style="7" customWidth="1"/>
    <col min="9439" max="9439" width="6.28515625" style="7" customWidth="1"/>
    <col min="9440" max="9440" width="9.85546875" style="7" customWidth="1"/>
    <col min="9441" max="9441" width="10.7109375" style="7" customWidth="1"/>
    <col min="9442" max="9442" width="11.7109375" style="7" customWidth="1"/>
    <col min="9443" max="9443" width="12.7109375" style="7" customWidth="1"/>
    <col min="9444" max="9444" width="6.28515625" style="7" customWidth="1"/>
    <col min="9445" max="9445" width="11.42578125" style="7" customWidth="1"/>
    <col min="9446" max="9447" width="7" style="7" customWidth="1"/>
    <col min="9448" max="9448" width="19.42578125" style="7" customWidth="1"/>
    <col min="9449" max="9449" width="6.85546875" style="7" customWidth="1"/>
    <col min="9450" max="9450" width="12.28515625" style="7" customWidth="1"/>
    <col min="9451" max="9451" width="4.5703125" style="7" customWidth="1"/>
    <col min="9452" max="9452" width="14.5703125" style="7" customWidth="1"/>
    <col min="9453" max="9453" width="36.5703125" style="7" customWidth="1"/>
    <col min="9454" max="9454" width="7.7109375" style="7" customWidth="1"/>
    <col min="9455" max="9455" width="16.28515625" style="7" customWidth="1"/>
    <col min="9456" max="9456" width="14.28515625" style="7" customWidth="1"/>
    <col min="9457" max="9457" width="18" style="7" customWidth="1"/>
    <col min="9458" max="9458" width="11.85546875" style="7" customWidth="1"/>
    <col min="9459" max="9459" width="14.28515625" style="7" customWidth="1"/>
    <col min="9460" max="9460" width="14.42578125" style="7" customWidth="1"/>
    <col min="9461" max="9461" width="11.7109375" style="7" customWidth="1"/>
    <col min="9462" max="9466" width="13" style="7"/>
    <col min="9467" max="9467" width="5.5703125" style="7" customWidth="1"/>
    <col min="9468" max="9468" width="8.28515625" style="7" customWidth="1"/>
    <col min="9469" max="9469" width="2.42578125" style="7" customWidth="1"/>
    <col min="9470" max="9470" width="15.5703125" style="7" customWidth="1"/>
    <col min="9471" max="9472" width="3.7109375" style="7" customWidth="1"/>
    <col min="9473" max="9473" width="39.140625" style="7" customWidth="1"/>
    <col min="9474" max="9474" width="13" style="7"/>
    <col min="9475" max="9475" width="3.7109375" style="7" customWidth="1"/>
    <col min="9476" max="9476" width="13" style="7"/>
    <col min="9477" max="9477" width="5" style="7" bestFit="1" customWidth="1"/>
    <col min="9478" max="9692" width="13" style="7"/>
    <col min="9693" max="9693" width="25.42578125" style="7" customWidth="1"/>
    <col min="9694" max="9694" width="8.42578125" style="7" customWidth="1"/>
    <col min="9695" max="9695" width="6.28515625" style="7" customWidth="1"/>
    <col min="9696" max="9696" width="9.85546875" style="7" customWidth="1"/>
    <col min="9697" max="9697" width="10.7109375" style="7" customWidth="1"/>
    <col min="9698" max="9698" width="11.7109375" style="7" customWidth="1"/>
    <col min="9699" max="9699" width="12.7109375" style="7" customWidth="1"/>
    <col min="9700" max="9700" width="6.28515625" style="7" customWidth="1"/>
    <col min="9701" max="9701" width="11.42578125" style="7" customWidth="1"/>
    <col min="9702" max="9703" width="7" style="7" customWidth="1"/>
    <col min="9704" max="9704" width="19.42578125" style="7" customWidth="1"/>
    <col min="9705" max="9705" width="6.85546875" style="7" customWidth="1"/>
    <col min="9706" max="9706" width="12.28515625" style="7" customWidth="1"/>
    <col min="9707" max="9707" width="4.5703125" style="7" customWidth="1"/>
    <col min="9708" max="9708" width="14.5703125" style="7" customWidth="1"/>
    <col min="9709" max="9709" width="36.5703125" style="7" customWidth="1"/>
    <col min="9710" max="9710" width="7.7109375" style="7" customWidth="1"/>
    <col min="9711" max="9711" width="16.28515625" style="7" customWidth="1"/>
    <col min="9712" max="9712" width="14.28515625" style="7" customWidth="1"/>
    <col min="9713" max="9713" width="18" style="7" customWidth="1"/>
    <col min="9714" max="9714" width="11.85546875" style="7" customWidth="1"/>
    <col min="9715" max="9715" width="14.28515625" style="7" customWidth="1"/>
    <col min="9716" max="9716" width="14.42578125" style="7" customWidth="1"/>
    <col min="9717" max="9717" width="11.7109375" style="7" customWidth="1"/>
    <col min="9718" max="9722" width="13" style="7"/>
    <col min="9723" max="9723" width="5.5703125" style="7" customWidth="1"/>
    <col min="9724" max="9724" width="8.28515625" style="7" customWidth="1"/>
    <col min="9725" max="9725" width="2.42578125" style="7" customWidth="1"/>
    <col min="9726" max="9726" width="15.5703125" style="7" customWidth="1"/>
    <col min="9727" max="9728" width="3.7109375" style="7" customWidth="1"/>
    <col min="9729" max="9729" width="39.140625" style="7" customWidth="1"/>
    <col min="9730" max="9730" width="13" style="7"/>
    <col min="9731" max="9731" width="3.7109375" style="7" customWidth="1"/>
    <col min="9732" max="9732" width="13" style="7"/>
    <col min="9733" max="9733" width="5" style="7" bestFit="1" customWidth="1"/>
    <col min="9734" max="9948" width="13" style="7"/>
    <col min="9949" max="9949" width="25.42578125" style="7" customWidth="1"/>
    <col min="9950" max="9950" width="8.42578125" style="7" customWidth="1"/>
    <col min="9951" max="9951" width="6.28515625" style="7" customWidth="1"/>
    <col min="9952" max="9952" width="9.85546875" style="7" customWidth="1"/>
    <col min="9953" max="9953" width="10.7109375" style="7" customWidth="1"/>
    <col min="9954" max="9954" width="11.7109375" style="7" customWidth="1"/>
    <col min="9955" max="9955" width="12.7109375" style="7" customWidth="1"/>
    <col min="9956" max="9956" width="6.28515625" style="7" customWidth="1"/>
    <col min="9957" max="9957" width="11.42578125" style="7" customWidth="1"/>
    <col min="9958" max="9959" width="7" style="7" customWidth="1"/>
    <col min="9960" max="9960" width="19.42578125" style="7" customWidth="1"/>
    <col min="9961" max="9961" width="6.85546875" style="7" customWidth="1"/>
    <col min="9962" max="9962" width="12.28515625" style="7" customWidth="1"/>
    <col min="9963" max="9963" width="4.5703125" style="7" customWidth="1"/>
    <col min="9964" max="9964" width="14.5703125" style="7" customWidth="1"/>
    <col min="9965" max="9965" width="36.5703125" style="7" customWidth="1"/>
    <col min="9966" max="9966" width="7.7109375" style="7" customWidth="1"/>
    <col min="9967" max="9967" width="16.28515625" style="7" customWidth="1"/>
    <col min="9968" max="9968" width="14.28515625" style="7" customWidth="1"/>
    <col min="9969" max="9969" width="18" style="7" customWidth="1"/>
    <col min="9970" max="9970" width="11.85546875" style="7" customWidth="1"/>
    <col min="9971" max="9971" width="14.28515625" style="7" customWidth="1"/>
    <col min="9972" max="9972" width="14.42578125" style="7" customWidth="1"/>
    <col min="9973" max="9973" width="11.7109375" style="7" customWidth="1"/>
    <col min="9974" max="9978" width="13" style="7"/>
    <col min="9979" max="9979" width="5.5703125" style="7" customWidth="1"/>
    <col min="9980" max="9980" width="8.28515625" style="7" customWidth="1"/>
    <col min="9981" max="9981" width="2.42578125" style="7" customWidth="1"/>
    <col min="9982" max="9982" width="15.5703125" style="7" customWidth="1"/>
    <col min="9983" max="9984" width="3.7109375" style="7" customWidth="1"/>
    <col min="9985" max="9985" width="39.140625" style="7" customWidth="1"/>
    <col min="9986" max="9986" width="13" style="7"/>
    <col min="9987" max="9987" width="3.7109375" style="7" customWidth="1"/>
    <col min="9988" max="9988" width="13" style="7"/>
    <col min="9989" max="9989" width="5" style="7" bestFit="1" customWidth="1"/>
    <col min="9990" max="10204" width="13" style="7"/>
    <col min="10205" max="10205" width="25.42578125" style="7" customWidth="1"/>
    <col min="10206" max="10206" width="8.42578125" style="7" customWidth="1"/>
    <col min="10207" max="10207" width="6.28515625" style="7" customWidth="1"/>
    <col min="10208" max="10208" width="9.85546875" style="7" customWidth="1"/>
    <col min="10209" max="10209" width="10.7109375" style="7" customWidth="1"/>
    <col min="10210" max="10210" width="11.7109375" style="7" customWidth="1"/>
    <col min="10211" max="10211" width="12.7109375" style="7" customWidth="1"/>
    <col min="10212" max="10212" width="6.28515625" style="7" customWidth="1"/>
    <col min="10213" max="10213" width="11.42578125" style="7" customWidth="1"/>
    <col min="10214" max="10215" width="7" style="7" customWidth="1"/>
    <col min="10216" max="10216" width="19.42578125" style="7" customWidth="1"/>
    <col min="10217" max="10217" width="6.85546875" style="7" customWidth="1"/>
    <col min="10218" max="10218" width="12.28515625" style="7" customWidth="1"/>
    <col min="10219" max="10219" width="4.5703125" style="7" customWidth="1"/>
    <col min="10220" max="10220" width="14.5703125" style="7" customWidth="1"/>
    <col min="10221" max="10221" width="36.5703125" style="7" customWidth="1"/>
    <col min="10222" max="10222" width="7.7109375" style="7" customWidth="1"/>
    <col min="10223" max="10223" width="16.28515625" style="7" customWidth="1"/>
    <col min="10224" max="10224" width="14.28515625" style="7" customWidth="1"/>
    <col min="10225" max="10225" width="18" style="7" customWidth="1"/>
    <col min="10226" max="10226" width="11.85546875" style="7" customWidth="1"/>
    <col min="10227" max="10227" width="14.28515625" style="7" customWidth="1"/>
    <col min="10228" max="10228" width="14.42578125" style="7" customWidth="1"/>
    <col min="10229" max="10229" width="11.7109375" style="7" customWidth="1"/>
    <col min="10230" max="10234" width="13" style="7"/>
    <col min="10235" max="10235" width="5.5703125" style="7" customWidth="1"/>
    <col min="10236" max="10236" width="8.28515625" style="7" customWidth="1"/>
    <col min="10237" max="10237" width="2.42578125" style="7" customWidth="1"/>
    <col min="10238" max="10238" width="15.5703125" style="7" customWidth="1"/>
    <col min="10239" max="10240" width="3.7109375" style="7" customWidth="1"/>
    <col min="10241" max="10241" width="39.140625" style="7" customWidth="1"/>
    <col min="10242" max="10242" width="13" style="7"/>
    <col min="10243" max="10243" width="3.7109375" style="7" customWidth="1"/>
    <col min="10244" max="10244" width="13" style="7"/>
    <col min="10245" max="10245" width="5" style="7" bestFit="1" customWidth="1"/>
    <col min="10246" max="10460" width="13" style="7"/>
    <col min="10461" max="10461" width="25.42578125" style="7" customWidth="1"/>
    <col min="10462" max="10462" width="8.42578125" style="7" customWidth="1"/>
    <col min="10463" max="10463" width="6.28515625" style="7" customWidth="1"/>
    <col min="10464" max="10464" width="9.85546875" style="7" customWidth="1"/>
    <col min="10465" max="10465" width="10.7109375" style="7" customWidth="1"/>
    <col min="10466" max="10466" width="11.7109375" style="7" customWidth="1"/>
    <col min="10467" max="10467" width="12.7109375" style="7" customWidth="1"/>
    <col min="10468" max="10468" width="6.28515625" style="7" customWidth="1"/>
    <col min="10469" max="10469" width="11.42578125" style="7" customWidth="1"/>
    <col min="10470" max="10471" width="7" style="7" customWidth="1"/>
    <col min="10472" max="10472" width="19.42578125" style="7" customWidth="1"/>
    <col min="10473" max="10473" width="6.85546875" style="7" customWidth="1"/>
    <col min="10474" max="10474" width="12.28515625" style="7" customWidth="1"/>
    <col min="10475" max="10475" width="4.5703125" style="7" customWidth="1"/>
    <col min="10476" max="10476" width="14.5703125" style="7" customWidth="1"/>
    <col min="10477" max="10477" width="36.5703125" style="7" customWidth="1"/>
    <col min="10478" max="10478" width="7.7109375" style="7" customWidth="1"/>
    <col min="10479" max="10479" width="16.28515625" style="7" customWidth="1"/>
    <col min="10480" max="10480" width="14.28515625" style="7" customWidth="1"/>
    <col min="10481" max="10481" width="18" style="7" customWidth="1"/>
    <col min="10482" max="10482" width="11.85546875" style="7" customWidth="1"/>
    <col min="10483" max="10483" width="14.28515625" style="7" customWidth="1"/>
    <col min="10484" max="10484" width="14.42578125" style="7" customWidth="1"/>
    <col min="10485" max="10485" width="11.7109375" style="7" customWidth="1"/>
    <col min="10486" max="10490" width="13" style="7"/>
    <col min="10491" max="10491" width="5.5703125" style="7" customWidth="1"/>
    <col min="10492" max="10492" width="8.28515625" style="7" customWidth="1"/>
    <col min="10493" max="10493" width="2.42578125" style="7" customWidth="1"/>
    <col min="10494" max="10494" width="15.5703125" style="7" customWidth="1"/>
    <col min="10495" max="10496" width="3.7109375" style="7" customWidth="1"/>
    <col min="10497" max="10497" width="39.140625" style="7" customWidth="1"/>
    <col min="10498" max="10498" width="13" style="7"/>
    <col min="10499" max="10499" width="3.7109375" style="7" customWidth="1"/>
    <col min="10500" max="10500" width="13" style="7"/>
    <col min="10501" max="10501" width="5" style="7" bestFit="1" customWidth="1"/>
    <col min="10502" max="10716" width="13" style="7"/>
    <col min="10717" max="10717" width="25.42578125" style="7" customWidth="1"/>
    <col min="10718" max="10718" width="8.42578125" style="7" customWidth="1"/>
    <col min="10719" max="10719" width="6.28515625" style="7" customWidth="1"/>
    <col min="10720" max="10720" width="9.85546875" style="7" customWidth="1"/>
    <col min="10721" max="10721" width="10.7109375" style="7" customWidth="1"/>
    <col min="10722" max="10722" width="11.7109375" style="7" customWidth="1"/>
    <col min="10723" max="10723" width="12.7109375" style="7" customWidth="1"/>
    <col min="10724" max="10724" width="6.28515625" style="7" customWidth="1"/>
    <col min="10725" max="10725" width="11.42578125" style="7" customWidth="1"/>
    <col min="10726" max="10727" width="7" style="7" customWidth="1"/>
    <col min="10728" max="10728" width="19.42578125" style="7" customWidth="1"/>
    <col min="10729" max="10729" width="6.85546875" style="7" customWidth="1"/>
    <col min="10730" max="10730" width="12.28515625" style="7" customWidth="1"/>
    <col min="10731" max="10731" width="4.5703125" style="7" customWidth="1"/>
    <col min="10732" max="10732" width="14.5703125" style="7" customWidth="1"/>
    <col min="10733" max="10733" width="36.5703125" style="7" customWidth="1"/>
    <col min="10734" max="10734" width="7.7109375" style="7" customWidth="1"/>
    <col min="10735" max="10735" width="16.28515625" style="7" customWidth="1"/>
    <col min="10736" max="10736" width="14.28515625" style="7" customWidth="1"/>
    <col min="10737" max="10737" width="18" style="7" customWidth="1"/>
    <col min="10738" max="10738" width="11.85546875" style="7" customWidth="1"/>
    <col min="10739" max="10739" width="14.28515625" style="7" customWidth="1"/>
    <col min="10740" max="10740" width="14.42578125" style="7" customWidth="1"/>
    <col min="10741" max="10741" width="11.7109375" style="7" customWidth="1"/>
    <col min="10742" max="10746" width="13" style="7"/>
    <col min="10747" max="10747" width="5.5703125" style="7" customWidth="1"/>
    <col min="10748" max="10748" width="8.28515625" style="7" customWidth="1"/>
    <col min="10749" max="10749" width="2.42578125" style="7" customWidth="1"/>
    <col min="10750" max="10750" width="15.5703125" style="7" customWidth="1"/>
    <col min="10751" max="10752" width="3.7109375" style="7" customWidth="1"/>
    <col min="10753" max="10753" width="39.140625" style="7" customWidth="1"/>
    <col min="10754" max="10754" width="13" style="7"/>
    <col min="10755" max="10755" width="3.7109375" style="7" customWidth="1"/>
    <col min="10756" max="10756" width="13" style="7"/>
    <col min="10757" max="10757" width="5" style="7" bestFit="1" customWidth="1"/>
    <col min="10758" max="10972" width="13" style="7"/>
    <col min="10973" max="10973" width="25.42578125" style="7" customWidth="1"/>
    <col min="10974" max="10974" width="8.42578125" style="7" customWidth="1"/>
    <col min="10975" max="10975" width="6.28515625" style="7" customWidth="1"/>
    <col min="10976" max="10976" width="9.85546875" style="7" customWidth="1"/>
    <col min="10977" max="10977" width="10.7109375" style="7" customWidth="1"/>
    <col min="10978" max="10978" width="11.7109375" style="7" customWidth="1"/>
    <col min="10979" max="10979" width="12.7109375" style="7" customWidth="1"/>
    <col min="10980" max="10980" width="6.28515625" style="7" customWidth="1"/>
    <col min="10981" max="10981" width="11.42578125" style="7" customWidth="1"/>
    <col min="10982" max="10983" width="7" style="7" customWidth="1"/>
    <col min="10984" max="10984" width="19.42578125" style="7" customWidth="1"/>
    <col min="10985" max="10985" width="6.85546875" style="7" customWidth="1"/>
    <col min="10986" max="10986" width="12.28515625" style="7" customWidth="1"/>
    <col min="10987" max="10987" width="4.5703125" style="7" customWidth="1"/>
    <col min="10988" max="10988" width="14.5703125" style="7" customWidth="1"/>
    <col min="10989" max="10989" width="36.5703125" style="7" customWidth="1"/>
    <col min="10990" max="10990" width="7.7109375" style="7" customWidth="1"/>
    <col min="10991" max="10991" width="16.28515625" style="7" customWidth="1"/>
    <col min="10992" max="10992" width="14.28515625" style="7" customWidth="1"/>
    <col min="10993" max="10993" width="18" style="7" customWidth="1"/>
    <col min="10994" max="10994" width="11.85546875" style="7" customWidth="1"/>
    <col min="10995" max="10995" width="14.28515625" style="7" customWidth="1"/>
    <col min="10996" max="10996" width="14.42578125" style="7" customWidth="1"/>
    <col min="10997" max="10997" width="11.7109375" style="7" customWidth="1"/>
    <col min="10998" max="11002" width="13" style="7"/>
    <col min="11003" max="11003" width="5.5703125" style="7" customWidth="1"/>
    <col min="11004" max="11004" width="8.28515625" style="7" customWidth="1"/>
    <col min="11005" max="11005" width="2.42578125" style="7" customWidth="1"/>
    <col min="11006" max="11006" width="15.5703125" style="7" customWidth="1"/>
    <col min="11007" max="11008" width="3.7109375" style="7" customWidth="1"/>
    <col min="11009" max="11009" width="39.140625" style="7" customWidth="1"/>
    <col min="11010" max="11010" width="13" style="7"/>
    <col min="11011" max="11011" width="3.7109375" style="7" customWidth="1"/>
    <col min="11012" max="11012" width="13" style="7"/>
    <col min="11013" max="11013" width="5" style="7" bestFit="1" customWidth="1"/>
    <col min="11014" max="11228" width="13" style="7"/>
    <col min="11229" max="11229" width="25.42578125" style="7" customWidth="1"/>
    <col min="11230" max="11230" width="8.42578125" style="7" customWidth="1"/>
    <col min="11231" max="11231" width="6.28515625" style="7" customWidth="1"/>
    <col min="11232" max="11232" width="9.85546875" style="7" customWidth="1"/>
    <col min="11233" max="11233" width="10.7109375" style="7" customWidth="1"/>
    <col min="11234" max="11234" width="11.7109375" style="7" customWidth="1"/>
    <col min="11235" max="11235" width="12.7109375" style="7" customWidth="1"/>
    <col min="11236" max="11236" width="6.28515625" style="7" customWidth="1"/>
    <col min="11237" max="11237" width="11.42578125" style="7" customWidth="1"/>
    <col min="11238" max="11239" width="7" style="7" customWidth="1"/>
    <col min="11240" max="11240" width="19.42578125" style="7" customWidth="1"/>
    <col min="11241" max="11241" width="6.85546875" style="7" customWidth="1"/>
    <col min="11242" max="11242" width="12.28515625" style="7" customWidth="1"/>
    <col min="11243" max="11243" width="4.5703125" style="7" customWidth="1"/>
    <col min="11244" max="11244" width="14.5703125" style="7" customWidth="1"/>
    <col min="11245" max="11245" width="36.5703125" style="7" customWidth="1"/>
    <col min="11246" max="11246" width="7.7109375" style="7" customWidth="1"/>
    <col min="11247" max="11247" width="16.28515625" style="7" customWidth="1"/>
    <col min="11248" max="11248" width="14.28515625" style="7" customWidth="1"/>
    <col min="11249" max="11249" width="18" style="7" customWidth="1"/>
    <col min="11250" max="11250" width="11.85546875" style="7" customWidth="1"/>
    <col min="11251" max="11251" width="14.28515625" style="7" customWidth="1"/>
    <col min="11252" max="11252" width="14.42578125" style="7" customWidth="1"/>
    <col min="11253" max="11253" width="11.7109375" style="7" customWidth="1"/>
    <col min="11254" max="11258" width="13" style="7"/>
    <col min="11259" max="11259" width="5.5703125" style="7" customWidth="1"/>
    <col min="11260" max="11260" width="8.28515625" style="7" customWidth="1"/>
    <col min="11261" max="11261" width="2.42578125" style="7" customWidth="1"/>
    <col min="11262" max="11262" width="15.5703125" style="7" customWidth="1"/>
    <col min="11263" max="11264" width="3.7109375" style="7" customWidth="1"/>
    <col min="11265" max="11265" width="39.140625" style="7" customWidth="1"/>
    <col min="11266" max="11266" width="13" style="7"/>
    <col min="11267" max="11267" width="3.7109375" style="7" customWidth="1"/>
    <col min="11268" max="11268" width="13" style="7"/>
    <col min="11269" max="11269" width="5" style="7" bestFit="1" customWidth="1"/>
    <col min="11270" max="11484" width="13" style="7"/>
    <col min="11485" max="11485" width="25.42578125" style="7" customWidth="1"/>
    <col min="11486" max="11486" width="8.42578125" style="7" customWidth="1"/>
    <col min="11487" max="11487" width="6.28515625" style="7" customWidth="1"/>
    <col min="11488" max="11488" width="9.85546875" style="7" customWidth="1"/>
    <col min="11489" max="11489" width="10.7109375" style="7" customWidth="1"/>
    <col min="11490" max="11490" width="11.7109375" style="7" customWidth="1"/>
    <col min="11491" max="11491" width="12.7109375" style="7" customWidth="1"/>
    <col min="11492" max="11492" width="6.28515625" style="7" customWidth="1"/>
    <col min="11493" max="11493" width="11.42578125" style="7" customWidth="1"/>
    <col min="11494" max="11495" width="7" style="7" customWidth="1"/>
    <col min="11496" max="11496" width="19.42578125" style="7" customWidth="1"/>
    <col min="11497" max="11497" width="6.85546875" style="7" customWidth="1"/>
    <col min="11498" max="11498" width="12.28515625" style="7" customWidth="1"/>
    <col min="11499" max="11499" width="4.5703125" style="7" customWidth="1"/>
    <col min="11500" max="11500" width="14.5703125" style="7" customWidth="1"/>
    <col min="11501" max="11501" width="36.5703125" style="7" customWidth="1"/>
    <col min="11502" max="11502" width="7.7109375" style="7" customWidth="1"/>
    <col min="11503" max="11503" width="16.28515625" style="7" customWidth="1"/>
    <col min="11504" max="11504" width="14.28515625" style="7" customWidth="1"/>
    <col min="11505" max="11505" width="18" style="7" customWidth="1"/>
    <col min="11506" max="11506" width="11.85546875" style="7" customWidth="1"/>
    <col min="11507" max="11507" width="14.28515625" style="7" customWidth="1"/>
    <col min="11508" max="11508" width="14.42578125" style="7" customWidth="1"/>
    <col min="11509" max="11509" width="11.7109375" style="7" customWidth="1"/>
    <col min="11510" max="11514" width="13" style="7"/>
    <col min="11515" max="11515" width="5.5703125" style="7" customWidth="1"/>
    <col min="11516" max="11516" width="8.28515625" style="7" customWidth="1"/>
    <col min="11517" max="11517" width="2.42578125" style="7" customWidth="1"/>
    <col min="11518" max="11518" width="15.5703125" style="7" customWidth="1"/>
    <col min="11519" max="11520" width="3.7109375" style="7" customWidth="1"/>
    <col min="11521" max="11521" width="39.140625" style="7" customWidth="1"/>
    <col min="11522" max="11522" width="13" style="7"/>
    <col min="11523" max="11523" width="3.7109375" style="7" customWidth="1"/>
    <col min="11524" max="11524" width="13" style="7"/>
    <col min="11525" max="11525" width="5" style="7" bestFit="1" customWidth="1"/>
    <col min="11526" max="11740" width="13" style="7"/>
    <col min="11741" max="11741" width="25.42578125" style="7" customWidth="1"/>
    <col min="11742" max="11742" width="8.42578125" style="7" customWidth="1"/>
    <col min="11743" max="11743" width="6.28515625" style="7" customWidth="1"/>
    <col min="11744" max="11744" width="9.85546875" style="7" customWidth="1"/>
    <col min="11745" max="11745" width="10.7109375" style="7" customWidth="1"/>
    <col min="11746" max="11746" width="11.7109375" style="7" customWidth="1"/>
    <col min="11747" max="11747" width="12.7109375" style="7" customWidth="1"/>
    <col min="11748" max="11748" width="6.28515625" style="7" customWidth="1"/>
    <col min="11749" max="11749" width="11.42578125" style="7" customWidth="1"/>
    <col min="11750" max="11751" width="7" style="7" customWidth="1"/>
    <col min="11752" max="11752" width="19.42578125" style="7" customWidth="1"/>
    <col min="11753" max="11753" width="6.85546875" style="7" customWidth="1"/>
    <col min="11754" max="11754" width="12.28515625" style="7" customWidth="1"/>
    <col min="11755" max="11755" width="4.5703125" style="7" customWidth="1"/>
    <col min="11756" max="11756" width="14.5703125" style="7" customWidth="1"/>
    <col min="11757" max="11757" width="36.5703125" style="7" customWidth="1"/>
    <col min="11758" max="11758" width="7.7109375" style="7" customWidth="1"/>
    <col min="11759" max="11759" width="16.28515625" style="7" customWidth="1"/>
    <col min="11760" max="11760" width="14.28515625" style="7" customWidth="1"/>
    <col min="11761" max="11761" width="18" style="7" customWidth="1"/>
    <col min="11762" max="11762" width="11.85546875" style="7" customWidth="1"/>
    <col min="11763" max="11763" width="14.28515625" style="7" customWidth="1"/>
    <col min="11764" max="11764" width="14.42578125" style="7" customWidth="1"/>
    <col min="11765" max="11765" width="11.7109375" style="7" customWidth="1"/>
    <col min="11766" max="11770" width="13" style="7"/>
    <col min="11771" max="11771" width="5.5703125" style="7" customWidth="1"/>
    <col min="11772" max="11772" width="8.28515625" style="7" customWidth="1"/>
    <col min="11773" max="11773" width="2.42578125" style="7" customWidth="1"/>
    <col min="11774" max="11774" width="15.5703125" style="7" customWidth="1"/>
    <col min="11775" max="11776" width="3.7109375" style="7" customWidth="1"/>
    <col min="11777" max="11777" width="39.140625" style="7" customWidth="1"/>
    <col min="11778" max="11778" width="13" style="7"/>
    <col min="11779" max="11779" width="3.7109375" style="7" customWidth="1"/>
    <col min="11780" max="11780" width="13" style="7"/>
    <col min="11781" max="11781" width="5" style="7" bestFit="1" customWidth="1"/>
    <col min="11782" max="11996" width="13" style="7"/>
    <col min="11997" max="11997" width="25.42578125" style="7" customWidth="1"/>
    <col min="11998" max="11998" width="8.42578125" style="7" customWidth="1"/>
    <col min="11999" max="11999" width="6.28515625" style="7" customWidth="1"/>
    <col min="12000" max="12000" width="9.85546875" style="7" customWidth="1"/>
    <col min="12001" max="12001" width="10.7109375" style="7" customWidth="1"/>
    <col min="12002" max="12002" width="11.7109375" style="7" customWidth="1"/>
    <col min="12003" max="12003" width="12.7109375" style="7" customWidth="1"/>
    <col min="12004" max="12004" width="6.28515625" style="7" customWidth="1"/>
    <col min="12005" max="12005" width="11.42578125" style="7" customWidth="1"/>
    <col min="12006" max="12007" width="7" style="7" customWidth="1"/>
    <col min="12008" max="12008" width="19.42578125" style="7" customWidth="1"/>
    <col min="12009" max="12009" width="6.85546875" style="7" customWidth="1"/>
    <col min="12010" max="12010" width="12.28515625" style="7" customWidth="1"/>
    <col min="12011" max="12011" width="4.5703125" style="7" customWidth="1"/>
    <col min="12012" max="12012" width="14.5703125" style="7" customWidth="1"/>
    <col min="12013" max="12013" width="36.5703125" style="7" customWidth="1"/>
    <col min="12014" max="12014" width="7.7109375" style="7" customWidth="1"/>
    <col min="12015" max="12015" width="16.28515625" style="7" customWidth="1"/>
    <col min="12016" max="12016" width="14.28515625" style="7" customWidth="1"/>
    <col min="12017" max="12017" width="18" style="7" customWidth="1"/>
    <col min="12018" max="12018" width="11.85546875" style="7" customWidth="1"/>
    <col min="12019" max="12019" width="14.28515625" style="7" customWidth="1"/>
    <col min="12020" max="12020" width="14.42578125" style="7" customWidth="1"/>
    <col min="12021" max="12021" width="11.7109375" style="7" customWidth="1"/>
    <col min="12022" max="12026" width="13" style="7"/>
    <col min="12027" max="12027" width="5.5703125" style="7" customWidth="1"/>
    <col min="12028" max="12028" width="8.28515625" style="7" customWidth="1"/>
    <col min="12029" max="12029" width="2.42578125" style="7" customWidth="1"/>
    <col min="12030" max="12030" width="15.5703125" style="7" customWidth="1"/>
    <col min="12031" max="12032" width="3.7109375" style="7" customWidth="1"/>
    <col min="12033" max="12033" width="39.140625" style="7" customWidth="1"/>
    <col min="12034" max="12034" width="13" style="7"/>
    <col min="12035" max="12035" width="3.7109375" style="7" customWidth="1"/>
    <col min="12036" max="12036" width="13" style="7"/>
    <col min="12037" max="12037" width="5" style="7" bestFit="1" customWidth="1"/>
    <col min="12038" max="12252" width="13" style="7"/>
    <col min="12253" max="12253" width="25.42578125" style="7" customWidth="1"/>
    <col min="12254" max="12254" width="8.42578125" style="7" customWidth="1"/>
    <col min="12255" max="12255" width="6.28515625" style="7" customWidth="1"/>
    <col min="12256" max="12256" width="9.85546875" style="7" customWidth="1"/>
    <col min="12257" max="12257" width="10.7109375" style="7" customWidth="1"/>
    <col min="12258" max="12258" width="11.7109375" style="7" customWidth="1"/>
    <col min="12259" max="12259" width="12.7109375" style="7" customWidth="1"/>
    <col min="12260" max="12260" width="6.28515625" style="7" customWidth="1"/>
    <col min="12261" max="12261" width="11.42578125" style="7" customWidth="1"/>
    <col min="12262" max="12263" width="7" style="7" customWidth="1"/>
    <col min="12264" max="12264" width="19.42578125" style="7" customWidth="1"/>
    <col min="12265" max="12265" width="6.85546875" style="7" customWidth="1"/>
    <col min="12266" max="12266" width="12.28515625" style="7" customWidth="1"/>
    <col min="12267" max="12267" width="4.5703125" style="7" customWidth="1"/>
    <col min="12268" max="12268" width="14.5703125" style="7" customWidth="1"/>
    <col min="12269" max="12269" width="36.5703125" style="7" customWidth="1"/>
    <col min="12270" max="12270" width="7.7109375" style="7" customWidth="1"/>
    <col min="12271" max="12271" width="16.28515625" style="7" customWidth="1"/>
    <col min="12272" max="12272" width="14.28515625" style="7" customWidth="1"/>
    <col min="12273" max="12273" width="18" style="7" customWidth="1"/>
    <col min="12274" max="12274" width="11.85546875" style="7" customWidth="1"/>
    <col min="12275" max="12275" width="14.28515625" style="7" customWidth="1"/>
    <col min="12276" max="12276" width="14.42578125" style="7" customWidth="1"/>
    <col min="12277" max="12277" width="11.7109375" style="7" customWidth="1"/>
    <col min="12278" max="12282" width="13" style="7"/>
    <col min="12283" max="12283" width="5.5703125" style="7" customWidth="1"/>
    <col min="12284" max="12284" width="8.28515625" style="7" customWidth="1"/>
    <col min="12285" max="12285" width="2.42578125" style="7" customWidth="1"/>
    <col min="12286" max="12286" width="15.5703125" style="7" customWidth="1"/>
    <col min="12287" max="12288" width="3.7109375" style="7" customWidth="1"/>
    <col min="12289" max="12289" width="39.140625" style="7" customWidth="1"/>
    <col min="12290" max="12290" width="13" style="7"/>
    <col min="12291" max="12291" width="3.7109375" style="7" customWidth="1"/>
    <col min="12292" max="12292" width="13" style="7"/>
    <col min="12293" max="12293" width="5" style="7" bestFit="1" customWidth="1"/>
    <col min="12294" max="12508" width="13" style="7"/>
    <col min="12509" max="12509" width="25.42578125" style="7" customWidth="1"/>
    <col min="12510" max="12510" width="8.42578125" style="7" customWidth="1"/>
    <col min="12511" max="12511" width="6.28515625" style="7" customWidth="1"/>
    <col min="12512" max="12512" width="9.85546875" style="7" customWidth="1"/>
    <col min="12513" max="12513" width="10.7109375" style="7" customWidth="1"/>
    <col min="12514" max="12514" width="11.7109375" style="7" customWidth="1"/>
    <col min="12515" max="12515" width="12.7109375" style="7" customWidth="1"/>
    <col min="12516" max="12516" width="6.28515625" style="7" customWidth="1"/>
    <col min="12517" max="12517" width="11.42578125" style="7" customWidth="1"/>
    <col min="12518" max="12519" width="7" style="7" customWidth="1"/>
    <col min="12520" max="12520" width="19.42578125" style="7" customWidth="1"/>
    <col min="12521" max="12521" width="6.85546875" style="7" customWidth="1"/>
    <col min="12522" max="12522" width="12.28515625" style="7" customWidth="1"/>
    <col min="12523" max="12523" width="4.5703125" style="7" customWidth="1"/>
    <col min="12524" max="12524" width="14.5703125" style="7" customWidth="1"/>
    <col min="12525" max="12525" width="36.5703125" style="7" customWidth="1"/>
    <col min="12526" max="12526" width="7.7109375" style="7" customWidth="1"/>
    <col min="12527" max="12527" width="16.28515625" style="7" customWidth="1"/>
    <col min="12528" max="12528" width="14.28515625" style="7" customWidth="1"/>
    <col min="12529" max="12529" width="18" style="7" customWidth="1"/>
    <col min="12530" max="12530" width="11.85546875" style="7" customWidth="1"/>
    <col min="12531" max="12531" width="14.28515625" style="7" customWidth="1"/>
    <col min="12532" max="12532" width="14.42578125" style="7" customWidth="1"/>
    <col min="12533" max="12533" width="11.7109375" style="7" customWidth="1"/>
    <col min="12534" max="12538" width="13" style="7"/>
    <col min="12539" max="12539" width="5.5703125" style="7" customWidth="1"/>
    <col min="12540" max="12540" width="8.28515625" style="7" customWidth="1"/>
    <col min="12541" max="12541" width="2.42578125" style="7" customWidth="1"/>
    <col min="12542" max="12542" width="15.5703125" style="7" customWidth="1"/>
    <col min="12543" max="12544" width="3.7109375" style="7" customWidth="1"/>
    <col min="12545" max="12545" width="39.140625" style="7" customWidth="1"/>
    <col min="12546" max="12546" width="13" style="7"/>
    <col min="12547" max="12547" width="3.7109375" style="7" customWidth="1"/>
    <col min="12548" max="12548" width="13" style="7"/>
    <col min="12549" max="12549" width="5" style="7" bestFit="1" customWidth="1"/>
    <col min="12550" max="12764" width="13" style="7"/>
    <col min="12765" max="12765" width="25.42578125" style="7" customWidth="1"/>
    <col min="12766" max="12766" width="8.42578125" style="7" customWidth="1"/>
    <col min="12767" max="12767" width="6.28515625" style="7" customWidth="1"/>
    <col min="12768" max="12768" width="9.85546875" style="7" customWidth="1"/>
    <col min="12769" max="12769" width="10.7109375" style="7" customWidth="1"/>
    <col min="12770" max="12770" width="11.7109375" style="7" customWidth="1"/>
    <col min="12771" max="12771" width="12.7109375" style="7" customWidth="1"/>
    <col min="12772" max="12772" width="6.28515625" style="7" customWidth="1"/>
    <col min="12773" max="12773" width="11.42578125" style="7" customWidth="1"/>
    <col min="12774" max="12775" width="7" style="7" customWidth="1"/>
    <col min="12776" max="12776" width="19.42578125" style="7" customWidth="1"/>
    <col min="12777" max="12777" width="6.85546875" style="7" customWidth="1"/>
    <col min="12778" max="12778" width="12.28515625" style="7" customWidth="1"/>
    <col min="12779" max="12779" width="4.5703125" style="7" customWidth="1"/>
    <col min="12780" max="12780" width="14.5703125" style="7" customWidth="1"/>
    <col min="12781" max="12781" width="36.5703125" style="7" customWidth="1"/>
    <col min="12782" max="12782" width="7.7109375" style="7" customWidth="1"/>
    <col min="12783" max="12783" width="16.28515625" style="7" customWidth="1"/>
    <col min="12784" max="12784" width="14.28515625" style="7" customWidth="1"/>
    <col min="12785" max="12785" width="18" style="7" customWidth="1"/>
    <col min="12786" max="12786" width="11.85546875" style="7" customWidth="1"/>
    <col min="12787" max="12787" width="14.28515625" style="7" customWidth="1"/>
    <col min="12788" max="12788" width="14.42578125" style="7" customWidth="1"/>
    <col min="12789" max="12789" width="11.7109375" style="7" customWidth="1"/>
    <col min="12790" max="12794" width="13" style="7"/>
    <col min="12795" max="12795" width="5.5703125" style="7" customWidth="1"/>
    <col min="12796" max="12796" width="8.28515625" style="7" customWidth="1"/>
    <col min="12797" max="12797" width="2.42578125" style="7" customWidth="1"/>
    <col min="12798" max="12798" width="15.5703125" style="7" customWidth="1"/>
    <col min="12799" max="12800" width="3.7109375" style="7" customWidth="1"/>
    <col min="12801" max="12801" width="39.140625" style="7" customWidth="1"/>
    <col min="12802" max="12802" width="13" style="7"/>
    <col min="12803" max="12803" width="3.7109375" style="7" customWidth="1"/>
    <col min="12804" max="12804" width="13" style="7"/>
    <col min="12805" max="12805" width="5" style="7" bestFit="1" customWidth="1"/>
    <col min="12806" max="13020" width="13" style="7"/>
    <col min="13021" max="13021" width="25.42578125" style="7" customWidth="1"/>
    <col min="13022" max="13022" width="8.42578125" style="7" customWidth="1"/>
    <col min="13023" max="13023" width="6.28515625" style="7" customWidth="1"/>
    <col min="13024" max="13024" width="9.85546875" style="7" customWidth="1"/>
    <col min="13025" max="13025" width="10.7109375" style="7" customWidth="1"/>
    <col min="13026" max="13026" width="11.7109375" style="7" customWidth="1"/>
    <col min="13027" max="13027" width="12.7109375" style="7" customWidth="1"/>
    <col min="13028" max="13028" width="6.28515625" style="7" customWidth="1"/>
    <col min="13029" max="13029" width="11.42578125" style="7" customWidth="1"/>
    <col min="13030" max="13031" width="7" style="7" customWidth="1"/>
    <col min="13032" max="13032" width="19.42578125" style="7" customWidth="1"/>
    <col min="13033" max="13033" width="6.85546875" style="7" customWidth="1"/>
    <col min="13034" max="13034" width="12.28515625" style="7" customWidth="1"/>
    <col min="13035" max="13035" width="4.5703125" style="7" customWidth="1"/>
    <col min="13036" max="13036" width="14.5703125" style="7" customWidth="1"/>
    <col min="13037" max="13037" width="36.5703125" style="7" customWidth="1"/>
    <col min="13038" max="13038" width="7.7109375" style="7" customWidth="1"/>
    <col min="13039" max="13039" width="16.28515625" style="7" customWidth="1"/>
    <col min="13040" max="13040" width="14.28515625" style="7" customWidth="1"/>
    <col min="13041" max="13041" width="18" style="7" customWidth="1"/>
    <col min="13042" max="13042" width="11.85546875" style="7" customWidth="1"/>
    <col min="13043" max="13043" width="14.28515625" style="7" customWidth="1"/>
    <col min="13044" max="13044" width="14.42578125" style="7" customWidth="1"/>
    <col min="13045" max="13045" width="11.7109375" style="7" customWidth="1"/>
    <col min="13046" max="13050" width="13" style="7"/>
    <col min="13051" max="13051" width="5.5703125" style="7" customWidth="1"/>
    <col min="13052" max="13052" width="8.28515625" style="7" customWidth="1"/>
    <col min="13053" max="13053" width="2.42578125" style="7" customWidth="1"/>
    <col min="13054" max="13054" width="15.5703125" style="7" customWidth="1"/>
    <col min="13055" max="13056" width="3.7109375" style="7" customWidth="1"/>
    <col min="13057" max="13057" width="39.140625" style="7" customWidth="1"/>
    <col min="13058" max="13058" width="13" style="7"/>
    <col min="13059" max="13059" width="3.7109375" style="7" customWidth="1"/>
    <col min="13060" max="13060" width="13" style="7"/>
    <col min="13061" max="13061" width="5" style="7" bestFit="1" customWidth="1"/>
    <col min="13062" max="13276" width="13" style="7"/>
    <col min="13277" max="13277" width="25.42578125" style="7" customWidth="1"/>
    <col min="13278" max="13278" width="8.42578125" style="7" customWidth="1"/>
    <col min="13279" max="13279" width="6.28515625" style="7" customWidth="1"/>
    <col min="13280" max="13280" width="9.85546875" style="7" customWidth="1"/>
    <col min="13281" max="13281" width="10.7109375" style="7" customWidth="1"/>
    <col min="13282" max="13282" width="11.7109375" style="7" customWidth="1"/>
    <col min="13283" max="13283" width="12.7109375" style="7" customWidth="1"/>
    <col min="13284" max="13284" width="6.28515625" style="7" customWidth="1"/>
    <col min="13285" max="13285" width="11.42578125" style="7" customWidth="1"/>
    <col min="13286" max="13287" width="7" style="7" customWidth="1"/>
    <col min="13288" max="13288" width="19.42578125" style="7" customWidth="1"/>
    <col min="13289" max="13289" width="6.85546875" style="7" customWidth="1"/>
    <col min="13290" max="13290" width="12.28515625" style="7" customWidth="1"/>
    <col min="13291" max="13291" width="4.5703125" style="7" customWidth="1"/>
    <col min="13292" max="13292" width="14.5703125" style="7" customWidth="1"/>
    <col min="13293" max="13293" width="36.5703125" style="7" customWidth="1"/>
    <col min="13294" max="13294" width="7.7109375" style="7" customWidth="1"/>
    <col min="13295" max="13295" width="16.28515625" style="7" customWidth="1"/>
    <col min="13296" max="13296" width="14.28515625" style="7" customWidth="1"/>
    <col min="13297" max="13297" width="18" style="7" customWidth="1"/>
    <col min="13298" max="13298" width="11.85546875" style="7" customWidth="1"/>
    <col min="13299" max="13299" width="14.28515625" style="7" customWidth="1"/>
    <col min="13300" max="13300" width="14.42578125" style="7" customWidth="1"/>
    <col min="13301" max="13301" width="11.7109375" style="7" customWidth="1"/>
    <col min="13302" max="13306" width="13" style="7"/>
    <col min="13307" max="13307" width="5.5703125" style="7" customWidth="1"/>
    <col min="13308" max="13308" width="8.28515625" style="7" customWidth="1"/>
    <col min="13309" max="13309" width="2.42578125" style="7" customWidth="1"/>
    <col min="13310" max="13310" width="15.5703125" style="7" customWidth="1"/>
    <col min="13311" max="13312" width="3.7109375" style="7" customWidth="1"/>
    <col min="13313" max="13313" width="39.140625" style="7" customWidth="1"/>
    <col min="13314" max="13314" width="13" style="7"/>
    <col min="13315" max="13315" width="3.7109375" style="7" customWidth="1"/>
    <col min="13316" max="13316" width="13" style="7"/>
    <col min="13317" max="13317" width="5" style="7" bestFit="1" customWidth="1"/>
    <col min="13318" max="13532" width="13" style="7"/>
    <col min="13533" max="13533" width="25.42578125" style="7" customWidth="1"/>
    <col min="13534" max="13534" width="8.42578125" style="7" customWidth="1"/>
    <col min="13535" max="13535" width="6.28515625" style="7" customWidth="1"/>
    <col min="13536" max="13536" width="9.85546875" style="7" customWidth="1"/>
    <col min="13537" max="13537" width="10.7109375" style="7" customWidth="1"/>
    <col min="13538" max="13538" width="11.7109375" style="7" customWidth="1"/>
    <col min="13539" max="13539" width="12.7109375" style="7" customWidth="1"/>
    <col min="13540" max="13540" width="6.28515625" style="7" customWidth="1"/>
    <col min="13541" max="13541" width="11.42578125" style="7" customWidth="1"/>
    <col min="13542" max="13543" width="7" style="7" customWidth="1"/>
    <col min="13544" max="13544" width="19.42578125" style="7" customWidth="1"/>
    <col min="13545" max="13545" width="6.85546875" style="7" customWidth="1"/>
    <col min="13546" max="13546" width="12.28515625" style="7" customWidth="1"/>
    <col min="13547" max="13547" width="4.5703125" style="7" customWidth="1"/>
    <col min="13548" max="13548" width="14.5703125" style="7" customWidth="1"/>
    <col min="13549" max="13549" width="36.5703125" style="7" customWidth="1"/>
    <col min="13550" max="13550" width="7.7109375" style="7" customWidth="1"/>
    <col min="13551" max="13551" width="16.28515625" style="7" customWidth="1"/>
    <col min="13552" max="13552" width="14.28515625" style="7" customWidth="1"/>
    <col min="13553" max="13553" width="18" style="7" customWidth="1"/>
    <col min="13554" max="13554" width="11.85546875" style="7" customWidth="1"/>
    <col min="13555" max="13555" width="14.28515625" style="7" customWidth="1"/>
    <col min="13556" max="13556" width="14.42578125" style="7" customWidth="1"/>
    <col min="13557" max="13557" width="11.7109375" style="7" customWidth="1"/>
    <col min="13558" max="13562" width="13" style="7"/>
    <col min="13563" max="13563" width="5.5703125" style="7" customWidth="1"/>
    <col min="13564" max="13564" width="8.28515625" style="7" customWidth="1"/>
    <col min="13565" max="13565" width="2.42578125" style="7" customWidth="1"/>
    <col min="13566" max="13566" width="15.5703125" style="7" customWidth="1"/>
    <col min="13567" max="13568" width="3.7109375" style="7" customWidth="1"/>
    <col min="13569" max="13569" width="39.140625" style="7" customWidth="1"/>
    <col min="13570" max="13570" width="13" style="7"/>
    <col min="13571" max="13571" width="3.7109375" style="7" customWidth="1"/>
    <col min="13572" max="13572" width="13" style="7"/>
    <col min="13573" max="13573" width="5" style="7" bestFit="1" customWidth="1"/>
    <col min="13574" max="13788" width="13" style="7"/>
    <col min="13789" max="13789" width="25.42578125" style="7" customWidth="1"/>
    <col min="13790" max="13790" width="8.42578125" style="7" customWidth="1"/>
    <col min="13791" max="13791" width="6.28515625" style="7" customWidth="1"/>
    <col min="13792" max="13792" width="9.85546875" style="7" customWidth="1"/>
    <col min="13793" max="13793" width="10.7109375" style="7" customWidth="1"/>
    <col min="13794" max="13794" width="11.7109375" style="7" customWidth="1"/>
    <col min="13795" max="13795" width="12.7109375" style="7" customWidth="1"/>
    <col min="13796" max="13796" width="6.28515625" style="7" customWidth="1"/>
    <col min="13797" max="13797" width="11.42578125" style="7" customWidth="1"/>
    <col min="13798" max="13799" width="7" style="7" customWidth="1"/>
    <col min="13800" max="13800" width="19.42578125" style="7" customWidth="1"/>
    <col min="13801" max="13801" width="6.85546875" style="7" customWidth="1"/>
    <col min="13802" max="13802" width="12.28515625" style="7" customWidth="1"/>
    <col min="13803" max="13803" width="4.5703125" style="7" customWidth="1"/>
    <col min="13804" max="13804" width="14.5703125" style="7" customWidth="1"/>
    <col min="13805" max="13805" width="36.5703125" style="7" customWidth="1"/>
    <col min="13806" max="13806" width="7.7109375" style="7" customWidth="1"/>
    <col min="13807" max="13807" width="16.28515625" style="7" customWidth="1"/>
    <col min="13808" max="13808" width="14.28515625" style="7" customWidth="1"/>
    <col min="13809" max="13809" width="18" style="7" customWidth="1"/>
    <col min="13810" max="13810" width="11.85546875" style="7" customWidth="1"/>
    <col min="13811" max="13811" width="14.28515625" style="7" customWidth="1"/>
    <col min="13812" max="13812" width="14.42578125" style="7" customWidth="1"/>
    <col min="13813" max="13813" width="11.7109375" style="7" customWidth="1"/>
    <col min="13814" max="13818" width="13" style="7"/>
    <col min="13819" max="13819" width="5.5703125" style="7" customWidth="1"/>
    <col min="13820" max="13820" width="8.28515625" style="7" customWidth="1"/>
    <col min="13821" max="13821" width="2.42578125" style="7" customWidth="1"/>
    <col min="13822" max="13822" width="15.5703125" style="7" customWidth="1"/>
    <col min="13823" max="13824" width="3.7109375" style="7" customWidth="1"/>
    <col min="13825" max="13825" width="39.140625" style="7" customWidth="1"/>
    <col min="13826" max="13826" width="13" style="7"/>
    <col min="13827" max="13827" width="3.7109375" style="7" customWidth="1"/>
    <col min="13828" max="13828" width="13" style="7"/>
    <col min="13829" max="13829" width="5" style="7" bestFit="1" customWidth="1"/>
    <col min="13830" max="14044" width="13" style="7"/>
    <col min="14045" max="14045" width="25.42578125" style="7" customWidth="1"/>
    <col min="14046" max="14046" width="8.42578125" style="7" customWidth="1"/>
    <col min="14047" max="14047" width="6.28515625" style="7" customWidth="1"/>
    <col min="14048" max="14048" width="9.85546875" style="7" customWidth="1"/>
    <col min="14049" max="14049" width="10.7109375" style="7" customWidth="1"/>
    <col min="14050" max="14050" width="11.7109375" style="7" customWidth="1"/>
    <col min="14051" max="14051" width="12.7109375" style="7" customWidth="1"/>
    <col min="14052" max="14052" width="6.28515625" style="7" customWidth="1"/>
    <col min="14053" max="14053" width="11.42578125" style="7" customWidth="1"/>
    <col min="14054" max="14055" width="7" style="7" customWidth="1"/>
    <col min="14056" max="14056" width="19.42578125" style="7" customWidth="1"/>
    <col min="14057" max="14057" width="6.85546875" style="7" customWidth="1"/>
    <col min="14058" max="14058" width="12.28515625" style="7" customWidth="1"/>
    <col min="14059" max="14059" width="4.5703125" style="7" customWidth="1"/>
    <col min="14060" max="14060" width="14.5703125" style="7" customWidth="1"/>
    <col min="14061" max="14061" width="36.5703125" style="7" customWidth="1"/>
    <col min="14062" max="14062" width="7.7109375" style="7" customWidth="1"/>
    <col min="14063" max="14063" width="16.28515625" style="7" customWidth="1"/>
    <col min="14064" max="14064" width="14.28515625" style="7" customWidth="1"/>
    <col min="14065" max="14065" width="18" style="7" customWidth="1"/>
    <col min="14066" max="14066" width="11.85546875" style="7" customWidth="1"/>
    <col min="14067" max="14067" width="14.28515625" style="7" customWidth="1"/>
    <col min="14068" max="14068" width="14.42578125" style="7" customWidth="1"/>
    <col min="14069" max="14069" width="11.7109375" style="7" customWidth="1"/>
    <col min="14070" max="14074" width="13" style="7"/>
    <col min="14075" max="14075" width="5.5703125" style="7" customWidth="1"/>
    <col min="14076" max="14076" width="8.28515625" style="7" customWidth="1"/>
    <col min="14077" max="14077" width="2.42578125" style="7" customWidth="1"/>
    <col min="14078" max="14078" width="15.5703125" style="7" customWidth="1"/>
    <col min="14079" max="14080" width="3.7109375" style="7" customWidth="1"/>
    <col min="14081" max="14081" width="39.140625" style="7" customWidth="1"/>
    <col min="14082" max="14082" width="13" style="7"/>
    <col min="14083" max="14083" width="3.7109375" style="7" customWidth="1"/>
    <col min="14084" max="14084" width="13" style="7"/>
    <col min="14085" max="14085" width="5" style="7" bestFit="1" customWidth="1"/>
    <col min="14086" max="14300" width="13" style="7"/>
    <col min="14301" max="14301" width="25.42578125" style="7" customWidth="1"/>
    <col min="14302" max="14302" width="8.42578125" style="7" customWidth="1"/>
    <col min="14303" max="14303" width="6.28515625" style="7" customWidth="1"/>
    <col min="14304" max="14304" width="9.85546875" style="7" customWidth="1"/>
    <col min="14305" max="14305" width="10.7109375" style="7" customWidth="1"/>
    <col min="14306" max="14306" width="11.7109375" style="7" customWidth="1"/>
    <col min="14307" max="14307" width="12.7109375" style="7" customWidth="1"/>
    <col min="14308" max="14308" width="6.28515625" style="7" customWidth="1"/>
    <col min="14309" max="14309" width="11.42578125" style="7" customWidth="1"/>
    <col min="14310" max="14311" width="7" style="7" customWidth="1"/>
    <col min="14312" max="14312" width="19.42578125" style="7" customWidth="1"/>
    <col min="14313" max="14313" width="6.85546875" style="7" customWidth="1"/>
    <col min="14314" max="14314" width="12.28515625" style="7" customWidth="1"/>
    <col min="14315" max="14315" width="4.5703125" style="7" customWidth="1"/>
    <col min="14316" max="14316" width="14.5703125" style="7" customWidth="1"/>
    <col min="14317" max="14317" width="36.5703125" style="7" customWidth="1"/>
    <col min="14318" max="14318" width="7.7109375" style="7" customWidth="1"/>
    <col min="14319" max="14319" width="16.28515625" style="7" customWidth="1"/>
    <col min="14320" max="14320" width="14.28515625" style="7" customWidth="1"/>
    <col min="14321" max="14321" width="18" style="7" customWidth="1"/>
    <col min="14322" max="14322" width="11.85546875" style="7" customWidth="1"/>
    <col min="14323" max="14323" width="14.28515625" style="7" customWidth="1"/>
    <col min="14324" max="14324" width="14.42578125" style="7" customWidth="1"/>
    <col min="14325" max="14325" width="11.7109375" style="7" customWidth="1"/>
    <col min="14326" max="14330" width="13" style="7"/>
    <col min="14331" max="14331" width="5.5703125" style="7" customWidth="1"/>
    <col min="14332" max="14332" width="8.28515625" style="7" customWidth="1"/>
    <col min="14333" max="14333" width="2.42578125" style="7" customWidth="1"/>
    <col min="14334" max="14334" width="15.5703125" style="7" customWidth="1"/>
    <col min="14335" max="14336" width="3.7109375" style="7" customWidth="1"/>
    <col min="14337" max="14337" width="39.140625" style="7" customWidth="1"/>
    <col min="14338" max="14338" width="13" style="7"/>
    <col min="14339" max="14339" width="3.7109375" style="7" customWidth="1"/>
    <col min="14340" max="14340" width="13" style="7"/>
    <col min="14341" max="14341" width="5" style="7" bestFit="1" customWidth="1"/>
    <col min="14342" max="14556" width="13" style="7"/>
    <col min="14557" max="14557" width="25.42578125" style="7" customWidth="1"/>
    <col min="14558" max="14558" width="8.42578125" style="7" customWidth="1"/>
    <col min="14559" max="14559" width="6.28515625" style="7" customWidth="1"/>
    <col min="14560" max="14560" width="9.85546875" style="7" customWidth="1"/>
    <col min="14561" max="14561" width="10.7109375" style="7" customWidth="1"/>
    <col min="14562" max="14562" width="11.7109375" style="7" customWidth="1"/>
    <col min="14563" max="14563" width="12.7109375" style="7" customWidth="1"/>
    <col min="14564" max="14564" width="6.28515625" style="7" customWidth="1"/>
    <col min="14565" max="14565" width="11.42578125" style="7" customWidth="1"/>
    <col min="14566" max="14567" width="7" style="7" customWidth="1"/>
    <col min="14568" max="14568" width="19.42578125" style="7" customWidth="1"/>
    <col min="14569" max="14569" width="6.85546875" style="7" customWidth="1"/>
    <col min="14570" max="14570" width="12.28515625" style="7" customWidth="1"/>
    <col min="14571" max="14571" width="4.5703125" style="7" customWidth="1"/>
    <col min="14572" max="14572" width="14.5703125" style="7" customWidth="1"/>
    <col min="14573" max="14573" width="36.5703125" style="7" customWidth="1"/>
    <col min="14574" max="14574" width="7.7109375" style="7" customWidth="1"/>
    <col min="14575" max="14575" width="16.28515625" style="7" customWidth="1"/>
    <col min="14576" max="14576" width="14.28515625" style="7" customWidth="1"/>
    <col min="14577" max="14577" width="18" style="7" customWidth="1"/>
    <col min="14578" max="14578" width="11.85546875" style="7" customWidth="1"/>
    <col min="14579" max="14579" width="14.28515625" style="7" customWidth="1"/>
    <col min="14580" max="14580" width="14.42578125" style="7" customWidth="1"/>
    <col min="14581" max="14581" width="11.7109375" style="7" customWidth="1"/>
    <col min="14582" max="14586" width="13" style="7"/>
    <col min="14587" max="14587" width="5.5703125" style="7" customWidth="1"/>
    <col min="14588" max="14588" width="8.28515625" style="7" customWidth="1"/>
    <col min="14589" max="14589" width="2.42578125" style="7" customWidth="1"/>
    <col min="14590" max="14590" width="15.5703125" style="7" customWidth="1"/>
    <col min="14591" max="14592" width="3.7109375" style="7" customWidth="1"/>
    <col min="14593" max="14593" width="39.140625" style="7" customWidth="1"/>
    <col min="14594" max="14594" width="13" style="7"/>
    <col min="14595" max="14595" width="3.7109375" style="7" customWidth="1"/>
    <col min="14596" max="14596" width="13" style="7"/>
    <col min="14597" max="14597" width="5" style="7" bestFit="1" customWidth="1"/>
    <col min="14598" max="14812" width="13" style="7"/>
    <col min="14813" max="14813" width="25.42578125" style="7" customWidth="1"/>
    <col min="14814" max="14814" width="8.42578125" style="7" customWidth="1"/>
    <col min="14815" max="14815" width="6.28515625" style="7" customWidth="1"/>
    <col min="14816" max="14816" width="9.85546875" style="7" customWidth="1"/>
    <col min="14817" max="14817" width="10.7109375" style="7" customWidth="1"/>
    <col min="14818" max="14818" width="11.7109375" style="7" customWidth="1"/>
    <col min="14819" max="14819" width="12.7109375" style="7" customWidth="1"/>
    <col min="14820" max="14820" width="6.28515625" style="7" customWidth="1"/>
    <col min="14821" max="14821" width="11.42578125" style="7" customWidth="1"/>
    <col min="14822" max="14823" width="7" style="7" customWidth="1"/>
    <col min="14824" max="14824" width="19.42578125" style="7" customWidth="1"/>
    <col min="14825" max="14825" width="6.85546875" style="7" customWidth="1"/>
    <col min="14826" max="14826" width="12.28515625" style="7" customWidth="1"/>
    <col min="14827" max="14827" width="4.5703125" style="7" customWidth="1"/>
    <col min="14828" max="14828" width="14.5703125" style="7" customWidth="1"/>
    <col min="14829" max="14829" width="36.5703125" style="7" customWidth="1"/>
    <col min="14830" max="14830" width="7.7109375" style="7" customWidth="1"/>
    <col min="14831" max="14831" width="16.28515625" style="7" customWidth="1"/>
    <col min="14832" max="14832" width="14.28515625" style="7" customWidth="1"/>
    <col min="14833" max="14833" width="18" style="7" customWidth="1"/>
    <col min="14834" max="14834" width="11.85546875" style="7" customWidth="1"/>
    <col min="14835" max="14835" width="14.28515625" style="7" customWidth="1"/>
    <col min="14836" max="14836" width="14.42578125" style="7" customWidth="1"/>
    <col min="14837" max="14837" width="11.7109375" style="7" customWidth="1"/>
    <col min="14838" max="14842" width="13" style="7"/>
    <col min="14843" max="14843" width="5.5703125" style="7" customWidth="1"/>
    <col min="14844" max="14844" width="8.28515625" style="7" customWidth="1"/>
    <col min="14845" max="14845" width="2.42578125" style="7" customWidth="1"/>
    <col min="14846" max="14846" width="15.5703125" style="7" customWidth="1"/>
    <col min="14847" max="14848" width="3.7109375" style="7" customWidth="1"/>
    <col min="14849" max="14849" width="39.140625" style="7" customWidth="1"/>
    <col min="14850" max="14850" width="13" style="7"/>
    <col min="14851" max="14851" width="3.7109375" style="7" customWidth="1"/>
    <col min="14852" max="14852" width="13" style="7"/>
    <col min="14853" max="14853" width="5" style="7" bestFit="1" customWidth="1"/>
    <col min="14854" max="15068" width="13" style="7"/>
    <col min="15069" max="15069" width="25.42578125" style="7" customWidth="1"/>
    <col min="15070" max="15070" width="8.42578125" style="7" customWidth="1"/>
    <col min="15071" max="15071" width="6.28515625" style="7" customWidth="1"/>
    <col min="15072" max="15072" width="9.85546875" style="7" customWidth="1"/>
    <col min="15073" max="15073" width="10.7109375" style="7" customWidth="1"/>
    <col min="15074" max="15074" width="11.7109375" style="7" customWidth="1"/>
    <col min="15075" max="15075" width="12.7109375" style="7" customWidth="1"/>
    <col min="15076" max="15076" width="6.28515625" style="7" customWidth="1"/>
    <col min="15077" max="15077" width="11.42578125" style="7" customWidth="1"/>
    <col min="15078" max="15079" width="7" style="7" customWidth="1"/>
    <col min="15080" max="15080" width="19.42578125" style="7" customWidth="1"/>
    <col min="15081" max="15081" width="6.85546875" style="7" customWidth="1"/>
    <col min="15082" max="15082" width="12.28515625" style="7" customWidth="1"/>
    <col min="15083" max="15083" width="4.5703125" style="7" customWidth="1"/>
    <col min="15084" max="15084" width="14.5703125" style="7" customWidth="1"/>
    <col min="15085" max="15085" width="36.5703125" style="7" customWidth="1"/>
    <col min="15086" max="15086" width="7.7109375" style="7" customWidth="1"/>
    <col min="15087" max="15087" width="16.28515625" style="7" customWidth="1"/>
    <col min="15088" max="15088" width="14.28515625" style="7" customWidth="1"/>
    <col min="15089" max="15089" width="18" style="7" customWidth="1"/>
    <col min="15090" max="15090" width="11.85546875" style="7" customWidth="1"/>
    <col min="15091" max="15091" width="14.28515625" style="7" customWidth="1"/>
    <col min="15092" max="15092" width="14.42578125" style="7" customWidth="1"/>
    <col min="15093" max="15093" width="11.7109375" style="7" customWidth="1"/>
    <col min="15094" max="15098" width="13" style="7"/>
    <col min="15099" max="15099" width="5.5703125" style="7" customWidth="1"/>
    <col min="15100" max="15100" width="8.28515625" style="7" customWidth="1"/>
    <col min="15101" max="15101" width="2.42578125" style="7" customWidth="1"/>
    <col min="15102" max="15102" width="15.5703125" style="7" customWidth="1"/>
    <col min="15103" max="15104" width="3.7109375" style="7" customWidth="1"/>
    <col min="15105" max="15105" width="39.140625" style="7" customWidth="1"/>
    <col min="15106" max="15106" width="13" style="7"/>
    <col min="15107" max="15107" width="3.7109375" style="7" customWidth="1"/>
    <col min="15108" max="15108" width="13" style="7"/>
    <col min="15109" max="15109" width="5" style="7" bestFit="1" customWidth="1"/>
    <col min="15110" max="15324" width="13" style="7"/>
    <col min="15325" max="15325" width="25.42578125" style="7" customWidth="1"/>
    <col min="15326" max="15326" width="8.42578125" style="7" customWidth="1"/>
    <col min="15327" max="15327" width="6.28515625" style="7" customWidth="1"/>
    <col min="15328" max="15328" width="9.85546875" style="7" customWidth="1"/>
    <col min="15329" max="15329" width="10.7109375" style="7" customWidth="1"/>
    <col min="15330" max="15330" width="11.7109375" style="7" customWidth="1"/>
    <col min="15331" max="15331" width="12.7109375" style="7" customWidth="1"/>
    <col min="15332" max="15332" width="6.28515625" style="7" customWidth="1"/>
    <col min="15333" max="15333" width="11.42578125" style="7" customWidth="1"/>
    <col min="15334" max="15335" width="7" style="7" customWidth="1"/>
    <col min="15336" max="15336" width="19.42578125" style="7" customWidth="1"/>
    <col min="15337" max="15337" width="6.85546875" style="7" customWidth="1"/>
    <col min="15338" max="15338" width="12.28515625" style="7" customWidth="1"/>
    <col min="15339" max="15339" width="4.5703125" style="7" customWidth="1"/>
    <col min="15340" max="15340" width="14.5703125" style="7" customWidth="1"/>
    <col min="15341" max="15341" width="36.5703125" style="7" customWidth="1"/>
    <col min="15342" max="15342" width="7.7109375" style="7" customWidth="1"/>
    <col min="15343" max="15343" width="16.28515625" style="7" customWidth="1"/>
    <col min="15344" max="15344" width="14.28515625" style="7" customWidth="1"/>
    <col min="15345" max="15345" width="18" style="7" customWidth="1"/>
    <col min="15346" max="15346" width="11.85546875" style="7" customWidth="1"/>
    <col min="15347" max="15347" width="14.28515625" style="7" customWidth="1"/>
    <col min="15348" max="15348" width="14.42578125" style="7" customWidth="1"/>
    <col min="15349" max="15349" width="11.7109375" style="7" customWidth="1"/>
    <col min="15350" max="15354" width="13" style="7"/>
    <col min="15355" max="15355" width="5.5703125" style="7" customWidth="1"/>
    <col min="15356" max="15356" width="8.28515625" style="7" customWidth="1"/>
    <col min="15357" max="15357" width="2.42578125" style="7" customWidth="1"/>
    <col min="15358" max="15358" width="15.5703125" style="7" customWidth="1"/>
    <col min="15359" max="15360" width="3.7109375" style="7" customWidth="1"/>
    <col min="15361" max="15361" width="39.140625" style="7" customWidth="1"/>
    <col min="15362" max="15362" width="13" style="7"/>
    <col min="15363" max="15363" width="3.7109375" style="7" customWidth="1"/>
    <col min="15364" max="15364" width="13" style="7"/>
    <col min="15365" max="15365" width="5" style="7" bestFit="1" customWidth="1"/>
    <col min="15366" max="15580" width="13" style="7"/>
    <col min="15581" max="15581" width="25.42578125" style="7" customWidth="1"/>
    <col min="15582" max="15582" width="8.42578125" style="7" customWidth="1"/>
    <col min="15583" max="15583" width="6.28515625" style="7" customWidth="1"/>
    <col min="15584" max="15584" width="9.85546875" style="7" customWidth="1"/>
    <col min="15585" max="15585" width="10.7109375" style="7" customWidth="1"/>
    <col min="15586" max="15586" width="11.7109375" style="7" customWidth="1"/>
    <col min="15587" max="15587" width="12.7109375" style="7" customWidth="1"/>
    <col min="15588" max="15588" width="6.28515625" style="7" customWidth="1"/>
    <col min="15589" max="15589" width="11.42578125" style="7" customWidth="1"/>
    <col min="15590" max="15591" width="7" style="7" customWidth="1"/>
    <col min="15592" max="15592" width="19.42578125" style="7" customWidth="1"/>
    <col min="15593" max="15593" width="6.85546875" style="7" customWidth="1"/>
    <col min="15594" max="15594" width="12.28515625" style="7" customWidth="1"/>
    <col min="15595" max="15595" width="4.5703125" style="7" customWidth="1"/>
    <col min="15596" max="15596" width="14.5703125" style="7" customWidth="1"/>
    <col min="15597" max="15597" width="36.5703125" style="7" customWidth="1"/>
    <col min="15598" max="15598" width="7.7109375" style="7" customWidth="1"/>
    <col min="15599" max="15599" width="16.28515625" style="7" customWidth="1"/>
    <col min="15600" max="15600" width="14.28515625" style="7" customWidth="1"/>
    <col min="15601" max="15601" width="18" style="7" customWidth="1"/>
    <col min="15602" max="15602" width="11.85546875" style="7" customWidth="1"/>
    <col min="15603" max="15603" width="14.28515625" style="7" customWidth="1"/>
    <col min="15604" max="15604" width="14.42578125" style="7" customWidth="1"/>
    <col min="15605" max="15605" width="11.7109375" style="7" customWidth="1"/>
    <col min="15606" max="15610" width="13" style="7"/>
    <col min="15611" max="15611" width="5.5703125" style="7" customWidth="1"/>
    <col min="15612" max="15612" width="8.28515625" style="7" customWidth="1"/>
    <col min="15613" max="15613" width="2.42578125" style="7" customWidth="1"/>
    <col min="15614" max="15614" width="15.5703125" style="7" customWidth="1"/>
    <col min="15615" max="15616" width="3.7109375" style="7" customWidth="1"/>
    <col min="15617" max="15617" width="39.140625" style="7" customWidth="1"/>
    <col min="15618" max="15618" width="13" style="7"/>
    <col min="15619" max="15619" width="3.7109375" style="7" customWidth="1"/>
    <col min="15620" max="15620" width="13" style="7"/>
    <col min="15621" max="15621" width="5" style="7" bestFit="1" customWidth="1"/>
    <col min="15622" max="15836" width="13" style="7"/>
    <col min="15837" max="15837" width="25.42578125" style="7" customWidth="1"/>
    <col min="15838" max="15838" width="8.42578125" style="7" customWidth="1"/>
    <col min="15839" max="15839" width="6.28515625" style="7" customWidth="1"/>
    <col min="15840" max="15840" width="9.85546875" style="7" customWidth="1"/>
    <col min="15841" max="15841" width="10.7109375" style="7" customWidth="1"/>
    <col min="15842" max="15842" width="11.7109375" style="7" customWidth="1"/>
    <col min="15843" max="15843" width="12.7109375" style="7" customWidth="1"/>
    <col min="15844" max="15844" width="6.28515625" style="7" customWidth="1"/>
    <col min="15845" max="15845" width="11.42578125" style="7" customWidth="1"/>
    <col min="15846" max="15847" width="7" style="7" customWidth="1"/>
    <col min="15848" max="15848" width="19.42578125" style="7" customWidth="1"/>
    <col min="15849" max="15849" width="6.85546875" style="7" customWidth="1"/>
    <col min="15850" max="15850" width="12.28515625" style="7" customWidth="1"/>
    <col min="15851" max="15851" width="4.5703125" style="7" customWidth="1"/>
    <col min="15852" max="15852" width="14.5703125" style="7" customWidth="1"/>
    <col min="15853" max="15853" width="36.5703125" style="7" customWidth="1"/>
    <col min="15854" max="15854" width="7.7109375" style="7" customWidth="1"/>
    <col min="15855" max="15855" width="16.28515625" style="7" customWidth="1"/>
    <col min="15856" max="15856" width="14.28515625" style="7" customWidth="1"/>
    <col min="15857" max="15857" width="18" style="7" customWidth="1"/>
    <col min="15858" max="15858" width="11.85546875" style="7" customWidth="1"/>
    <col min="15859" max="15859" width="14.28515625" style="7" customWidth="1"/>
    <col min="15860" max="15860" width="14.42578125" style="7" customWidth="1"/>
    <col min="15861" max="15861" width="11.7109375" style="7" customWidth="1"/>
    <col min="15862" max="15866" width="13" style="7"/>
    <col min="15867" max="15867" width="5.5703125" style="7" customWidth="1"/>
    <col min="15868" max="15868" width="8.28515625" style="7" customWidth="1"/>
    <col min="15869" max="15869" width="2.42578125" style="7" customWidth="1"/>
    <col min="15870" max="15870" width="15.5703125" style="7" customWidth="1"/>
    <col min="15871" max="15872" width="3.7109375" style="7" customWidth="1"/>
    <col min="15873" max="15873" width="39.140625" style="7" customWidth="1"/>
    <col min="15874" max="15874" width="13" style="7"/>
    <col min="15875" max="15875" width="3.7109375" style="7" customWidth="1"/>
    <col min="15876" max="15876" width="13" style="7"/>
    <col min="15877" max="15877" width="5" style="7" bestFit="1" customWidth="1"/>
    <col min="15878" max="16092" width="13" style="7"/>
    <col min="16093" max="16093" width="25.42578125" style="7" customWidth="1"/>
    <col min="16094" max="16094" width="8.42578125" style="7" customWidth="1"/>
    <col min="16095" max="16095" width="6.28515625" style="7" customWidth="1"/>
    <col min="16096" max="16096" width="9.85546875" style="7" customWidth="1"/>
    <col min="16097" max="16097" width="10.7109375" style="7" customWidth="1"/>
    <col min="16098" max="16098" width="11.7109375" style="7" customWidth="1"/>
    <col min="16099" max="16099" width="12.7109375" style="7" customWidth="1"/>
    <col min="16100" max="16100" width="6.28515625" style="7" customWidth="1"/>
    <col min="16101" max="16101" width="11.42578125" style="7" customWidth="1"/>
    <col min="16102" max="16103" width="7" style="7" customWidth="1"/>
    <col min="16104" max="16104" width="19.42578125" style="7" customWidth="1"/>
    <col min="16105" max="16105" width="6.85546875" style="7" customWidth="1"/>
    <col min="16106" max="16106" width="12.28515625" style="7" customWidth="1"/>
    <col min="16107" max="16107" width="4.5703125" style="7" customWidth="1"/>
    <col min="16108" max="16108" width="14.5703125" style="7" customWidth="1"/>
    <col min="16109" max="16109" width="36.5703125" style="7" customWidth="1"/>
    <col min="16110" max="16110" width="7.7109375" style="7" customWidth="1"/>
    <col min="16111" max="16111" width="16.28515625" style="7" customWidth="1"/>
    <col min="16112" max="16112" width="14.28515625" style="7" customWidth="1"/>
    <col min="16113" max="16113" width="18" style="7" customWidth="1"/>
    <col min="16114" max="16114" width="11.85546875" style="7" customWidth="1"/>
    <col min="16115" max="16115" width="14.28515625" style="7" customWidth="1"/>
    <col min="16116" max="16116" width="14.42578125" style="7" customWidth="1"/>
    <col min="16117" max="16117" width="11.7109375" style="7" customWidth="1"/>
    <col min="16118" max="16122" width="13" style="7"/>
    <col min="16123" max="16123" width="5.5703125" style="7" customWidth="1"/>
    <col min="16124" max="16124" width="8.28515625" style="7" customWidth="1"/>
    <col min="16125" max="16125" width="2.42578125" style="7" customWidth="1"/>
    <col min="16126" max="16126" width="15.5703125" style="7" customWidth="1"/>
    <col min="16127" max="16128" width="3.7109375" style="7" customWidth="1"/>
    <col min="16129" max="16129" width="39.140625" style="7" customWidth="1"/>
    <col min="16130" max="16130" width="13" style="7"/>
    <col min="16131" max="16131" width="3.7109375" style="7" customWidth="1"/>
    <col min="16132" max="16132" width="13" style="7"/>
    <col min="16133" max="16133" width="5" style="7" bestFit="1" customWidth="1"/>
    <col min="16134" max="16384" width="13" style="7"/>
  </cols>
  <sheetData>
    <row r="1" spans="1:64" ht="21" customHeight="1">
      <c r="A1" s="1249" t="s">
        <v>2</v>
      </c>
      <c r="B1" s="1249"/>
      <c r="C1" s="1249"/>
      <c r="D1" s="1249"/>
      <c r="E1" s="1249"/>
      <c r="F1" s="1249"/>
      <c r="G1" s="1249"/>
      <c r="H1" s="1249"/>
      <c r="I1" s="1249"/>
      <c r="J1" s="1249"/>
      <c r="K1" s="1249"/>
      <c r="L1" s="1249"/>
      <c r="M1" s="1249"/>
      <c r="N1" s="1249"/>
      <c r="O1" s="1249"/>
      <c r="P1" s="1249"/>
      <c r="Q1" s="1249"/>
      <c r="R1" s="1249"/>
      <c r="S1" s="5"/>
      <c r="T1" s="5"/>
      <c r="U1" s="1250" t="s">
        <v>2</v>
      </c>
      <c r="V1" s="1250"/>
      <c r="W1" s="1250"/>
      <c r="X1" s="1250"/>
      <c r="Y1" s="1250"/>
      <c r="Z1" s="1250"/>
      <c r="AA1" s="1250"/>
      <c r="AB1" s="1251"/>
      <c r="AC1" s="1251"/>
      <c r="AD1" s="1251"/>
      <c r="AE1" s="6"/>
      <c r="AF1" s="6"/>
      <c r="AL1" s="8"/>
      <c r="AM1" s="9" t="s">
        <v>3</v>
      </c>
      <c r="AN1" s="10"/>
      <c r="AO1" s="9" t="s">
        <v>4</v>
      </c>
      <c r="AP1" s="11"/>
      <c r="AQ1" s="11"/>
      <c r="AR1" s="12"/>
      <c r="AS1" s="13"/>
      <c r="AT1" s="11"/>
      <c r="AU1" s="14"/>
      <c r="AV1" s="15"/>
      <c r="BA1" s="1235" t="s">
        <v>5</v>
      </c>
      <c r="BB1" s="1235" t="s">
        <v>6</v>
      </c>
      <c r="BC1" s="1235" t="s">
        <v>7</v>
      </c>
      <c r="BD1" s="1235" t="s">
        <v>8</v>
      </c>
      <c r="BE1" s="16" t="s">
        <v>9</v>
      </c>
      <c r="BF1" s="1239" t="s">
        <v>10</v>
      </c>
      <c r="BG1" s="16" t="s">
        <v>11</v>
      </c>
      <c r="BH1" s="16" t="s">
        <v>9</v>
      </c>
      <c r="BI1" s="1239" t="s">
        <v>12</v>
      </c>
    </row>
    <row r="2" spans="1:64" ht="21">
      <c r="A2" s="474" t="s">
        <v>13</v>
      </c>
      <c r="B2" s="474"/>
      <c r="C2" s="474"/>
      <c r="D2" s="474"/>
      <c r="E2" s="474"/>
      <c r="F2" s="474"/>
      <c r="G2" s="474"/>
      <c r="H2" s="474"/>
      <c r="I2" s="474"/>
      <c r="J2" s="474"/>
      <c r="K2" s="474"/>
      <c r="L2" s="474"/>
      <c r="M2" s="474"/>
      <c r="N2" s="474"/>
      <c r="O2" s="474"/>
      <c r="P2" s="474"/>
      <c r="Q2" s="474"/>
      <c r="R2" s="474"/>
      <c r="S2" s="18"/>
      <c r="T2" s="18"/>
      <c r="U2" s="19"/>
      <c r="V2" s="19"/>
      <c r="W2" s="19"/>
      <c r="X2" s="19"/>
      <c r="Y2" s="19"/>
      <c r="Z2" s="20"/>
      <c r="AA2" s="21"/>
      <c r="AL2" s="8"/>
      <c r="AM2" s="10"/>
      <c r="AN2" s="10"/>
      <c r="AO2" s="23"/>
      <c r="AP2" s="11"/>
      <c r="AQ2" s="10"/>
      <c r="AR2" s="11"/>
      <c r="AS2" s="13"/>
      <c r="AT2" s="10"/>
      <c r="AU2" s="24"/>
      <c r="AV2" s="15"/>
      <c r="BA2" s="1236"/>
      <c r="BB2" s="1236"/>
      <c r="BC2" s="1236"/>
      <c r="BD2" s="1236"/>
      <c r="BE2" s="16" t="s">
        <v>14</v>
      </c>
      <c r="BF2" s="1240"/>
      <c r="BG2" s="16" t="s">
        <v>15</v>
      </c>
      <c r="BH2" s="16" t="s">
        <v>16</v>
      </c>
      <c r="BI2" s="1240"/>
    </row>
    <row r="3" spans="1:64" ht="15.75" customHeight="1">
      <c r="A3" s="25" t="s">
        <v>17</v>
      </c>
      <c r="B3" s="1241" t="s">
        <v>18</v>
      </c>
      <c r="C3" s="1243" t="s">
        <v>19</v>
      </c>
      <c r="D3" s="1245" t="s">
        <v>20</v>
      </c>
      <c r="E3" s="1247" t="s">
        <v>21</v>
      </c>
      <c r="F3" s="1245" t="s">
        <v>22</v>
      </c>
      <c r="G3" s="1247" t="s">
        <v>23</v>
      </c>
      <c r="H3" s="26" t="s">
        <v>1</v>
      </c>
      <c r="I3" s="27" t="s">
        <v>24</v>
      </c>
      <c r="J3" s="26" t="s">
        <v>25</v>
      </c>
      <c r="K3" s="28" t="s">
        <v>26</v>
      </c>
      <c r="L3" s="29" t="s">
        <v>27</v>
      </c>
      <c r="M3" s="28" t="s">
        <v>28</v>
      </c>
      <c r="N3" s="631" t="s">
        <v>29</v>
      </c>
      <c r="O3" s="631" t="s">
        <v>29</v>
      </c>
      <c r="P3" s="1241" t="s">
        <v>30</v>
      </c>
      <c r="Q3" s="632" t="s">
        <v>27</v>
      </c>
      <c r="R3" s="633" t="s">
        <v>31</v>
      </c>
      <c r="S3" s="30"/>
      <c r="T3" s="30"/>
      <c r="U3" s="31" t="s">
        <v>5</v>
      </c>
      <c r="V3" s="32" t="s">
        <v>6</v>
      </c>
      <c r="W3" s="31" t="s">
        <v>8</v>
      </c>
      <c r="X3" s="33" t="s">
        <v>9</v>
      </c>
      <c r="Y3" s="34" t="s">
        <v>11</v>
      </c>
      <c r="Z3" s="32" t="s">
        <v>9</v>
      </c>
      <c r="AA3" s="35" t="s">
        <v>32</v>
      </c>
      <c r="AB3" s="36" t="s">
        <v>33</v>
      </c>
      <c r="AC3" s="37" t="s">
        <v>34</v>
      </c>
      <c r="AD3" s="38" t="s">
        <v>35</v>
      </c>
      <c r="AE3" s="39"/>
      <c r="AF3" s="39"/>
      <c r="AL3" s="8"/>
      <c r="AM3" s="40">
        <v>127120</v>
      </c>
      <c r="AN3" s="41"/>
      <c r="AO3" s="42">
        <v>167255</v>
      </c>
      <c r="AP3" s="43"/>
      <c r="AQ3" s="10"/>
      <c r="AR3" s="44"/>
      <c r="AS3" s="45"/>
      <c r="AT3" s="44"/>
      <c r="AU3" s="46"/>
      <c r="AV3" s="47"/>
      <c r="BA3" s="48"/>
      <c r="BB3" s="48" t="s">
        <v>36</v>
      </c>
      <c r="BC3" s="48"/>
      <c r="BD3" s="48"/>
      <c r="BE3" s="16" t="e">
        <f ca="1">X234</f>
        <v>#DIV/0!</v>
      </c>
      <c r="BF3" s="16"/>
      <c r="BG3" s="16">
        <v>100.00000000000001</v>
      </c>
      <c r="BH3" s="16">
        <f ca="1">Z5</f>
        <v>0</v>
      </c>
      <c r="BI3" s="16" t="e">
        <f ca="1">+BH3-BE3</f>
        <v>#DIV/0!</v>
      </c>
      <c r="BK3" s="49" t="e">
        <f ca="1">BH25+BH29+BH37+BH42+BH64+BH88+BH89+BH96+BH103+BH137+BH176+BH206+BH239+BH244+BH7+BH8+BH9+BH10+BH11+BH12+BH13+BH14</f>
        <v>#DIV/0!</v>
      </c>
      <c r="BL3" s="49" t="e">
        <f ca="1">BK3-BH3</f>
        <v>#DIV/0!</v>
      </c>
    </row>
    <row r="4" spans="1:64" ht="14.25" customHeight="1">
      <c r="A4" s="634"/>
      <c r="B4" s="1242"/>
      <c r="C4" s="1244"/>
      <c r="D4" s="1246"/>
      <c r="E4" s="1248"/>
      <c r="F4" s="1246"/>
      <c r="G4" s="1248"/>
      <c r="H4" s="50" t="s">
        <v>37</v>
      </c>
      <c r="I4" s="51" t="s">
        <v>38</v>
      </c>
      <c r="J4" s="635"/>
      <c r="K4" s="636"/>
      <c r="L4" s="637"/>
      <c r="M4" s="636"/>
      <c r="N4" s="638" t="s">
        <v>37</v>
      </c>
      <c r="O4" s="639" t="s">
        <v>39</v>
      </c>
      <c r="P4" s="1242"/>
      <c r="Q4" s="640"/>
      <c r="R4" s="641"/>
      <c r="U4" s="53"/>
      <c r="V4" s="54"/>
      <c r="W4" s="54"/>
      <c r="X4" s="55" t="s">
        <v>14</v>
      </c>
      <c r="Y4" s="56" t="s">
        <v>15</v>
      </c>
      <c r="Z4" s="54" t="s">
        <v>16</v>
      </c>
      <c r="AA4" s="57" t="s">
        <v>40</v>
      </c>
      <c r="AB4" s="58"/>
      <c r="AC4" s="59" t="s">
        <v>41</v>
      </c>
      <c r="AD4" s="60" t="s">
        <v>42</v>
      </c>
      <c r="AE4" s="39"/>
      <c r="AF4" s="39"/>
      <c r="AG4" s="61" t="s">
        <v>43</v>
      </c>
      <c r="AI4" s="62"/>
      <c r="AJ4" s="62"/>
      <c r="AK4" s="63"/>
      <c r="AL4" s="8"/>
      <c r="AM4" s="10"/>
      <c r="AN4" s="10"/>
      <c r="AO4" s="64"/>
      <c r="AP4" s="11"/>
      <c r="AQ4" s="65" t="s">
        <v>44</v>
      </c>
      <c r="AR4" s="11"/>
      <c r="AS4" s="13"/>
      <c r="AT4" s="65" t="s">
        <v>44</v>
      </c>
      <c r="AU4" s="66"/>
      <c r="AV4" s="15"/>
    </row>
    <row r="5" spans="1:64" ht="21.75">
      <c r="A5" s="642" t="s">
        <v>45</v>
      </c>
      <c r="B5" s="643" t="s">
        <v>46</v>
      </c>
      <c r="C5" s="643">
        <v>1</v>
      </c>
      <c r="D5" s="644" t="s">
        <v>47</v>
      </c>
      <c r="E5" s="643"/>
      <c r="F5" s="644" t="s">
        <v>48</v>
      </c>
      <c r="G5" s="643" t="s">
        <v>49</v>
      </c>
      <c r="H5" s="645" cm="1">
        <f t="array" aca="1" ref="H5" ca="1">IFERROR(
    INDIRECT(
        "RawData!" &amp;
        ADDRESS(
            2,
            MATCH(
                TRIM(MID(A5, SEARCH(". ", A5) + 2, LEN(A5))) &amp; ".Import_kWh",
                RawData!$1:$1,
                0
            ),
            4
        )
    ),
    0
)</f>
        <v>0</v>
      </c>
      <c r="I5" s="645" cm="1">
        <f t="array" aca="1" ref="I5" ca="1">IFERROR(
    INDIRECT(
        "RawData!" &amp;
        ADDRESS(
            COUNTA(RawData!A:A),
            MATCH(
                TRIM(MID(A5, SEARCH(". ", A5) + 2, LEN(A5))) &amp; ".Import_kWh",
                RawData!$1:$1,
                0
            ),
            4
        )
    ),
    0
)</f>
        <v>0</v>
      </c>
      <c r="J5" s="646">
        <f ca="1">(I5-H5)*C5</f>
        <v>0</v>
      </c>
      <c r="K5" s="647" t="e">
        <f ca="1">J5*J$777/(J$5+J$65+J$72+J$81+J$89+J$138+J$212+J$285+J$306+J$373+J$388+J$396+J$397+J$450+J$463+J$471+J$513+J$564+J$603+J$646)</f>
        <v>#DIV/0!</v>
      </c>
      <c r="L5" s="648" t="e">
        <f ca="1">K5/J5</f>
        <v>#DIV/0!</v>
      </c>
      <c r="M5" s="649" t="e">
        <f ca="1">SUM(R8:R62)</f>
        <v>#DIV/0!</v>
      </c>
      <c r="N5" s="650"/>
      <c r="O5" s="650"/>
      <c r="P5" s="564"/>
      <c r="Q5" s="651"/>
      <c r="R5" s="652"/>
      <c r="S5" s="69"/>
      <c r="T5" s="69"/>
      <c r="U5" s="70" t="s">
        <v>50</v>
      </c>
      <c r="V5" s="71"/>
      <c r="W5" s="71"/>
      <c r="X5" s="72"/>
      <c r="Y5" s="72"/>
      <c r="Z5" s="73">
        <f ca="1">J777</f>
        <v>0</v>
      </c>
      <c r="AA5" s="72"/>
      <c r="AB5" s="74" t="e">
        <f ca="1">Z5*Y$255</f>
        <v>#DIV/0!</v>
      </c>
      <c r="AC5" s="75" t="e">
        <f ca="1">AB5</f>
        <v>#DIV/0!</v>
      </c>
      <c r="AD5" s="76"/>
      <c r="AE5" s="77"/>
      <c r="AF5" s="78"/>
      <c r="AG5" s="79"/>
      <c r="AH5" s="80" t="s">
        <v>51</v>
      </c>
      <c r="AI5" s="81" t="e">
        <f ca="1">R60+R87+R136+R180+R181</f>
        <v>#DIV/0!</v>
      </c>
      <c r="AJ5" s="80" t="s">
        <v>52</v>
      </c>
      <c r="AL5" s="82" t="s">
        <v>53</v>
      </c>
      <c r="AM5" s="83" t="s">
        <v>3</v>
      </c>
      <c r="AN5" s="84" t="s">
        <v>54</v>
      </c>
      <c r="AO5" s="85" t="s">
        <v>55</v>
      </c>
      <c r="AP5" s="86" t="s">
        <v>56</v>
      </c>
      <c r="AQ5" s="87" t="s">
        <v>57</v>
      </c>
      <c r="AR5" s="88" t="s">
        <v>58</v>
      </c>
      <c r="AS5" s="89" t="s">
        <v>59</v>
      </c>
      <c r="AT5" s="88" t="s">
        <v>60</v>
      </c>
      <c r="AU5" s="90" t="s">
        <v>61</v>
      </c>
      <c r="AV5" s="91" t="s">
        <v>62</v>
      </c>
      <c r="AW5" s="49" t="e">
        <f ca="1">SUBTOTAL(9,AU27:AU119)</f>
        <v>#DIV/0!</v>
      </c>
      <c r="BA5" s="1235" t="s">
        <v>5</v>
      </c>
      <c r="BB5" s="1235" t="s">
        <v>6</v>
      </c>
      <c r="BC5" s="1235" t="s">
        <v>7</v>
      </c>
      <c r="BD5" s="1235" t="s">
        <v>8</v>
      </c>
      <c r="BE5" s="92" t="s">
        <v>9</v>
      </c>
      <c r="BF5" s="1237" t="s">
        <v>10</v>
      </c>
      <c r="BG5" s="92" t="s">
        <v>11</v>
      </c>
      <c r="BH5" s="92" t="s">
        <v>9</v>
      </c>
      <c r="BI5" s="1237" t="s">
        <v>10</v>
      </c>
    </row>
    <row r="6" spans="1:64" ht="15" customHeight="1">
      <c r="A6" s="653" t="s">
        <v>63</v>
      </c>
      <c r="B6" s="654" t="s">
        <v>64</v>
      </c>
      <c r="C6" s="654">
        <v>1</v>
      </c>
      <c r="D6" s="654" t="s">
        <v>47</v>
      </c>
      <c r="E6" s="654"/>
      <c r="F6" s="654" t="s">
        <v>48</v>
      </c>
      <c r="G6" s="654" t="s">
        <v>49</v>
      </c>
      <c r="H6" s="655" cm="1">
        <f t="array" aca="1" ref="H6" ca="1">IFERROR(
    INDIRECT(
        "RawData!" &amp;
        ADDRESS(
            2,
            MATCH(
                TRIM(MID(A6, SEARCH(". ", A6) + 2, LEN(A6))) &amp; ".Import_kWh",
                RawData!$1:$1,
                0
            ),
            4
        )
    ),
    0
)</f>
        <v>0</v>
      </c>
      <c r="I6" s="655" cm="1">
        <f t="array" aca="1" ref="I6" ca="1">IFERROR(
    INDIRECT(
        "RawData!" &amp;
        ADDRESS(
            COUNTA(RawData!A:A),
            MATCH(
                TRIM(MID(A6, SEARCH(". ", A6) + 2, LEN(A6))) &amp; ".Import_kWh",
                RawData!$1:$1,
                0
            ),
            4
        )
    ),
    0
)</f>
        <v>0</v>
      </c>
      <c r="J6" s="656">
        <f ca="1">(I6-H6)*C6</f>
        <v>0</v>
      </c>
      <c r="K6" s="657" t="e">
        <f ca="1">J6*K$5/(J$6+J$23+J$45+J$60+J$61)</f>
        <v>#DIV/0!</v>
      </c>
      <c r="L6" s="658" t="e">
        <f ca="1">K6/J6</f>
        <v>#DIV/0!</v>
      </c>
      <c r="M6" s="659" t="e">
        <f ca="1">R10+R11+R13+R14+R15+R16+R17+R18+R19+R8+R22</f>
        <v>#DIV/0!</v>
      </c>
      <c r="N6" s="660"/>
      <c r="O6" s="660"/>
      <c r="P6" s="661"/>
      <c r="Q6" s="662"/>
      <c r="R6" s="663"/>
      <c r="S6" s="69"/>
      <c r="T6" s="69"/>
      <c r="U6" s="93" t="s">
        <v>65</v>
      </c>
      <c r="V6" s="94" t="s">
        <v>66</v>
      </c>
      <c r="W6" s="95" t="s">
        <v>67</v>
      </c>
      <c r="X6" s="96" t="e">
        <f ca="1">R287+R288+R289+R290+R291+R292+R293+R294+R295+R296+R297+R298+R299</f>
        <v>#DIV/0!</v>
      </c>
      <c r="Y6" s="96"/>
      <c r="Z6" s="96" t="e">
        <f t="shared" ref="Z6:Z24" ca="1" si="0">X6</f>
        <v>#DIV/0!</v>
      </c>
      <c r="AA6" s="97"/>
      <c r="AB6" s="74" t="e">
        <f t="shared" ref="AB6:AB69" ca="1" si="1">Z6*Y$255</f>
        <v>#DIV/0!</v>
      </c>
      <c r="AC6" s="98"/>
      <c r="AD6" s="99"/>
      <c r="AE6" s="100" t="s">
        <v>67</v>
      </c>
      <c r="AF6" s="100" t="s">
        <v>68</v>
      </c>
      <c r="AG6" s="79"/>
      <c r="AH6" s="80" t="s">
        <v>69</v>
      </c>
      <c r="AI6" s="81" t="e">
        <f ca="1">R396+R399+R510+R560+R563</f>
        <v>#DIV/0!</v>
      </c>
      <c r="AJ6" s="80" t="s">
        <v>52</v>
      </c>
      <c r="AK6" s="79"/>
      <c r="AL6" s="101" t="s">
        <v>67</v>
      </c>
      <c r="AM6" s="102">
        <v>641110</v>
      </c>
      <c r="AN6" s="103" t="s">
        <v>54</v>
      </c>
      <c r="AO6" s="104" t="e">
        <f t="shared" ref="AO6:AO42" ca="1" si="2">ROUND(AB6,2)</f>
        <v>#DIV/0!</v>
      </c>
      <c r="AP6" s="105"/>
      <c r="AQ6"/>
      <c r="AR6" s="106" t="str">
        <f t="shared" ref="AR6:AR42" si="3">V6</f>
        <v xml:space="preserve"> ออฟฟิศใหม่ชั้นบน(Admin)+ชั้นล่าง</v>
      </c>
      <c r="AS6" s="107" t="str">
        <f>U6</f>
        <v>0450-90000</v>
      </c>
      <c r="AT6"/>
      <c r="AU6" s="108" t="e">
        <f t="shared" ref="AU6:AU42" ca="1" si="4">ROUND(Z6,2)</f>
        <v>#DIV/0!</v>
      </c>
      <c r="AV6" s="7" t="s">
        <v>1</v>
      </c>
      <c r="AW6" s="7" t="s">
        <v>70</v>
      </c>
      <c r="BA6" s="1236"/>
      <c r="BB6" s="1236"/>
      <c r="BC6" s="1236"/>
      <c r="BD6" s="1236"/>
      <c r="BE6" s="92" t="s">
        <v>14</v>
      </c>
      <c r="BF6" s="1238"/>
      <c r="BG6" s="92" t="s">
        <v>15</v>
      </c>
      <c r="BH6" s="92" t="s">
        <v>16</v>
      </c>
      <c r="BI6" s="1238"/>
    </row>
    <row r="7" spans="1:64" ht="15" customHeight="1">
      <c r="A7" s="664" t="s">
        <v>71</v>
      </c>
      <c r="B7" s="595" t="s">
        <v>72</v>
      </c>
      <c r="C7" s="595">
        <v>1</v>
      </c>
      <c r="D7" s="595" t="s">
        <v>47</v>
      </c>
      <c r="E7" s="595"/>
      <c r="F7" s="595" t="s">
        <v>48</v>
      </c>
      <c r="G7" s="595" t="s">
        <v>49</v>
      </c>
      <c r="H7" s="665" cm="1">
        <f t="array" aca="1" ref="H7" ca="1">IFERROR(
    INDIRECT(
        "RawData!" &amp;
        ADDRESS(
            2,
            MATCH(
                TRIM(MID(A7, SEARCH(". ", A7) + 2, LEN(A7))) &amp; ".Import_kWh",
                RawData!$1:$1,
                0
            ),
            4
        )
    ),
    0
)</f>
        <v>0</v>
      </c>
      <c r="I7" s="665" cm="1">
        <f t="array" aca="1" ref="I7" ca="1">IFERROR(
    INDIRECT(
        "RawData!" &amp;
        ADDRESS(
            COUNTA(RawData!A:A),
            MATCH(
                TRIM(MID(A7, SEARCH(". ", A7) + 2, LEN(A7))) &amp; ".Import_kWh",
                RawData!$1:$1,
                0
            ),
            4
        )
    ),
    0
)</f>
        <v>0</v>
      </c>
      <c r="J7" s="666">
        <f ca="1">(I7-H7)*C7</f>
        <v>0</v>
      </c>
      <c r="K7" s="667" t="e">
        <f ca="1">J7*K$6/(J$7+J$9+J$12+J$21)</f>
        <v>#DIV/0!</v>
      </c>
      <c r="L7" s="312" t="e">
        <f ca="1">K7/J7</f>
        <v>#DIV/0!</v>
      </c>
      <c r="M7" s="668" t="e">
        <f ca="1">R8</f>
        <v>#DIV/0!</v>
      </c>
      <c r="N7" s="669"/>
      <c r="O7" s="669"/>
      <c r="P7" s="568"/>
      <c r="Q7" s="670"/>
      <c r="R7" s="608"/>
      <c r="S7" s="69"/>
      <c r="T7" s="69"/>
      <c r="U7" s="93" t="s">
        <v>73</v>
      </c>
      <c r="V7" s="109" t="s">
        <v>74</v>
      </c>
      <c r="W7" s="95" t="s">
        <v>75</v>
      </c>
      <c r="X7" s="96">
        <f ca="1">R95</f>
        <v>0</v>
      </c>
      <c r="Y7" s="96"/>
      <c r="Z7" s="96">
        <f t="shared" ca="1" si="0"/>
        <v>0</v>
      </c>
      <c r="AA7" s="97"/>
      <c r="AB7" s="110" t="e">
        <f t="shared" ca="1" si="1"/>
        <v>#DIV/0!</v>
      </c>
      <c r="AC7" s="98"/>
      <c r="AD7" s="99"/>
      <c r="AE7" s="100" t="s">
        <v>76</v>
      </c>
      <c r="AF7" s="100" t="s">
        <v>77</v>
      </c>
      <c r="AG7" s="79"/>
      <c r="AH7" s="80" t="s">
        <v>78</v>
      </c>
      <c r="AI7" s="111" t="e">
        <f ca="1">AI5+AI6</f>
        <v>#DIV/0!</v>
      </c>
      <c r="AJ7" s="80" t="s">
        <v>52</v>
      </c>
      <c r="AK7" s="79"/>
      <c r="AL7" s="7" t="s">
        <v>76</v>
      </c>
      <c r="AM7" s="102">
        <v>552003</v>
      </c>
      <c r="AN7" s="103" t="s">
        <v>54</v>
      </c>
      <c r="AO7" s="104" t="e">
        <f t="shared" ca="1" si="2"/>
        <v>#DIV/0!</v>
      </c>
      <c r="AP7" s="49"/>
      <c r="AR7" s="112" t="str">
        <f t="shared" si="3"/>
        <v xml:space="preserve"> ออฟฟิศ Quality Innovation room</v>
      </c>
      <c r="AS7" s="112" t="str">
        <f t="shared" ref="AS7:AS42" si="5">U7</f>
        <v>0451-03500</v>
      </c>
      <c r="AU7" s="108">
        <f t="shared" ca="1" si="4"/>
        <v>0</v>
      </c>
      <c r="AV7" s="7" t="s">
        <v>1</v>
      </c>
      <c r="AW7" s="7" t="s">
        <v>70</v>
      </c>
      <c r="BA7" s="48" t="s">
        <v>79</v>
      </c>
      <c r="BB7" s="48" t="s">
        <v>80</v>
      </c>
      <c r="BC7" s="48"/>
      <c r="BD7" s="48" t="s">
        <v>81</v>
      </c>
      <c r="BE7" s="113">
        <f ca="1">X9</f>
        <v>0</v>
      </c>
      <c r="BF7" s="113"/>
      <c r="BG7" s="113"/>
      <c r="BH7" s="113">
        <f ca="1">Z9</f>
        <v>0</v>
      </c>
      <c r="BI7" s="113"/>
    </row>
    <row r="8" spans="1:64" ht="15" customHeight="1">
      <c r="A8" s="664" t="s">
        <v>82</v>
      </c>
      <c r="B8" s="671"/>
      <c r="C8" s="595"/>
      <c r="D8" s="595"/>
      <c r="E8" s="595"/>
      <c r="F8" s="595"/>
      <c r="G8" s="595"/>
      <c r="H8" s="672"/>
      <c r="I8" s="665"/>
      <c r="J8" s="673"/>
      <c r="K8" s="568"/>
      <c r="L8" s="312"/>
      <c r="M8" s="674">
        <v>193.12</v>
      </c>
      <c r="N8" s="669">
        <v>26</v>
      </c>
      <c r="O8" s="669">
        <v>41</v>
      </c>
      <c r="P8" s="568">
        <f>M8*O8</f>
        <v>7917.92</v>
      </c>
      <c r="Q8" s="563">
        <f>P8/(P$8)</f>
        <v>1</v>
      </c>
      <c r="R8" s="569" t="e">
        <f ca="1">Q8*K$7</f>
        <v>#DIV/0!</v>
      </c>
      <c r="S8" s="114" t="s">
        <v>83</v>
      </c>
      <c r="T8" s="115" t="s">
        <v>84</v>
      </c>
      <c r="U8" s="116" t="s">
        <v>85</v>
      </c>
      <c r="V8" s="109" t="s">
        <v>86</v>
      </c>
      <c r="W8" s="95" t="s">
        <v>67</v>
      </c>
      <c r="X8" s="96" t="e">
        <f ca="1">R86+R112+R425+R415+R562+R426+R116</f>
        <v>#DIV/0!</v>
      </c>
      <c r="Y8" s="96"/>
      <c r="Z8" s="96" t="e">
        <f t="shared" ca="1" si="0"/>
        <v>#DIV/0!</v>
      </c>
      <c r="AA8" s="97"/>
      <c r="AB8" s="110" t="e">
        <f t="shared" ca="1" si="1"/>
        <v>#DIV/0!</v>
      </c>
      <c r="AC8" s="98"/>
      <c r="AD8" s="99"/>
      <c r="AE8" s="100" t="s">
        <v>67</v>
      </c>
      <c r="AF8" s="100" t="s">
        <v>87</v>
      </c>
      <c r="AG8" s="49"/>
      <c r="AH8" s="117" t="s">
        <v>88</v>
      </c>
      <c r="AI8" s="79" t="e">
        <f ca="1">SUM(X26:X85)+X116+X117+X118+X86+X87+X88</f>
        <v>#DIV/0!</v>
      </c>
      <c r="AJ8" s="80" t="s">
        <v>89</v>
      </c>
      <c r="AK8" s="79"/>
      <c r="AL8" s="101" t="s">
        <v>67</v>
      </c>
      <c r="AM8" s="102">
        <v>641110</v>
      </c>
      <c r="AN8" s="103" t="s">
        <v>54</v>
      </c>
      <c r="AO8" s="104" t="e">
        <f t="shared" ca="1" si="2"/>
        <v>#DIV/0!</v>
      </c>
      <c r="AP8" s="49"/>
      <c r="AR8" s="112" t="str">
        <f t="shared" si="3"/>
        <v xml:space="preserve"> UTILITY (โรงจอดรถ, โรงอาหาร คก.,โรงอาหาร อล.,สนามกีฬา)</v>
      </c>
      <c r="AS8" s="112" t="str">
        <f t="shared" si="5"/>
        <v>0450-40054</v>
      </c>
      <c r="AU8" s="108" t="e">
        <f t="shared" ca="1" si="4"/>
        <v>#DIV/0!</v>
      </c>
      <c r="AV8" s="7" t="s">
        <v>1</v>
      </c>
      <c r="AW8" s="7" t="s">
        <v>70</v>
      </c>
      <c r="BA8" s="48" t="s">
        <v>79</v>
      </c>
      <c r="BB8" s="48" t="s">
        <v>90</v>
      </c>
      <c r="BC8" s="48"/>
      <c r="BD8" s="48" t="s">
        <v>81</v>
      </c>
      <c r="BE8" s="113">
        <f>X10</f>
        <v>85</v>
      </c>
      <c r="BF8" s="113"/>
      <c r="BG8" s="113"/>
      <c r="BH8" s="113">
        <f>Z10</f>
        <v>85</v>
      </c>
      <c r="BI8" s="113"/>
    </row>
    <row r="9" spans="1:64" ht="15" customHeight="1">
      <c r="A9" s="664" t="s">
        <v>91</v>
      </c>
      <c r="B9" s="595" t="s">
        <v>72</v>
      </c>
      <c r="C9" s="595">
        <v>1</v>
      </c>
      <c r="D9" s="595" t="s">
        <v>47</v>
      </c>
      <c r="E9" s="595"/>
      <c r="F9" s="595" t="s">
        <v>48</v>
      </c>
      <c r="G9" s="595" t="s">
        <v>49</v>
      </c>
      <c r="H9" s="665" cm="1">
        <f t="array" aca="1" ref="H9" ca="1">IFERROR(
    INDIRECT(
        "RawData!" &amp;
        ADDRESS(
            2,
            MATCH(
                TRIM(MID(A9, SEARCH(". ", A9) + 2, LEN(A9))) &amp; ".Import_kWh",
                RawData!$1:$1,
                0
            ),
            4
        )
    ),
    0
)</f>
        <v>0</v>
      </c>
      <c r="I9" s="665" cm="1">
        <f t="array" aca="1" ref="I9" ca="1">IFERROR(
    INDIRECT(
        "RawData!" &amp;
        ADDRESS(
            COUNTA(RawData!A:A),
            MATCH(
                TRIM(MID(A9, SEARCH(". ", A9) + 2, LEN(A9))) &amp; ".Import_kWh",
                RawData!$1:$1,
                0
            ),
            4
        )
    ),
    0
)</f>
        <v>0</v>
      </c>
      <c r="J9" s="666">
        <f ca="1">(I9-H9)*C9</f>
        <v>0</v>
      </c>
      <c r="K9" s="667" t="e">
        <f ca="1">J9*K$6/(J$7+J$9+J$12+J$21)</f>
        <v>#DIV/0!</v>
      </c>
      <c r="L9" s="312" t="e">
        <f ca="1">K9/J9</f>
        <v>#DIV/0!</v>
      </c>
      <c r="M9" s="668" t="e">
        <f ca="1">R10</f>
        <v>#DIV/0!</v>
      </c>
      <c r="N9" s="669"/>
      <c r="O9" s="669"/>
      <c r="P9" s="570"/>
      <c r="Q9" s="670"/>
      <c r="R9" s="569"/>
      <c r="S9" s="69"/>
      <c r="T9" s="69"/>
      <c r="U9" s="118" t="s">
        <v>79</v>
      </c>
      <c r="V9" s="109" t="s">
        <v>80</v>
      </c>
      <c r="W9" s="119" t="s">
        <v>81</v>
      </c>
      <c r="X9" s="96">
        <f ca="1">R85</f>
        <v>0</v>
      </c>
      <c r="Y9" s="96"/>
      <c r="Z9" s="120">
        <f t="shared" ca="1" si="0"/>
        <v>0</v>
      </c>
      <c r="AA9" s="97"/>
      <c r="AB9" s="110" t="e">
        <f t="shared" ca="1" si="1"/>
        <v>#DIV/0!</v>
      </c>
      <c r="AC9" s="98"/>
      <c r="AD9" s="99"/>
      <c r="AE9" s="100" t="s">
        <v>67</v>
      </c>
      <c r="AF9" s="100" t="s">
        <v>92</v>
      </c>
      <c r="AG9" s="79"/>
      <c r="AH9" s="117" t="s">
        <v>93</v>
      </c>
      <c r="AI9" s="79" t="e">
        <f ca="1">SUM(X132:X175)+(X120+X127+X128+X130+X131+X185+X186+X187+X188+X189+X190+X191+X195+X196+X197+X198+X199+X200+X213+X214+X215+X216+X217+X218+X219+X220+X221+X222+X223+X225+X226+X227+X229+X230+X231+X232+X233+X101+X114+X224+X129)-(X157+X158+X159)</f>
        <v>#DIV/0!</v>
      </c>
      <c r="AJ9" s="80" t="s">
        <v>89</v>
      </c>
      <c r="AK9" s="79"/>
      <c r="AL9" s="121" t="s">
        <v>67</v>
      </c>
      <c r="AM9" s="122">
        <v>652990</v>
      </c>
      <c r="AN9" s="123" t="s">
        <v>54</v>
      </c>
      <c r="AO9" s="124" t="e">
        <f t="shared" ca="1" si="2"/>
        <v>#DIV/0!</v>
      </c>
      <c r="AP9" s="125"/>
      <c r="AQ9" s="126"/>
      <c r="AR9" s="127" t="str">
        <f t="shared" si="3"/>
        <v xml:space="preserve"> ตู้ ATM กสิกร</v>
      </c>
      <c r="AS9" s="127" t="str">
        <f t="shared" si="5"/>
        <v>0450-40031</v>
      </c>
      <c r="AT9" s="126"/>
      <c r="AU9" s="128">
        <f t="shared" ca="1" si="4"/>
        <v>0</v>
      </c>
      <c r="AV9" s="126" t="s">
        <v>1</v>
      </c>
      <c r="AW9" s="7" t="s">
        <v>70</v>
      </c>
      <c r="BA9" s="48" t="s">
        <v>73</v>
      </c>
      <c r="BB9" s="48" t="s">
        <v>94</v>
      </c>
      <c r="BC9" s="48"/>
      <c r="BD9" s="48" t="s">
        <v>75</v>
      </c>
      <c r="BE9" s="113">
        <f ca="1">X14</f>
        <v>0</v>
      </c>
      <c r="BF9" s="113"/>
      <c r="BG9" s="113"/>
      <c r="BH9" s="113">
        <f ca="1">Z14</f>
        <v>0</v>
      </c>
      <c r="BI9" s="113"/>
    </row>
    <row r="10" spans="1:64" ht="15" customHeight="1">
      <c r="A10" s="664" t="s">
        <v>95</v>
      </c>
      <c r="B10" s="595"/>
      <c r="C10" s="595"/>
      <c r="D10" s="595"/>
      <c r="E10" s="595"/>
      <c r="F10" s="595"/>
      <c r="G10" s="595"/>
      <c r="H10" s="672"/>
      <c r="I10" s="665"/>
      <c r="J10" s="675"/>
      <c r="K10" s="568"/>
      <c r="L10" s="312"/>
      <c r="M10" s="570">
        <v>22</v>
      </c>
      <c r="N10" s="669">
        <v>29</v>
      </c>
      <c r="O10" s="669">
        <v>40</v>
      </c>
      <c r="P10" s="570"/>
      <c r="Q10" s="563"/>
      <c r="R10" s="569" t="e">
        <f ca="1">K9</f>
        <v>#DIV/0!</v>
      </c>
      <c r="S10" s="114" t="s">
        <v>83</v>
      </c>
      <c r="T10" s="115" t="s">
        <v>84</v>
      </c>
      <c r="U10" s="118" t="s">
        <v>79</v>
      </c>
      <c r="V10" s="109" t="s">
        <v>90</v>
      </c>
      <c r="W10" s="119" t="s">
        <v>81</v>
      </c>
      <c r="X10" s="96">
        <f>R115</f>
        <v>85</v>
      </c>
      <c r="Y10" s="96"/>
      <c r="Z10" s="120">
        <f>X10</f>
        <v>85</v>
      </c>
      <c r="AA10" s="97"/>
      <c r="AB10" s="110" t="e">
        <f t="shared" ca="1" si="1"/>
        <v>#DIV/0!</v>
      </c>
      <c r="AC10" s="98"/>
      <c r="AD10" s="99"/>
      <c r="AE10" s="100" t="s">
        <v>67</v>
      </c>
      <c r="AF10" s="100" t="s">
        <v>92</v>
      </c>
      <c r="AG10" s="79"/>
      <c r="AH10" s="80" t="s">
        <v>78</v>
      </c>
      <c r="AI10" s="79" t="e">
        <f ca="1">AI8+AI9</f>
        <v>#DIV/0!</v>
      </c>
      <c r="AJ10" s="80" t="s">
        <v>89</v>
      </c>
      <c r="AL10" s="121" t="s">
        <v>67</v>
      </c>
      <c r="AM10" s="122">
        <v>652990</v>
      </c>
      <c r="AN10" s="123" t="s">
        <v>54</v>
      </c>
      <c r="AO10" s="124" t="e">
        <f t="shared" ca="1" si="2"/>
        <v>#DIV/0!</v>
      </c>
      <c r="AP10" s="125"/>
      <c r="AQ10" s="126"/>
      <c r="AR10" s="127" t="str">
        <f t="shared" si="3"/>
        <v xml:space="preserve"> ตู้ ATM กรุงศรี</v>
      </c>
      <c r="AS10" s="127" t="str">
        <f t="shared" si="5"/>
        <v>0450-40031</v>
      </c>
      <c r="AT10" s="126"/>
      <c r="AU10" s="128">
        <f t="shared" si="4"/>
        <v>85</v>
      </c>
      <c r="AV10" s="126" t="s">
        <v>1</v>
      </c>
      <c r="AW10" s="7" t="s">
        <v>70</v>
      </c>
      <c r="BA10" s="48" t="s">
        <v>73</v>
      </c>
      <c r="BB10" s="48" t="s">
        <v>96</v>
      </c>
      <c r="BC10" s="48"/>
      <c r="BD10" s="48" t="s">
        <v>75</v>
      </c>
      <c r="BE10" s="113" t="e">
        <f ca="1">X15</f>
        <v>#DIV/0!</v>
      </c>
      <c r="BF10" s="113"/>
      <c r="BG10" s="113"/>
      <c r="BH10" s="113" t="e">
        <f ca="1">Z15</f>
        <v>#DIV/0!</v>
      </c>
      <c r="BI10" s="113"/>
    </row>
    <row r="11" spans="1:64" ht="15" customHeight="1">
      <c r="A11" s="664"/>
      <c r="B11" s="595"/>
      <c r="C11" s="595"/>
      <c r="D11" s="595"/>
      <c r="E11" s="595"/>
      <c r="F11" s="595"/>
      <c r="G11" s="595"/>
      <c r="H11" s="672"/>
      <c r="I11" s="665"/>
      <c r="J11" s="673"/>
      <c r="K11" s="568"/>
      <c r="L11" s="312"/>
      <c r="M11" s="676"/>
      <c r="N11" s="669"/>
      <c r="O11" s="669"/>
      <c r="P11" s="568"/>
      <c r="Q11" s="563"/>
      <c r="R11" s="569"/>
      <c r="S11" s="69"/>
      <c r="T11" s="69"/>
      <c r="U11" s="116" t="s">
        <v>85</v>
      </c>
      <c r="V11" s="109" t="s">
        <v>97</v>
      </c>
      <c r="W11" s="95" t="s">
        <v>67</v>
      </c>
      <c r="X11" s="96">
        <f ca="1">R304</f>
        <v>0</v>
      </c>
      <c r="Y11" s="96"/>
      <c r="Z11" s="96">
        <f t="shared" ca="1" si="0"/>
        <v>0</v>
      </c>
      <c r="AA11" s="97"/>
      <c r="AB11" s="110" t="e">
        <f t="shared" ca="1" si="1"/>
        <v>#DIV/0!</v>
      </c>
      <c r="AC11" s="98"/>
      <c r="AD11" s="99"/>
      <c r="AE11" s="100" t="s">
        <v>67</v>
      </c>
      <c r="AF11" s="100" t="s">
        <v>87</v>
      </c>
      <c r="AG11" s="79"/>
      <c r="AK11" s="79"/>
      <c r="AL11" s="13" t="s">
        <v>67</v>
      </c>
      <c r="AM11" s="102">
        <v>641110</v>
      </c>
      <c r="AN11" s="103" t="s">
        <v>54</v>
      </c>
      <c r="AO11" s="104" t="e">
        <f t="shared" ca="1" si="2"/>
        <v>#DIV/0!</v>
      </c>
      <c r="AP11" s="49"/>
      <c r="AR11" s="112" t="str">
        <f t="shared" si="3"/>
        <v xml:space="preserve"> โรงซักผ้า</v>
      </c>
      <c r="AS11" s="112" t="str">
        <f t="shared" si="5"/>
        <v>0450-40054</v>
      </c>
      <c r="AU11" s="108">
        <f t="shared" ca="1" si="4"/>
        <v>0</v>
      </c>
      <c r="AV11" s="7" t="s">
        <v>1</v>
      </c>
      <c r="AW11" s="7" t="s">
        <v>70</v>
      </c>
      <c r="BA11" s="48" t="s">
        <v>98</v>
      </c>
      <c r="BB11" s="48" t="s">
        <v>99</v>
      </c>
      <c r="BC11" s="48"/>
      <c r="BD11" s="48" t="s">
        <v>75</v>
      </c>
      <c r="BE11" s="113" t="e">
        <f ca="1">X19</f>
        <v>#DIV/0!</v>
      </c>
      <c r="BF11" s="113"/>
      <c r="BG11" s="113"/>
      <c r="BH11" s="113" t="e">
        <f ca="1">Z19</f>
        <v>#DIV/0!</v>
      </c>
      <c r="BI11" s="113"/>
    </row>
    <row r="12" spans="1:64" ht="15" customHeight="1">
      <c r="A12" s="664" t="s">
        <v>100</v>
      </c>
      <c r="B12" s="595" t="s">
        <v>101</v>
      </c>
      <c r="C12" s="598">
        <v>1</v>
      </c>
      <c r="D12" s="595" t="s">
        <v>47</v>
      </c>
      <c r="E12" s="595"/>
      <c r="F12" s="595" t="s">
        <v>48</v>
      </c>
      <c r="G12" s="595" t="s">
        <v>49</v>
      </c>
      <c r="H12" s="665" cm="1">
        <f t="array" aca="1" ref="H12" ca="1">IFERROR(
    INDIRECT(
        "RawData!" &amp;
        ADDRESS(
            2,
            MATCH(
                TRIM(MID(A12, SEARCH(". ", A12) + 2, LEN(A12))) &amp; ".Import_kWh",
                RawData!$1:$1,
                0
            ),
            4
        )
    ),
    0
)</f>
        <v>0</v>
      </c>
      <c r="I12" s="665" cm="1">
        <f t="array" aca="1" ref="I12" ca="1">IFERROR(
    INDIRECT(
        "RawData!" &amp;
        ADDRESS(
            COUNTA(RawData!A:A),
            MATCH(
                TRIM(MID(A12, SEARCH(". ", A12) + 2, LEN(A12))) &amp; ".Import_kWh",
                RawData!$1:$1,
                0
            ),
            4
        )
    ),
    0
)</f>
        <v>0</v>
      </c>
      <c r="J12" s="666">
        <f ca="1">(I12-H12)*C12</f>
        <v>0</v>
      </c>
      <c r="K12" s="667" t="e">
        <f ca="1">J12*K$6/(J$7+J$9+J$12+J$21)</f>
        <v>#DIV/0!</v>
      </c>
      <c r="L12" s="312" t="e">
        <f ca="1">K12/J12</f>
        <v>#DIV/0!</v>
      </c>
      <c r="M12" s="668" t="e">
        <f ca="1">R13+R14+R15+R16+R17+R18+R19</f>
        <v>#DIV/0!</v>
      </c>
      <c r="N12" s="669"/>
      <c r="O12" s="669"/>
      <c r="P12" s="570"/>
      <c r="Q12" s="670"/>
      <c r="R12" s="569"/>
      <c r="S12" s="69"/>
      <c r="T12" s="69"/>
      <c r="U12" s="116" t="s">
        <v>85</v>
      </c>
      <c r="V12" s="109" t="s">
        <v>102</v>
      </c>
      <c r="W12" s="95" t="s">
        <v>67</v>
      </c>
      <c r="X12" s="96">
        <f ca="1">R301+R302</f>
        <v>0</v>
      </c>
      <c r="Y12" s="96"/>
      <c r="Z12" s="120">
        <f t="shared" ca="1" si="0"/>
        <v>0</v>
      </c>
      <c r="AA12" s="97"/>
      <c r="AB12" s="110" t="e">
        <f t="shared" ca="1" si="1"/>
        <v>#DIV/0!</v>
      </c>
      <c r="AC12" s="98"/>
      <c r="AD12" s="99"/>
      <c r="AE12" s="100" t="s">
        <v>67</v>
      </c>
      <c r="AF12" s="100" t="s">
        <v>87</v>
      </c>
      <c r="AG12" s="79"/>
      <c r="AI12" s="49"/>
      <c r="AK12" s="79"/>
      <c r="AL12" s="13" t="s">
        <v>67</v>
      </c>
      <c r="AM12" s="102">
        <v>641110</v>
      </c>
      <c r="AN12" s="103" t="s">
        <v>54</v>
      </c>
      <c r="AO12" s="104" t="e">
        <f t="shared" ca="1" si="2"/>
        <v>#DIV/0!</v>
      </c>
      <c r="AP12" s="49"/>
      <c r="AR12" s="112" t="str">
        <f t="shared" si="3"/>
        <v xml:space="preserve"> อาคาร LOCKER</v>
      </c>
      <c r="AS12" s="112" t="str">
        <f t="shared" si="5"/>
        <v>0450-40054</v>
      </c>
      <c r="AU12" s="108">
        <f t="shared" ca="1" si="4"/>
        <v>0</v>
      </c>
      <c r="AV12" s="7" t="s">
        <v>1</v>
      </c>
      <c r="AW12" s="7" t="s">
        <v>70</v>
      </c>
      <c r="BA12" s="48" t="s">
        <v>98</v>
      </c>
      <c r="BB12" s="48" t="s">
        <v>103</v>
      </c>
      <c r="BC12" s="48"/>
      <c r="BD12" s="48" t="s">
        <v>75</v>
      </c>
      <c r="BE12" s="113" t="e">
        <f ca="1">X20</f>
        <v>#DIV/0!</v>
      </c>
      <c r="BF12" s="113"/>
      <c r="BG12" s="113"/>
      <c r="BH12" s="113" t="e">
        <f ca="1">Z20</f>
        <v>#DIV/0!</v>
      </c>
      <c r="BI12" s="113"/>
    </row>
    <row r="13" spans="1:64" ht="15" customHeight="1">
      <c r="A13" s="664" t="s">
        <v>104</v>
      </c>
      <c r="B13" s="595"/>
      <c r="C13" s="598"/>
      <c r="D13" s="598"/>
      <c r="E13" s="598"/>
      <c r="F13" s="598"/>
      <c r="G13" s="598"/>
      <c r="H13" s="594"/>
      <c r="I13" s="594"/>
      <c r="J13" s="673"/>
      <c r="K13" s="568"/>
      <c r="L13" s="312"/>
      <c r="M13" s="570">
        <f>13.6+13.6</f>
        <v>27.2</v>
      </c>
      <c r="N13" s="669">
        <v>23</v>
      </c>
      <c r="O13" s="669">
        <v>34</v>
      </c>
      <c r="P13" s="570">
        <f t="shared" ref="P13:P19" si="6">M13*O13</f>
        <v>924.8</v>
      </c>
      <c r="Q13" s="563">
        <f>P13/(P$13+P$14+P$15+P$16+P$17+P$18+P$19)</f>
        <v>0.16147224695755416</v>
      </c>
      <c r="R13" s="569" t="e">
        <f ca="1">Q13*K$12</f>
        <v>#DIV/0!</v>
      </c>
      <c r="S13" s="114" t="s">
        <v>105</v>
      </c>
      <c r="T13" s="115" t="s">
        <v>106</v>
      </c>
      <c r="U13" s="116" t="s">
        <v>85</v>
      </c>
      <c r="V13" s="94" t="s">
        <v>107</v>
      </c>
      <c r="W13" s="95" t="s">
        <v>67</v>
      </c>
      <c r="X13" s="96">
        <f ca="1">R74+R76</f>
        <v>-250</v>
      </c>
      <c r="Y13" s="96"/>
      <c r="Z13" s="120">
        <f t="shared" ca="1" si="0"/>
        <v>-250</v>
      </c>
      <c r="AA13" s="97"/>
      <c r="AB13" s="129" t="e">
        <f t="shared" ca="1" si="1"/>
        <v>#DIV/0!</v>
      </c>
      <c r="AC13" s="98"/>
      <c r="AD13" s="99"/>
      <c r="AE13" s="100" t="s">
        <v>67</v>
      </c>
      <c r="AF13" s="100" t="s">
        <v>87</v>
      </c>
      <c r="AG13" s="79"/>
      <c r="AH13" s="130"/>
      <c r="AK13" s="79"/>
      <c r="AL13" s="13" t="s">
        <v>67</v>
      </c>
      <c r="AM13" s="102">
        <v>641110</v>
      </c>
      <c r="AN13" s="103" t="s">
        <v>54</v>
      </c>
      <c r="AO13" s="104" t="e">
        <f t="shared" ca="1" si="2"/>
        <v>#DIV/0!</v>
      </c>
      <c r="AP13" s="49"/>
      <c r="AR13" s="112" t="str">
        <f t="shared" si="3"/>
        <v xml:space="preserve"> ห้องประชุม,ห้องแม่บ้าน อาคาร ME</v>
      </c>
      <c r="AS13" s="112" t="str">
        <f t="shared" si="5"/>
        <v>0450-40054</v>
      </c>
      <c r="AU13" s="108">
        <f t="shared" ca="1" si="4"/>
        <v>-250</v>
      </c>
      <c r="AV13" s="7" t="s">
        <v>1</v>
      </c>
      <c r="AW13" s="7" t="s">
        <v>70</v>
      </c>
      <c r="BA13" s="48" t="s">
        <v>98</v>
      </c>
      <c r="BB13" s="48" t="s">
        <v>108</v>
      </c>
      <c r="BC13" s="48"/>
      <c r="BD13" s="48" t="s">
        <v>75</v>
      </c>
      <c r="BE13" s="113">
        <f ca="1">X21</f>
        <v>0</v>
      </c>
      <c r="BF13" s="113"/>
      <c r="BG13" s="113"/>
      <c r="BH13" s="113">
        <f ca="1">Z21</f>
        <v>0</v>
      </c>
      <c r="BI13" s="113"/>
    </row>
    <row r="14" spans="1:64" ht="15" customHeight="1">
      <c r="A14" s="664" t="s">
        <v>109</v>
      </c>
      <c r="B14" s="595"/>
      <c r="C14" s="595"/>
      <c r="D14" s="595"/>
      <c r="E14" s="595"/>
      <c r="F14" s="595"/>
      <c r="G14" s="595"/>
      <c r="H14" s="594"/>
      <c r="I14" s="594"/>
      <c r="J14" s="675"/>
      <c r="K14" s="568"/>
      <c r="L14" s="312"/>
      <c r="M14" s="570">
        <v>21.25</v>
      </c>
      <c r="N14" s="669">
        <v>28</v>
      </c>
      <c r="O14" s="669">
        <v>36</v>
      </c>
      <c r="P14" s="570">
        <f t="shared" si="6"/>
        <v>765</v>
      </c>
      <c r="Q14" s="563">
        <f t="shared" ref="Q14:Q19" si="7">P14/(P$13+P$14+P$15+P$16+P$17+P$18+P$19)</f>
        <v>0.13357079252003562</v>
      </c>
      <c r="R14" s="569" t="e">
        <f t="shared" ref="R14:R19" ca="1" si="8">Q14*K$12</f>
        <v>#DIV/0!</v>
      </c>
      <c r="S14" s="114" t="s">
        <v>110</v>
      </c>
      <c r="T14" s="115" t="s">
        <v>111</v>
      </c>
      <c r="U14" s="131" t="s">
        <v>73</v>
      </c>
      <c r="V14" s="132" t="s">
        <v>94</v>
      </c>
      <c r="W14" s="133" t="s">
        <v>75</v>
      </c>
      <c r="X14" s="134">
        <f ca="1">R92</f>
        <v>0</v>
      </c>
      <c r="Y14" s="134"/>
      <c r="Z14" s="134">
        <f t="shared" ca="1" si="0"/>
        <v>0</v>
      </c>
      <c r="AA14" s="135"/>
      <c r="AB14" s="110" t="e">
        <f t="shared" ca="1" si="1"/>
        <v>#DIV/0!</v>
      </c>
      <c r="AC14" s="136"/>
      <c r="AD14" s="137"/>
      <c r="AE14" s="100" t="s">
        <v>76</v>
      </c>
      <c r="AF14" s="100" t="s">
        <v>77</v>
      </c>
      <c r="AG14" s="79"/>
      <c r="AH14" s="130"/>
      <c r="AK14" s="79"/>
      <c r="AL14" s="13" t="s">
        <v>76</v>
      </c>
      <c r="AM14" s="102">
        <v>552003</v>
      </c>
      <c r="AN14" s="103" t="s">
        <v>54</v>
      </c>
      <c r="AO14" s="104" t="e">
        <f t="shared" ca="1" si="2"/>
        <v>#DIV/0!</v>
      </c>
      <c r="AP14" s="49"/>
      <c r="AR14" s="112" t="str">
        <f t="shared" si="3"/>
        <v xml:space="preserve"> ไฟแสงจันทร์ อาคารเครื่องมือกล 1</v>
      </c>
      <c r="AS14" s="112" t="str">
        <f t="shared" si="5"/>
        <v>0451-03500</v>
      </c>
      <c r="AU14" s="108">
        <f t="shared" ca="1" si="4"/>
        <v>0</v>
      </c>
      <c r="AV14" s="7" t="s">
        <v>1</v>
      </c>
      <c r="AW14" s="7" t="s">
        <v>70</v>
      </c>
      <c r="BA14" s="48" t="s">
        <v>73</v>
      </c>
      <c r="BB14" s="48" t="s">
        <v>112</v>
      </c>
      <c r="BC14" s="48"/>
      <c r="BD14" s="48" t="s">
        <v>75</v>
      </c>
      <c r="BE14" s="113" t="e">
        <f ca="1">X25</f>
        <v>#DIV/0!</v>
      </c>
      <c r="BF14" s="113"/>
      <c r="BG14" s="113"/>
      <c r="BH14" s="113" t="e">
        <f ca="1">Z25</f>
        <v>#DIV/0!</v>
      </c>
      <c r="BI14" s="113"/>
    </row>
    <row r="15" spans="1:64" ht="15" customHeight="1">
      <c r="A15" s="664" t="s">
        <v>113</v>
      </c>
      <c r="B15" s="595"/>
      <c r="C15" s="595"/>
      <c r="D15" s="595"/>
      <c r="E15" s="595"/>
      <c r="F15" s="595"/>
      <c r="G15" s="595"/>
      <c r="H15" s="594"/>
      <c r="I15" s="594"/>
      <c r="J15" s="675"/>
      <c r="K15" s="568"/>
      <c r="L15" s="312"/>
      <c r="M15" s="570">
        <v>21.25</v>
      </c>
      <c r="N15" s="669">
        <v>28</v>
      </c>
      <c r="O15" s="669">
        <v>38</v>
      </c>
      <c r="P15" s="570">
        <f t="shared" si="6"/>
        <v>807.5</v>
      </c>
      <c r="Q15" s="563">
        <f t="shared" si="7"/>
        <v>0.14099139210448203</v>
      </c>
      <c r="R15" s="569" t="e">
        <f t="shared" ca="1" si="8"/>
        <v>#DIV/0!</v>
      </c>
      <c r="S15" s="114" t="s">
        <v>110</v>
      </c>
      <c r="T15" s="115" t="s">
        <v>111</v>
      </c>
      <c r="U15" s="138" t="s">
        <v>73</v>
      </c>
      <c r="V15" s="139" t="s">
        <v>96</v>
      </c>
      <c r="W15" s="140" t="s">
        <v>75</v>
      </c>
      <c r="X15" s="141" t="e">
        <f ca="1">R184+R146+R145</f>
        <v>#DIV/0!</v>
      </c>
      <c r="Y15" s="142"/>
      <c r="Z15" s="141" t="e">
        <f t="shared" ca="1" si="0"/>
        <v>#DIV/0!</v>
      </c>
      <c r="AA15" s="143" t="e">
        <f ca="1">X14+X15</f>
        <v>#DIV/0!</v>
      </c>
      <c r="AB15" s="129" t="e">
        <f t="shared" ca="1" si="1"/>
        <v>#DIV/0!</v>
      </c>
      <c r="AC15" s="144" t="e">
        <f ca="1">AB14+AB15</f>
        <v>#DIV/0!</v>
      </c>
      <c r="AD15" s="145"/>
      <c r="AE15" s="100" t="s">
        <v>76</v>
      </c>
      <c r="AF15" s="100" t="s">
        <v>114</v>
      </c>
      <c r="AG15" s="79"/>
      <c r="AH15" s="130" t="s">
        <v>115</v>
      </c>
      <c r="AI15" s="146" t="e">
        <f ca="1">AI5+AI6</f>
        <v>#DIV/0!</v>
      </c>
      <c r="AJ15" s="147" t="s">
        <v>116</v>
      </c>
      <c r="AL15" s="13" t="s">
        <v>76</v>
      </c>
      <c r="AM15" s="102">
        <v>552003</v>
      </c>
      <c r="AN15" s="103" t="s">
        <v>54</v>
      </c>
      <c r="AO15" s="104" t="e">
        <f t="shared" ca="1" si="2"/>
        <v>#DIV/0!</v>
      </c>
      <c r="AP15" s="49"/>
      <c r="AR15" s="112" t="str">
        <f t="shared" si="3"/>
        <v xml:space="preserve"> ระบบไฟฟ้าอาคาร คก.2</v>
      </c>
      <c r="AS15" s="112" t="str">
        <f t="shared" si="5"/>
        <v>0451-03500</v>
      </c>
      <c r="AU15" s="108" t="e">
        <f t="shared" ca="1" si="4"/>
        <v>#DIV/0!</v>
      </c>
      <c r="AV15" s="7" t="s">
        <v>1</v>
      </c>
      <c r="AW15" s="7" t="s">
        <v>70</v>
      </c>
      <c r="BA15" s="48" t="s">
        <v>117</v>
      </c>
      <c r="BB15" s="48" t="s">
        <v>118</v>
      </c>
      <c r="BC15" s="48"/>
      <c r="BD15" s="48" t="s">
        <v>75</v>
      </c>
      <c r="BE15" s="113">
        <v>0</v>
      </c>
      <c r="BF15" s="113"/>
      <c r="BG15" s="113"/>
      <c r="BH15" s="113">
        <v>0</v>
      </c>
      <c r="BI15" s="113"/>
    </row>
    <row r="16" spans="1:64" ht="15" customHeight="1">
      <c r="A16" s="664" t="s">
        <v>119</v>
      </c>
      <c r="B16" s="595"/>
      <c r="C16" s="595"/>
      <c r="D16" s="595"/>
      <c r="E16" s="595"/>
      <c r="F16" s="595"/>
      <c r="G16" s="595"/>
      <c r="H16" s="594"/>
      <c r="I16" s="594"/>
      <c r="J16" s="675"/>
      <c r="K16" s="568"/>
      <c r="L16" s="312"/>
      <c r="M16" s="570">
        <v>21.25</v>
      </c>
      <c r="N16" s="669">
        <v>26</v>
      </c>
      <c r="O16" s="669">
        <v>38</v>
      </c>
      <c r="P16" s="570">
        <f t="shared" si="6"/>
        <v>807.5</v>
      </c>
      <c r="Q16" s="563">
        <f t="shared" si="7"/>
        <v>0.14099139210448203</v>
      </c>
      <c r="R16" s="569" t="e">
        <f t="shared" ca="1" si="8"/>
        <v>#DIV/0!</v>
      </c>
      <c r="S16" s="114" t="s">
        <v>110</v>
      </c>
      <c r="T16" s="115" t="s">
        <v>111</v>
      </c>
      <c r="U16" s="116" t="s">
        <v>120</v>
      </c>
      <c r="V16" s="109" t="s">
        <v>121</v>
      </c>
      <c r="W16" s="95" t="s">
        <v>75</v>
      </c>
      <c r="X16" s="96">
        <f ca="1">R392</f>
        <v>0</v>
      </c>
      <c r="Y16" s="96"/>
      <c r="Z16" s="96">
        <f t="shared" ca="1" si="0"/>
        <v>0</v>
      </c>
      <c r="AA16" s="97"/>
      <c r="AB16" s="110" t="e">
        <f t="shared" ca="1" si="1"/>
        <v>#DIV/0!</v>
      </c>
      <c r="AC16" s="98"/>
      <c r="AD16" s="99"/>
      <c r="AE16" s="100" t="s">
        <v>76</v>
      </c>
      <c r="AF16" s="100" t="s">
        <v>122</v>
      </c>
      <c r="AG16" s="79"/>
      <c r="AH16" s="130" t="s">
        <v>123</v>
      </c>
      <c r="AI16" s="148" t="e">
        <f ca="1">SUM(X61:X83)</f>
        <v>#DIV/0!</v>
      </c>
      <c r="AJ16" s="146" t="e">
        <f ca="1">SUM(Z61:Z83)</f>
        <v>#DIV/0!</v>
      </c>
      <c r="AL16" s="13" t="s">
        <v>76</v>
      </c>
      <c r="AM16" s="102">
        <v>552003</v>
      </c>
      <c r="AN16" s="103" t="s">
        <v>54</v>
      </c>
      <c r="AO16" s="104" t="e">
        <f t="shared" ca="1" si="2"/>
        <v>#DIV/0!</v>
      </c>
      <c r="AP16" s="49"/>
      <c r="AR16" s="112" t="str">
        <f t="shared" si="3"/>
        <v xml:space="preserve"> ส.Maint&amp;Kaizen (WORK SHOP KAIZEN)</v>
      </c>
      <c r="AS16" s="112" t="str">
        <f t="shared" si="5"/>
        <v>0451-02300</v>
      </c>
      <c r="AU16" s="108">
        <f t="shared" ca="1" si="4"/>
        <v>0</v>
      </c>
      <c r="AV16" s="7" t="s">
        <v>1</v>
      </c>
      <c r="AW16" s="7" t="s">
        <v>70</v>
      </c>
      <c r="BA16" s="48" t="s">
        <v>117</v>
      </c>
      <c r="BB16" s="48" t="s">
        <v>124</v>
      </c>
      <c r="BC16" s="48"/>
      <c r="BD16" s="48" t="s">
        <v>75</v>
      </c>
      <c r="BE16" s="113">
        <v>0</v>
      </c>
      <c r="BF16" s="113"/>
      <c r="BG16" s="113"/>
      <c r="BH16" s="113">
        <v>0</v>
      </c>
      <c r="BI16" s="113"/>
    </row>
    <row r="17" spans="1:61" ht="15" customHeight="1">
      <c r="A17" s="664" t="s">
        <v>125</v>
      </c>
      <c r="B17" s="595"/>
      <c r="C17" s="595"/>
      <c r="D17" s="595"/>
      <c r="E17" s="595"/>
      <c r="F17" s="595"/>
      <c r="G17" s="595"/>
      <c r="H17" s="594"/>
      <c r="I17" s="594"/>
      <c r="J17" s="675"/>
      <c r="K17" s="568"/>
      <c r="L17" s="312"/>
      <c r="M17" s="570">
        <v>21.25</v>
      </c>
      <c r="N17" s="669">
        <v>27</v>
      </c>
      <c r="O17" s="669">
        <v>38</v>
      </c>
      <c r="P17" s="570">
        <f t="shared" si="6"/>
        <v>807.5</v>
      </c>
      <c r="Q17" s="563">
        <f t="shared" si="7"/>
        <v>0.14099139210448203</v>
      </c>
      <c r="R17" s="569" t="e">
        <f t="shared" ca="1" si="8"/>
        <v>#DIV/0!</v>
      </c>
      <c r="S17" s="114" t="s">
        <v>110</v>
      </c>
      <c r="T17" s="115" t="s">
        <v>111</v>
      </c>
      <c r="U17" s="93" t="s">
        <v>126</v>
      </c>
      <c r="V17" s="109" t="s">
        <v>127</v>
      </c>
      <c r="W17" s="95" t="s">
        <v>75</v>
      </c>
      <c r="X17" s="96" t="e">
        <f ca="1">R211+R158+R155</f>
        <v>#DIV/0!</v>
      </c>
      <c r="Y17" s="149"/>
      <c r="Z17" s="96" t="e">
        <f t="shared" ca="1" si="0"/>
        <v>#DIV/0!</v>
      </c>
      <c r="AA17" s="97"/>
      <c r="AB17" s="110" t="e">
        <f t="shared" ca="1" si="1"/>
        <v>#DIV/0!</v>
      </c>
      <c r="AC17" s="150"/>
      <c r="AD17" s="99"/>
      <c r="AE17" s="100" t="s">
        <v>76</v>
      </c>
      <c r="AF17" s="100" t="s">
        <v>128</v>
      </c>
      <c r="AH17" s="130" t="s">
        <v>129</v>
      </c>
      <c r="AI17" s="148" t="e">
        <f ca="1">SUM(X26:X60)+X89</f>
        <v>#DIV/0!</v>
      </c>
      <c r="AJ17" s="146" t="e">
        <f ca="1">SUM(Z26:Z60)+Z89</f>
        <v>#DIV/0!</v>
      </c>
      <c r="AL17" s="13" t="s">
        <v>76</v>
      </c>
      <c r="AM17" s="102">
        <v>552003</v>
      </c>
      <c r="AN17" s="103" t="s">
        <v>54</v>
      </c>
      <c r="AO17" s="104" t="e">
        <f t="shared" ca="1" si="2"/>
        <v>#DIV/0!</v>
      </c>
      <c r="AP17" s="49"/>
      <c r="AR17" s="112" t="str">
        <f t="shared" si="3"/>
        <v xml:space="preserve"> ส.ปค. (QA CENTER)</v>
      </c>
      <c r="AS17" s="112" t="str">
        <f t="shared" si="5"/>
        <v>0451-01100</v>
      </c>
      <c r="AU17" s="108" t="e">
        <f t="shared" ca="1" si="4"/>
        <v>#DIV/0!</v>
      </c>
      <c r="AV17" s="7" t="s">
        <v>1</v>
      </c>
      <c r="AW17" s="7" t="s">
        <v>70</v>
      </c>
      <c r="BA17" s="48" t="s">
        <v>130</v>
      </c>
      <c r="BB17" s="48" t="s">
        <v>131</v>
      </c>
      <c r="BC17" s="48"/>
      <c r="BD17" s="48" t="s">
        <v>92</v>
      </c>
      <c r="BE17" s="113">
        <v>0</v>
      </c>
      <c r="BF17" s="113"/>
      <c r="BG17" s="113">
        <v>0</v>
      </c>
      <c r="BH17" s="113">
        <v>0</v>
      </c>
      <c r="BI17" s="113"/>
    </row>
    <row r="18" spans="1:61" ht="15" customHeight="1">
      <c r="A18" s="664" t="s">
        <v>132</v>
      </c>
      <c r="B18" s="595"/>
      <c r="C18" s="595"/>
      <c r="D18" s="595"/>
      <c r="E18" s="595"/>
      <c r="F18" s="595"/>
      <c r="G18" s="595"/>
      <c r="H18" s="594"/>
      <c r="I18" s="594"/>
      <c r="J18" s="675"/>
      <c r="K18" s="568"/>
      <c r="L18" s="312"/>
      <c r="M18" s="570">
        <v>21.25</v>
      </c>
      <c r="N18" s="669">
        <v>28</v>
      </c>
      <c r="O18" s="669">
        <v>38</v>
      </c>
      <c r="P18" s="570">
        <f t="shared" si="6"/>
        <v>807.5</v>
      </c>
      <c r="Q18" s="563">
        <f t="shared" si="7"/>
        <v>0.14099139210448203</v>
      </c>
      <c r="R18" s="569" t="e">
        <f t="shared" ca="1" si="8"/>
        <v>#DIV/0!</v>
      </c>
      <c r="S18" s="114" t="s">
        <v>110</v>
      </c>
      <c r="T18" s="115" t="s">
        <v>111</v>
      </c>
      <c r="U18" s="93" t="s">
        <v>133</v>
      </c>
      <c r="V18" s="109" t="s">
        <v>134</v>
      </c>
      <c r="W18" s="95" t="s">
        <v>135</v>
      </c>
      <c r="X18" s="96">
        <v>0</v>
      </c>
      <c r="Y18" s="151"/>
      <c r="Z18" s="152">
        <f t="shared" si="0"/>
        <v>0</v>
      </c>
      <c r="AA18" s="97"/>
      <c r="AB18" s="110" t="e">
        <f t="shared" ca="1" si="1"/>
        <v>#DIV/0!</v>
      </c>
      <c r="AC18" s="150"/>
      <c r="AD18" s="99"/>
      <c r="AE18" s="100" t="s">
        <v>136</v>
      </c>
      <c r="AF18" s="100" t="s">
        <v>128</v>
      </c>
      <c r="AH18" s="130" t="s">
        <v>137</v>
      </c>
      <c r="AI18" s="148" t="e">
        <f ca="1">X163+X164+X166+X168+X169+X172+X176+X177+X178+X180+X187+X188+X189+X190+X195+X196</f>
        <v>#DIV/0!</v>
      </c>
      <c r="AJ18" s="153" t="e">
        <f ca="1">Z163+Z164+Z166+Z168+Z169+Z172+Z176+Z177+Z178+Z180+Z187+Z188+Z189+Z190+Z195+Z196</f>
        <v>#DIV/0!</v>
      </c>
      <c r="AL18" s="13" t="s">
        <v>136</v>
      </c>
      <c r="AM18" s="102">
        <v>552003</v>
      </c>
      <c r="AN18" s="103" t="s">
        <v>54</v>
      </c>
      <c r="AO18" s="104" t="e">
        <f t="shared" ca="1" si="2"/>
        <v>#DIV/0!</v>
      </c>
      <c r="AP18" s="49"/>
      <c r="AR18" s="112" t="str">
        <f t="shared" si="3"/>
        <v xml:space="preserve"> ห้อง Q-Gate AW EXPORT DC1</v>
      </c>
      <c r="AS18" s="112" t="str">
        <f t="shared" si="5"/>
        <v>0451-11500</v>
      </c>
      <c r="AU18" s="108">
        <f t="shared" si="4"/>
        <v>0</v>
      </c>
      <c r="AV18" s="7" t="s">
        <v>1</v>
      </c>
      <c r="AW18" s="7" t="s">
        <v>70</v>
      </c>
      <c r="BA18" s="48" t="s">
        <v>130</v>
      </c>
      <c r="BB18" s="48" t="s">
        <v>138</v>
      </c>
      <c r="BC18" s="48"/>
      <c r="BD18" s="48" t="s">
        <v>92</v>
      </c>
      <c r="BE18" s="113">
        <v>0</v>
      </c>
      <c r="BF18" s="113"/>
      <c r="BG18" s="113">
        <v>0</v>
      </c>
      <c r="BH18" s="113">
        <v>0</v>
      </c>
      <c r="BI18" s="113"/>
    </row>
    <row r="19" spans="1:61" ht="15" customHeight="1">
      <c r="A19" s="664" t="s">
        <v>139</v>
      </c>
      <c r="B19" s="595"/>
      <c r="C19" s="595"/>
      <c r="D19" s="595"/>
      <c r="E19" s="595"/>
      <c r="F19" s="595"/>
      <c r="G19" s="595"/>
      <c r="H19" s="672"/>
      <c r="I19" s="672"/>
      <c r="J19" s="675"/>
      <c r="K19" s="568"/>
      <c r="L19" s="312"/>
      <c r="M19" s="674">
        <v>21.25</v>
      </c>
      <c r="N19" s="669">
        <v>28</v>
      </c>
      <c r="O19" s="669">
        <v>38</v>
      </c>
      <c r="P19" s="570">
        <f t="shared" si="6"/>
        <v>807.5</v>
      </c>
      <c r="Q19" s="563">
        <f t="shared" si="7"/>
        <v>0.14099139210448203</v>
      </c>
      <c r="R19" s="569" t="e">
        <f t="shared" ca="1" si="8"/>
        <v>#DIV/0!</v>
      </c>
      <c r="S19" s="114" t="s">
        <v>110</v>
      </c>
      <c r="T19" s="115" t="s">
        <v>111</v>
      </c>
      <c r="U19" s="116" t="s">
        <v>98</v>
      </c>
      <c r="V19" s="109" t="s">
        <v>99</v>
      </c>
      <c r="W19" s="95" t="s">
        <v>75</v>
      </c>
      <c r="X19" s="96" t="e">
        <f ca="1">R187+R127</f>
        <v>#DIV/0!</v>
      </c>
      <c r="Y19" s="149"/>
      <c r="Z19" s="96" t="e">
        <f t="shared" ca="1" si="0"/>
        <v>#DIV/0!</v>
      </c>
      <c r="AA19" s="97"/>
      <c r="AB19" s="110" t="e">
        <f t="shared" ca="1" si="1"/>
        <v>#DIV/0!</v>
      </c>
      <c r="AC19" s="150"/>
      <c r="AD19" s="99"/>
      <c r="AE19" s="100" t="s">
        <v>76</v>
      </c>
      <c r="AF19" s="100" t="s">
        <v>140</v>
      </c>
      <c r="AH19" s="130" t="s">
        <v>141</v>
      </c>
      <c r="AI19" s="148" t="e">
        <f ca="1">SUM(X134:X142)+X147+X149+X150+X151+X152+X153+X154+X155+X156+X157+X158+X159+X160+X161+X162+X232</f>
        <v>#DIV/0!</v>
      </c>
      <c r="AJ19" s="153" t="e">
        <f ca="1">Z134+Z136+Z137+Z138+Z139+Z140+Z141+Z142+Z147+Z149+Z150+Z151+Z152+Z153+Z154+Z155+Z156+Z157+Z158+Z159+Z160+Z161+Z162+Z232</f>
        <v>#DIV/0!</v>
      </c>
      <c r="AL19" s="13" t="s">
        <v>76</v>
      </c>
      <c r="AM19" s="102">
        <v>552003</v>
      </c>
      <c r="AN19" s="103" t="s">
        <v>54</v>
      </c>
      <c r="AO19" s="104" t="e">
        <f t="shared" ca="1" si="2"/>
        <v>#DIV/0!</v>
      </c>
      <c r="AP19" s="49"/>
      <c r="AR19" s="112" t="str">
        <f t="shared" si="3"/>
        <v xml:space="preserve"> ส.จส.</v>
      </c>
      <c r="AS19" s="112" t="str">
        <f t="shared" si="5"/>
        <v>0451-01200</v>
      </c>
      <c r="AU19" s="108" t="e">
        <f t="shared" ca="1" si="4"/>
        <v>#DIV/0!</v>
      </c>
      <c r="AV19" s="7" t="s">
        <v>1</v>
      </c>
      <c r="AW19" s="7" t="s">
        <v>70</v>
      </c>
      <c r="BA19" s="48" t="s">
        <v>130</v>
      </c>
      <c r="BB19" s="48" t="s">
        <v>142</v>
      </c>
      <c r="BC19" s="48"/>
      <c r="BD19" s="48" t="s">
        <v>92</v>
      </c>
      <c r="BE19" s="113">
        <v>0</v>
      </c>
      <c r="BF19" s="113"/>
      <c r="BG19" s="113">
        <v>0</v>
      </c>
      <c r="BH19" s="113">
        <v>0</v>
      </c>
      <c r="BI19" s="113"/>
    </row>
    <row r="20" spans="1:61" ht="15" customHeight="1">
      <c r="A20" s="664"/>
      <c r="B20" s="595"/>
      <c r="C20" s="595"/>
      <c r="D20" s="595"/>
      <c r="E20" s="595"/>
      <c r="F20" s="595"/>
      <c r="G20" s="595"/>
      <c r="H20" s="672"/>
      <c r="I20" s="672"/>
      <c r="J20" s="675"/>
      <c r="K20" s="568"/>
      <c r="L20" s="312"/>
      <c r="M20" s="674"/>
      <c r="N20" s="669"/>
      <c r="O20" s="669"/>
      <c r="P20" s="570"/>
      <c r="Q20" s="563"/>
      <c r="R20" s="569"/>
      <c r="S20" s="114"/>
      <c r="T20" s="115"/>
      <c r="U20" s="116" t="s">
        <v>98</v>
      </c>
      <c r="V20" s="109" t="s">
        <v>103</v>
      </c>
      <c r="W20" s="95" t="s">
        <v>75</v>
      </c>
      <c r="X20" s="96" t="e">
        <f ca="1">R120</f>
        <v>#DIV/0!</v>
      </c>
      <c r="Y20" s="149"/>
      <c r="Z20" s="96" t="e">
        <f t="shared" ca="1" si="0"/>
        <v>#DIV/0!</v>
      </c>
      <c r="AA20" s="97"/>
      <c r="AB20" s="110" t="e">
        <f t="shared" ca="1" si="1"/>
        <v>#DIV/0!</v>
      </c>
      <c r="AC20" s="150"/>
      <c r="AD20" s="99"/>
      <c r="AE20" s="100" t="s">
        <v>76</v>
      </c>
      <c r="AF20" s="100" t="s">
        <v>140</v>
      </c>
      <c r="AH20" s="130" t="s">
        <v>143</v>
      </c>
      <c r="AI20" s="148" t="e">
        <f ca="1">X143+X144+X145+X146+X165+X167+X171+X173+X174+X175+X179+X181+X182+X185+X186+X191+X192+X193+X194+X197+X198+X199+X201+X202+X203+X233+X183</f>
        <v>#DIV/0!</v>
      </c>
      <c r="AJ20" s="148" t="e">
        <f ca="1">Z143+Z144+Z145+Z146+Z165+Z167+Z171+Z173+Z174+Z175+Z179+Z181+Z182+Z185+Z186+Z191+Z192+Z193+Z194+Z197+Z198+Z199+Z201+Z202+Z203+Z233+Z183</f>
        <v>#DIV/0!</v>
      </c>
      <c r="AK20" s="79"/>
      <c r="AL20" s="13" t="s">
        <v>76</v>
      </c>
      <c r="AM20" s="102">
        <v>552003</v>
      </c>
      <c r="AN20" s="103" t="s">
        <v>54</v>
      </c>
      <c r="AO20" s="104" t="e">
        <f t="shared" ca="1" si="2"/>
        <v>#DIV/0!</v>
      </c>
      <c r="AP20" s="49"/>
      <c r="AR20" s="112" t="str">
        <f t="shared" si="3"/>
        <v xml:space="preserve"> พัสดุ 1</v>
      </c>
      <c r="AS20" s="112" t="str">
        <f t="shared" si="5"/>
        <v>0451-01200</v>
      </c>
      <c r="AU20" s="108" t="e">
        <f t="shared" ca="1" si="4"/>
        <v>#DIV/0!</v>
      </c>
      <c r="AV20" s="7" t="s">
        <v>1</v>
      </c>
      <c r="AW20" s="7" t="s">
        <v>70</v>
      </c>
      <c r="BA20" s="154" t="s">
        <v>98</v>
      </c>
      <c r="BB20" s="154" t="s">
        <v>144</v>
      </c>
      <c r="BC20" s="154"/>
      <c r="BD20" s="154" t="s">
        <v>75</v>
      </c>
      <c r="BE20" s="155" t="e">
        <f ca="1">X125</f>
        <v>#DIV/0!</v>
      </c>
      <c r="BF20" s="1203" t="e">
        <f ca="1">SUM(BE20:BE24)</f>
        <v>#DIV/0!</v>
      </c>
      <c r="BG20" s="155"/>
      <c r="BH20" s="155" t="e">
        <f ca="1">Z125</f>
        <v>#DIV/0!</v>
      </c>
      <c r="BI20" s="1203" t="e">
        <f ca="1">SUM(BH20:BH24)</f>
        <v>#DIV/0!</v>
      </c>
    </row>
    <row r="21" spans="1:61" ht="15" customHeight="1">
      <c r="A21" s="664" t="s">
        <v>145</v>
      </c>
      <c r="B21" s="595" t="s">
        <v>101</v>
      </c>
      <c r="C21" s="595">
        <v>1</v>
      </c>
      <c r="D21" s="595" t="s">
        <v>47</v>
      </c>
      <c r="E21" s="595"/>
      <c r="F21" s="595" t="s">
        <v>48</v>
      </c>
      <c r="G21" s="595" t="s">
        <v>49</v>
      </c>
      <c r="H21" s="665" cm="1">
        <f t="array" aca="1" ref="H21" ca="1">IFERROR(
    INDIRECT(
        "RawData!" &amp;
        ADDRESS(
            2,
            MATCH(
                TRIM(MID(A21, SEARCH(". ", A21) + 2, LEN(A21))) &amp; ".Import_kWh",
                RawData!$1:$1,
                0
            ),
            4
        )
    ),
    0
)</f>
        <v>0</v>
      </c>
      <c r="I21" s="665" cm="1">
        <f t="array" aca="1" ref="I21" ca="1">IFERROR(
    INDIRECT(
        "RawData!" &amp;
        ADDRESS(
            COUNTA(RawData!A:A),
            MATCH(
                TRIM(MID(A21, SEARCH(". ", A21) + 2, LEN(A21))) &amp; ".Import_kWh",
                RawData!$1:$1,
                0
            ),
            4
        )
    ),
    0
)</f>
        <v>0</v>
      </c>
      <c r="J21" s="666">
        <f ca="1">(I21-H21)*C21</f>
        <v>0</v>
      </c>
      <c r="K21" s="667" t="e">
        <f ca="1">J21*K$6/(J$7+J$9+J$12+J$21)</f>
        <v>#DIV/0!</v>
      </c>
      <c r="L21" s="312" t="e">
        <f ca="1">K21/J21</f>
        <v>#DIV/0!</v>
      </c>
      <c r="M21" s="677" t="e">
        <f ca="1">R22</f>
        <v>#DIV/0!</v>
      </c>
      <c r="N21" s="669"/>
      <c r="O21" s="669"/>
      <c r="P21" s="570"/>
      <c r="Q21" s="563"/>
      <c r="R21" s="569"/>
      <c r="S21" s="69"/>
      <c r="T21" s="69"/>
      <c r="U21" s="116" t="s">
        <v>98</v>
      </c>
      <c r="V21" s="109" t="s">
        <v>108</v>
      </c>
      <c r="W21" s="95" t="s">
        <v>75</v>
      </c>
      <c r="X21" s="96">
        <f ca="1">R82</f>
        <v>0</v>
      </c>
      <c r="Y21" s="149"/>
      <c r="Z21" s="96">
        <f t="shared" ca="1" si="0"/>
        <v>0</v>
      </c>
      <c r="AA21" s="97"/>
      <c r="AB21" s="110" t="e">
        <f t="shared" ca="1" si="1"/>
        <v>#DIV/0!</v>
      </c>
      <c r="AC21" s="150"/>
      <c r="AD21" s="99"/>
      <c r="AE21" s="100" t="s">
        <v>76</v>
      </c>
      <c r="AF21" s="100" t="s">
        <v>140</v>
      </c>
      <c r="AH21" s="130" t="s">
        <v>146</v>
      </c>
      <c r="AI21" s="148" t="e">
        <f ca="1">X113+X114+X115+X204+X205+X206+X207+X208+X209+X210+X211+X213+X217+X218+X219+X220+X221+X222+X231</f>
        <v>#DIV/0!</v>
      </c>
      <c r="AJ21" s="148" t="e">
        <f ca="1">Z113+Z114+Z115+Z204+Z205+Z206+Z207+Z208+Z209+Z210+Z211+Z213+Z217+Z218+Z219+Z220+Z221+Z222+Z223+Z231</f>
        <v>#DIV/0!</v>
      </c>
      <c r="AL21" s="13" t="s">
        <v>76</v>
      </c>
      <c r="AM21" s="102">
        <v>552003</v>
      </c>
      <c r="AN21" s="103" t="s">
        <v>54</v>
      </c>
      <c r="AO21" s="104" t="e">
        <f t="shared" ca="1" si="2"/>
        <v>#DIV/0!</v>
      </c>
      <c r="AP21" s="49"/>
      <c r="AR21" s="112" t="str">
        <f t="shared" si="3"/>
        <v xml:space="preserve"> พัสดุ 2, ลานขยะ</v>
      </c>
      <c r="AS21" s="112" t="str">
        <f t="shared" si="5"/>
        <v>0451-01200</v>
      </c>
      <c r="AU21" s="108">
        <f t="shared" ca="1" si="4"/>
        <v>0</v>
      </c>
      <c r="AV21" s="7" t="s">
        <v>1</v>
      </c>
      <c r="AW21" s="7" t="s">
        <v>70</v>
      </c>
      <c r="BA21" s="154" t="s">
        <v>117</v>
      </c>
      <c r="BB21" s="154" t="s">
        <v>147</v>
      </c>
      <c r="BC21" s="154"/>
      <c r="BD21" s="154" t="s">
        <v>75</v>
      </c>
      <c r="BE21" s="155">
        <v>0</v>
      </c>
      <c r="BF21" s="1204"/>
      <c r="BG21" s="155"/>
      <c r="BH21" s="155">
        <v>0</v>
      </c>
      <c r="BI21" s="1204"/>
    </row>
    <row r="22" spans="1:61" ht="15" customHeight="1">
      <c r="A22" s="664" t="s">
        <v>148</v>
      </c>
      <c r="B22" s="595"/>
      <c r="C22" s="595"/>
      <c r="D22" s="595"/>
      <c r="E22" s="595"/>
      <c r="F22" s="595"/>
      <c r="G22" s="595"/>
      <c r="H22" s="672"/>
      <c r="I22" s="672"/>
      <c r="J22" s="675"/>
      <c r="K22" s="667"/>
      <c r="L22" s="312"/>
      <c r="M22" s="570">
        <f>148.4+24+24</f>
        <v>196.4</v>
      </c>
      <c r="N22" s="669">
        <v>27</v>
      </c>
      <c r="O22" s="669">
        <v>40</v>
      </c>
      <c r="P22" s="570">
        <f>M22*O22</f>
        <v>7856</v>
      </c>
      <c r="Q22" s="563">
        <f>P22/(P$22)</f>
        <v>1</v>
      </c>
      <c r="R22" s="569" t="e">
        <f ca="1">K$21*Q22</f>
        <v>#DIV/0!</v>
      </c>
      <c r="S22" s="114" t="s">
        <v>83</v>
      </c>
      <c r="T22" s="115" t="s">
        <v>84</v>
      </c>
      <c r="U22" s="116" t="s">
        <v>98</v>
      </c>
      <c r="V22" s="156" t="s">
        <v>149</v>
      </c>
      <c r="W22" s="157" t="s">
        <v>75</v>
      </c>
      <c r="X22" s="96" t="e">
        <f ca="1">R467+R387</f>
        <v>#DIV/0!</v>
      </c>
      <c r="Y22" s="149"/>
      <c r="Z22" s="96" t="e">
        <f ca="1">X22</f>
        <v>#DIV/0!</v>
      </c>
      <c r="AA22" s="97"/>
      <c r="AB22" s="110" t="e">
        <f t="shared" ca="1" si="1"/>
        <v>#DIV/0!</v>
      </c>
      <c r="AC22" s="150"/>
      <c r="AD22" s="99"/>
      <c r="AE22" s="100" t="s">
        <v>76</v>
      </c>
      <c r="AF22" s="100" t="s">
        <v>150</v>
      </c>
      <c r="AH22" s="130" t="s">
        <v>151</v>
      </c>
      <c r="AI22" s="148" t="e">
        <f ca="1">X109+X116+X117+X118+X128+X130+X131</f>
        <v>#DIV/0!</v>
      </c>
      <c r="AJ22" s="148" t="e">
        <f ca="1">Z109+Z116+Z117+Z118+Z128+Z130+Z131</f>
        <v>#DIV/0!</v>
      </c>
      <c r="AL22" s="13" t="s">
        <v>76</v>
      </c>
      <c r="AM22" s="102">
        <v>552003</v>
      </c>
      <c r="AN22" s="103" t="s">
        <v>54</v>
      </c>
      <c r="AO22" s="104" t="e">
        <f t="shared" ca="1" si="2"/>
        <v>#DIV/0!</v>
      </c>
      <c r="AP22" s="49"/>
      <c r="AR22" s="112" t="str">
        <f t="shared" si="3"/>
        <v xml:space="preserve"> อาคาร GC1 (พัสดุดูแล)</v>
      </c>
      <c r="AS22" s="112" t="str">
        <f t="shared" si="5"/>
        <v>0451-01200</v>
      </c>
      <c r="AU22" s="108" t="e">
        <f t="shared" ca="1" si="4"/>
        <v>#DIV/0!</v>
      </c>
      <c r="AV22" s="7" t="s">
        <v>1</v>
      </c>
      <c r="AW22" s="7" t="s">
        <v>70</v>
      </c>
      <c r="BA22" s="154" t="s">
        <v>117</v>
      </c>
      <c r="BB22" s="154" t="s">
        <v>152</v>
      </c>
      <c r="BC22" s="154"/>
      <c r="BD22" s="154" t="s">
        <v>75</v>
      </c>
      <c r="BE22" s="155">
        <v>0</v>
      </c>
      <c r="BF22" s="1204"/>
      <c r="BG22" s="155"/>
      <c r="BH22" s="155">
        <v>0</v>
      </c>
      <c r="BI22" s="1204"/>
    </row>
    <row r="23" spans="1:61" ht="15" customHeight="1">
      <c r="A23" s="678" t="s">
        <v>153</v>
      </c>
      <c r="B23" s="679" t="s">
        <v>64</v>
      </c>
      <c r="C23" s="679">
        <v>1</v>
      </c>
      <c r="D23" s="679" t="s">
        <v>47</v>
      </c>
      <c r="E23" s="679"/>
      <c r="F23" s="679" t="s">
        <v>48</v>
      </c>
      <c r="G23" s="679" t="s">
        <v>49</v>
      </c>
      <c r="H23" s="655" cm="1">
        <f t="array" aca="1" ref="H23" ca="1">IFERROR(
    INDIRECT(
        "RawData!" &amp;
        ADDRESS(
            2,
            MATCH(
                TRIM(MID(A23, SEARCH(". ", A23) + 2, LEN(A23))) &amp; ".Import_kWh",
                RawData!$1:$1,
                0
            ),
            4
        )
    ),
    0
)</f>
        <v>0</v>
      </c>
      <c r="I23" s="655" cm="1">
        <f t="array" aca="1" ref="I23" ca="1">IFERROR(
    INDIRECT(
        "RawData!" &amp;
        ADDRESS(
            COUNTA(RawData!A:A),
            MATCH(
                TRIM(MID(A23, SEARCH(". ", A23) + 2, LEN(A23))) &amp; ".Import_kWh",
                RawData!$1:$1,
                0
            ),
            4
        )
    ),
    0
)</f>
        <v>0</v>
      </c>
      <c r="J23" s="680">
        <f ca="1">(I23-H23)*C23</f>
        <v>0</v>
      </c>
      <c r="K23" s="657" t="e">
        <f ca="1">J23*K$5/(J$6+J$23+J$45+J$60+J$61)</f>
        <v>#DIV/0!</v>
      </c>
      <c r="L23" s="681" t="e">
        <f ca="1">K23/J23</f>
        <v>#DIV/0!</v>
      </c>
      <c r="M23" s="682" t="e">
        <f ca="1">R25+R26+R27+R28+R29+R31+R32+R35+R40+R41+R43+R37</f>
        <v>#DIV/0!</v>
      </c>
      <c r="N23" s="683"/>
      <c r="O23" s="683"/>
      <c r="P23" s="573"/>
      <c r="Q23" s="684"/>
      <c r="R23" s="575"/>
      <c r="S23" s="69"/>
      <c r="T23" s="69"/>
      <c r="U23" s="93" t="s">
        <v>85</v>
      </c>
      <c r="V23" s="109" t="s">
        <v>154</v>
      </c>
      <c r="W23" s="95" t="s">
        <v>67</v>
      </c>
      <c r="X23" s="96">
        <f>R78</f>
        <v>250</v>
      </c>
      <c r="Y23" s="149"/>
      <c r="Z23" s="96">
        <f t="shared" si="0"/>
        <v>250</v>
      </c>
      <c r="AA23" s="97"/>
      <c r="AB23" s="110" t="e">
        <f t="shared" ca="1" si="1"/>
        <v>#DIV/0!</v>
      </c>
      <c r="AC23" s="150"/>
      <c r="AD23" s="99"/>
      <c r="AE23" s="100" t="s">
        <v>67</v>
      </c>
      <c r="AF23" s="100" t="s">
        <v>87</v>
      </c>
      <c r="AH23" s="130" t="s">
        <v>155</v>
      </c>
      <c r="AI23" s="148" t="e">
        <f ca="1">X24</f>
        <v>#DIV/0!</v>
      </c>
      <c r="AJ23" s="158" t="e">
        <f ca="1">Z24</f>
        <v>#DIV/0!</v>
      </c>
      <c r="AL23" s="7" t="s">
        <v>67</v>
      </c>
      <c r="AM23" s="102">
        <v>641110</v>
      </c>
      <c r="AN23" s="103" t="s">
        <v>54</v>
      </c>
      <c r="AO23" s="104" t="e">
        <f t="shared" ca="1" si="2"/>
        <v>#DIV/0!</v>
      </c>
      <c r="AP23" s="49"/>
      <c r="AR23" s="112" t="str">
        <f t="shared" si="3"/>
        <v xml:space="preserve"> ห้องสหภาพ TEP</v>
      </c>
      <c r="AS23" s="112" t="str">
        <f t="shared" si="5"/>
        <v>0450-40054</v>
      </c>
      <c r="AU23" s="108">
        <f t="shared" si="4"/>
        <v>250</v>
      </c>
      <c r="AV23" s="7" t="s">
        <v>1</v>
      </c>
      <c r="AW23" s="7" t="s">
        <v>70</v>
      </c>
      <c r="BA23" s="154" t="s">
        <v>117</v>
      </c>
      <c r="BB23" s="154" t="s">
        <v>156</v>
      </c>
      <c r="BC23" s="154"/>
      <c r="BD23" s="154" t="s">
        <v>75</v>
      </c>
      <c r="BE23" s="155">
        <v>0</v>
      </c>
      <c r="BF23" s="1204"/>
      <c r="BG23" s="155"/>
      <c r="BH23" s="155">
        <v>0</v>
      </c>
      <c r="BI23" s="1204"/>
    </row>
    <row r="24" spans="1:61" ht="15" customHeight="1">
      <c r="A24" s="664" t="s">
        <v>1158</v>
      </c>
      <c r="B24" s="595" t="s">
        <v>101</v>
      </c>
      <c r="C24" s="595">
        <v>1</v>
      </c>
      <c r="D24" s="595" t="s">
        <v>47</v>
      </c>
      <c r="E24" s="595"/>
      <c r="F24" s="595" t="s">
        <v>48</v>
      </c>
      <c r="G24" s="595" t="s">
        <v>49</v>
      </c>
      <c r="H24" s="665" cm="1">
        <f t="array" aca="1" ref="H24" ca="1">IFERROR(
    INDIRECT(
        "RawData!" &amp;
        ADDRESS(
            2,
            MATCH(
                TRIM(MID(A24, SEARCH(". ", A24) + 2, LEN(A24))) &amp; ".Import_kWh",
                RawData!$1:$1,
                0
            ),
            4
        )
    ),
    0
)</f>
        <v>0</v>
      </c>
      <c r="I24" s="665" cm="1">
        <f t="array" aca="1" ref="I24" ca="1">IFERROR(
    INDIRECT(
        "RawData!" &amp;
        ADDRESS(
            COUNTA(RawData!A:A),
            MATCH(
                TRIM(MID(A24, SEARCH(". ", A24) + 2, LEN(A24))) &amp; ".Import_kWh",
                RawData!$1:$1,
                0
            ),
            4
        )
    ),
    0
)</f>
        <v>0</v>
      </c>
      <c r="J24" s="666">
        <f ca="1">(I24-H24)*C24</f>
        <v>0</v>
      </c>
      <c r="K24" s="667" t="e">
        <f ca="1">J24*K$23/(J$24+J$30+J$34+J$36+J$39+J$42)</f>
        <v>#DIV/0!</v>
      </c>
      <c r="L24" s="312" t="e">
        <f ca="1">K24/J24</f>
        <v>#DIV/0!</v>
      </c>
      <c r="M24" s="668" t="e">
        <f ca="1">R25+R27+R28+R29+R26</f>
        <v>#DIV/0!</v>
      </c>
      <c r="N24" s="669"/>
      <c r="O24" s="669"/>
      <c r="P24" s="568"/>
      <c r="Q24" s="670"/>
      <c r="R24" s="569"/>
      <c r="S24" s="69"/>
      <c r="T24" s="159"/>
      <c r="U24" s="93" t="s">
        <v>157</v>
      </c>
      <c r="V24" s="160" t="s">
        <v>158</v>
      </c>
      <c r="W24" s="95" t="s">
        <v>135</v>
      </c>
      <c r="X24" s="96" t="e">
        <f ca="1">R80+R66+R69+R68+R88+R75+R70+R79</f>
        <v>#DIV/0!</v>
      </c>
      <c r="Y24" s="96"/>
      <c r="Z24" s="96" t="e">
        <f t="shared" ca="1" si="0"/>
        <v>#DIV/0!</v>
      </c>
      <c r="AA24" s="97"/>
      <c r="AB24" s="110" t="e">
        <f t="shared" ca="1" si="1"/>
        <v>#DIV/0!</v>
      </c>
      <c r="AC24" s="150"/>
      <c r="AD24" s="99"/>
      <c r="AE24" s="100" t="s">
        <v>136</v>
      </c>
      <c r="AF24" s="100" t="s">
        <v>159</v>
      </c>
      <c r="AH24" s="130" t="s">
        <v>160</v>
      </c>
      <c r="AI24" s="148">
        <f>X101</f>
        <v>1400</v>
      </c>
      <c r="AJ24" s="158" t="e">
        <f ca="1">Z101</f>
        <v>#DIV/0!</v>
      </c>
      <c r="AL24" s="161" t="s">
        <v>136</v>
      </c>
      <c r="AM24" s="102">
        <v>552003</v>
      </c>
      <c r="AN24" s="103" t="s">
        <v>54</v>
      </c>
      <c r="AO24" s="104" t="e">
        <f t="shared" ca="1" si="2"/>
        <v>#DIV/0!</v>
      </c>
      <c r="AP24" s="49"/>
      <c r="AR24" s="112" t="str">
        <f t="shared" si="3"/>
        <v xml:space="preserve"> ส.คจ. (อาคาร ME)</v>
      </c>
      <c r="AS24" s="112" t="str">
        <f t="shared" si="5"/>
        <v>0451-31100</v>
      </c>
      <c r="AU24" s="108" t="e">
        <f t="shared" ca="1" si="4"/>
        <v>#DIV/0!</v>
      </c>
      <c r="AV24" s="7" t="s">
        <v>1</v>
      </c>
      <c r="AW24" s="7" t="s">
        <v>70</v>
      </c>
      <c r="BA24" s="154" t="s">
        <v>98</v>
      </c>
      <c r="BB24" s="154" t="s">
        <v>149</v>
      </c>
      <c r="BC24" s="154"/>
      <c r="BD24" s="154" t="s">
        <v>75</v>
      </c>
      <c r="BE24" s="155" t="e">
        <f ca="1">X22</f>
        <v>#DIV/0!</v>
      </c>
      <c r="BF24" s="1205"/>
      <c r="BG24" s="155"/>
      <c r="BH24" s="155" t="e">
        <f ca="1">Z22</f>
        <v>#DIV/0!</v>
      </c>
      <c r="BI24" s="1205"/>
    </row>
    <row r="25" spans="1:61" ht="15" customHeight="1">
      <c r="A25" s="664" t="s">
        <v>95</v>
      </c>
      <c r="B25" s="685"/>
      <c r="C25" s="595"/>
      <c r="D25" s="595"/>
      <c r="E25" s="595"/>
      <c r="F25" s="595"/>
      <c r="G25" s="595"/>
      <c r="H25" s="672"/>
      <c r="I25" s="672"/>
      <c r="J25" s="673"/>
      <c r="K25" s="667"/>
      <c r="L25" s="312"/>
      <c r="M25" s="455">
        <f>23.92+11.2+23.92+24+11.19+1.6</f>
        <v>95.83</v>
      </c>
      <c r="N25" s="669">
        <v>29</v>
      </c>
      <c r="O25" s="669">
        <v>40</v>
      </c>
      <c r="P25" s="570">
        <f>M25*O25</f>
        <v>3833.2</v>
      </c>
      <c r="Q25" s="563">
        <f>P25/(P$25+P$26+P$27+P$28+P$29)</f>
        <v>0.45597615201425551</v>
      </c>
      <c r="R25" s="569" t="e">
        <f ca="1">K$24*Q25</f>
        <v>#DIV/0!</v>
      </c>
      <c r="S25" s="114" t="s">
        <v>83</v>
      </c>
      <c r="T25" s="115" t="s">
        <v>84</v>
      </c>
      <c r="U25" s="138" t="s">
        <v>73</v>
      </c>
      <c r="V25" s="139" t="s">
        <v>112</v>
      </c>
      <c r="W25" s="140" t="s">
        <v>75</v>
      </c>
      <c r="X25" s="141" t="e">
        <f ca="1">R96+R173+R125+R170+R172</f>
        <v>#DIV/0!</v>
      </c>
      <c r="Y25" s="162"/>
      <c r="Z25" s="141" t="e">
        <f ca="1">X25</f>
        <v>#DIV/0!</v>
      </c>
      <c r="AA25" s="143"/>
      <c r="AB25" s="129" t="e">
        <f t="shared" ca="1" si="1"/>
        <v>#DIV/0!</v>
      </c>
      <c r="AC25" s="163"/>
      <c r="AD25" s="145"/>
      <c r="AE25" s="100" t="s">
        <v>76</v>
      </c>
      <c r="AF25" s="100" t="s">
        <v>77</v>
      </c>
      <c r="AG25" s="79"/>
      <c r="AH25" s="130"/>
      <c r="AI25" s="158"/>
      <c r="AJ25" s="148" t="e">
        <f ca="1">SUM(AJ16:AJ24)</f>
        <v>#DIV/0!</v>
      </c>
      <c r="AL25" s="13" t="s">
        <v>76</v>
      </c>
      <c r="AM25" s="102">
        <v>552003</v>
      </c>
      <c r="AN25" s="103" t="s">
        <v>54</v>
      </c>
      <c r="AO25" s="104" t="e">
        <f t="shared" ca="1" si="2"/>
        <v>#DIV/0!</v>
      </c>
      <c r="AP25" s="49"/>
      <c r="AR25" s="112" t="str">
        <f t="shared" si="3"/>
        <v xml:space="preserve"> ส.กอ.</v>
      </c>
      <c r="AS25" s="112" t="str">
        <f t="shared" si="5"/>
        <v>0451-03500</v>
      </c>
      <c r="AU25" s="108" t="e">
        <f t="shared" ca="1" si="4"/>
        <v>#DIV/0!</v>
      </c>
      <c r="AV25" s="7" t="s">
        <v>1</v>
      </c>
      <c r="AW25" s="7" t="s">
        <v>70</v>
      </c>
      <c r="BA25" s="1206"/>
      <c r="BB25" s="1207"/>
      <c r="BC25" s="1207"/>
      <c r="BD25" s="1207"/>
      <c r="BE25" s="1207"/>
      <c r="BF25" s="1207"/>
      <c r="BG25" s="1208"/>
      <c r="BH25" s="164" t="e">
        <f ca="1">SUM(BH20:BH24)</f>
        <v>#DIV/0!</v>
      </c>
      <c r="BI25" s="165"/>
    </row>
    <row r="26" spans="1:61" ht="15" customHeight="1">
      <c r="A26" s="664" t="s">
        <v>161</v>
      </c>
      <c r="B26" s="685"/>
      <c r="C26" s="595"/>
      <c r="D26" s="595"/>
      <c r="E26" s="595"/>
      <c r="F26" s="595"/>
      <c r="G26" s="595"/>
      <c r="H26" s="672"/>
      <c r="I26" s="672"/>
      <c r="J26" s="675"/>
      <c r="K26" s="667"/>
      <c r="L26" s="312"/>
      <c r="M26" s="686">
        <f>13.6+13.6</f>
        <v>27.2</v>
      </c>
      <c r="N26" s="687">
        <v>0</v>
      </c>
      <c r="O26" s="687">
        <v>0</v>
      </c>
      <c r="P26" s="570">
        <f>M26*O26</f>
        <v>0</v>
      </c>
      <c r="Q26" s="563">
        <f>P26/(P$25+P$26+P$27+P$28+P$29)</f>
        <v>0</v>
      </c>
      <c r="R26" s="569" t="e">
        <f ca="1">K$24*Q26</f>
        <v>#DIV/0!</v>
      </c>
      <c r="S26" s="114" t="s">
        <v>162</v>
      </c>
      <c r="T26" s="115" t="s">
        <v>163</v>
      </c>
      <c r="U26" s="93" t="s">
        <v>164</v>
      </c>
      <c r="V26" s="166" t="s">
        <v>165</v>
      </c>
      <c r="W26" s="167" t="s">
        <v>114</v>
      </c>
      <c r="X26" s="168" t="e">
        <f ca="1">R192</f>
        <v>#DIV/0!</v>
      </c>
      <c r="Y26" s="151" t="e">
        <f t="shared" ref="Y26:Y81" ca="1" si="9">(X26/$AI$10)*100</f>
        <v>#DIV/0!</v>
      </c>
      <c r="Z26" s="169" t="e">
        <f ca="1">X26+(Y26*$AI$7)/100</f>
        <v>#DIV/0!</v>
      </c>
      <c r="AA26" s="136"/>
      <c r="AB26" s="110" t="e">
        <f t="shared" ca="1" si="1"/>
        <v>#DIV/0!</v>
      </c>
      <c r="AC26" s="170"/>
      <c r="AD26" s="171"/>
      <c r="AE26" s="100" t="s">
        <v>136</v>
      </c>
      <c r="AF26" s="172" t="s">
        <v>114</v>
      </c>
      <c r="AG26" s="79"/>
      <c r="AH26" s="130" t="s">
        <v>166</v>
      </c>
      <c r="AI26" s="158"/>
      <c r="AJ26" s="148" t="e">
        <f ca="1">Z7+Z14+Z25</f>
        <v>#DIV/0!</v>
      </c>
      <c r="AL26" s="7" t="s">
        <v>67</v>
      </c>
      <c r="AM26" s="102">
        <v>552003</v>
      </c>
      <c r="AN26" s="103" t="s">
        <v>54</v>
      </c>
      <c r="AO26" s="104" t="e">
        <f t="shared" ca="1" si="2"/>
        <v>#DIV/0!</v>
      </c>
      <c r="AP26" s="49"/>
      <c r="AR26" s="112" t="str">
        <f t="shared" si="3"/>
        <v xml:space="preserve"> LINE COMP/G 1</v>
      </c>
      <c r="AS26" s="112" t="str">
        <f t="shared" si="5"/>
        <v>0451-76500</v>
      </c>
      <c r="AU26" s="108" t="e">
        <f t="shared" ca="1" si="4"/>
        <v>#DIV/0!</v>
      </c>
      <c r="AV26" s="7" t="s">
        <v>1</v>
      </c>
      <c r="AW26" s="7" t="s">
        <v>70</v>
      </c>
    </row>
    <row r="27" spans="1:61" ht="14.25" customHeight="1">
      <c r="A27" s="664" t="s">
        <v>167</v>
      </c>
      <c r="B27" s="613"/>
      <c r="C27" s="613"/>
      <c r="D27" s="613"/>
      <c r="E27" s="613"/>
      <c r="F27" s="613"/>
      <c r="G27" s="613"/>
      <c r="H27" s="594"/>
      <c r="I27" s="594"/>
      <c r="J27" s="673"/>
      <c r="K27" s="688" t="e">
        <f ca="1">R27/O27</f>
        <v>#DIV/0!</v>
      </c>
      <c r="L27" s="689"/>
      <c r="M27" s="455">
        <f>1.6+12.8+1.6+8.72+20+13.6+1.6+20</f>
        <v>79.92</v>
      </c>
      <c r="N27" s="669">
        <v>0</v>
      </c>
      <c r="O27" s="669">
        <v>0</v>
      </c>
      <c r="P27" s="570">
        <f>M27*O27</f>
        <v>0</v>
      </c>
      <c r="Q27" s="563">
        <f>P27/(P$25+P$26+P$27+P$28+P$29)</f>
        <v>0</v>
      </c>
      <c r="R27" s="569" t="e">
        <f ca="1">K$24*Q27</f>
        <v>#DIV/0!</v>
      </c>
      <c r="S27" s="114" t="s">
        <v>168</v>
      </c>
      <c r="T27" s="115" t="s">
        <v>169</v>
      </c>
      <c r="U27" s="93" t="s">
        <v>170</v>
      </c>
      <c r="V27" s="166" t="s">
        <v>171</v>
      </c>
      <c r="W27" s="167" t="s">
        <v>114</v>
      </c>
      <c r="X27" s="168" t="e">
        <f ca="1">R194</f>
        <v>#DIV/0!</v>
      </c>
      <c r="Y27" s="151" t="e">
        <f t="shared" ca="1" si="9"/>
        <v>#DIV/0!</v>
      </c>
      <c r="Z27" s="169" t="e">
        <f t="shared" ref="Z27:Z81" ca="1" si="10">X27+(Y27*$AI$7)/100</f>
        <v>#DIV/0!</v>
      </c>
      <c r="AA27" s="173"/>
      <c r="AB27" s="110" t="e">
        <f t="shared" ca="1" si="1"/>
        <v>#DIV/0!</v>
      </c>
      <c r="AC27" s="170"/>
      <c r="AD27" s="171"/>
      <c r="AE27" s="100" t="s">
        <v>136</v>
      </c>
      <c r="AF27" s="172" t="s">
        <v>114</v>
      </c>
      <c r="AG27" s="79"/>
      <c r="AH27" s="130" t="s">
        <v>172</v>
      </c>
      <c r="AI27" s="158"/>
      <c r="AJ27" s="148" t="e">
        <f ca="1">Z15</f>
        <v>#DIV/0!</v>
      </c>
      <c r="AL27" s="161" t="s">
        <v>136</v>
      </c>
      <c r="AM27" s="102">
        <v>552003</v>
      </c>
      <c r="AN27" s="103" t="s">
        <v>54</v>
      </c>
      <c r="AO27" s="104" t="e">
        <f t="shared" ca="1" si="2"/>
        <v>#DIV/0!</v>
      </c>
      <c r="AP27" s="49"/>
      <c r="AR27" s="112" t="str">
        <f t="shared" si="3"/>
        <v xml:space="preserve"> LINE SERVICE PART</v>
      </c>
      <c r="AS27" s="112" t="str">
        <f t="shared" si="5"/>
        <v>0451-72200</v>
      </c>
      <c r="AU27" s="108" t="e">
        <f t="shared" ca="1" si="4"/>
        <v>#DIV/0!</v>
      </c>
      <c r="AV27" s="7" t="s">
        <v>1</v>
      </c>
      <c r="AW27" s="7" t="s">
        <v>173</v>
      </c>
      <c r="BA27" s="174" t="s">
        <v>126</v>
      </c>
      <c r="BB27" s="174" t="s">
        <v>127</v>
      </c>
      <c r="BC27" s="174"/>
      <c r="BD27" s="174" t="s">
        <v>75</v>
      </c>
      <c r="BE27" s="175" t="e">
        <f ca="1">X17</f>
        <v>#DIV/0!</v>
      </c>
      <c r="BF27" s="1209" t="e">
        <f ca="1">SUM(BE27:BE28)</f>
        <v>#DIV/0!</v>
      </c>
      <c r="BG27" s="175"/>
      <c r="BH27" s="175" t="e">
        <f ca="1">Z17</f>
        <v>#DIV/0!</v>
      </c>
      <c r="BI27" s="1209" t="e">
        <f ca="1">SUM(BH27:BH28)</f>
        <v>#DIV/0!</v>
      </c>
    </row>
    <row r="28" spans="1:61" ht="15" customHeight="1">
      <c r="A28" s="664" t="s">
        <v>174</v>
      </c>
      <c r="B28" s="613"/>
      <c r="C28" s="613"/>
      <c r="D28" s="613"/>
      <c r="E28" s="613"/>
      <c r="F28" s="613"/>
      <c r="G28" s="613"/>
      <c r="H28" s="594"/>
      <c r="I28" s="594"/>
      <c r="J28" s="673"/>
      <c r="K28" s="568"/>
      <c r="L28" s="689"/>
      <c r="M28" s="664">
        <f>6.39+20+20+28.64+23.92+13.6+28.64+5.6</f>
        <v>146.79</v>
      </c>
      <c r="N28" s="669">
        <v>13</v>
      </c>
      <c r="O28" s="669">
        <v>22</v>
      </c>
      <c r="P28" s="570">
        <f>M28*O28</f>
        <v>3229.3799999999997</v>
      </c>
      <c r="Q28" s="563">
        <f>P28/(P$25+P$26+P$27+P$28+P$29)</f>
        <v>0.38414908321814573</v>
      </c>
      <c r="R28" s="569" t="e">
        <f ca="1">K$24*Q28</f>
        <v>#DIV/0!</v>
      </c>
      <c r="S28" s="114" t="s">
        <v>175</v>
      </c>
      <c r="T28" s="115" t="s">
        <v>176</v>
      </c>
      <c r="U28" s="93" t="s">
        <v>177</v>
      </c>
      <c r="V28" s="166" t="s">
        <v>178</v>
      </c>
      <c r="W28" s="167" t="s">
        <v>114</v>
      </c>
      <c r="X28" s="168">
        <f ca="1">R142</f>
        <v>0</v>
      </c>
      <c r="Y28" s="151" t="e">
        <f t="shared" ca="1" si="9"/>
        <v>#DIV/0!</v>
      </c>
      <c r="Z28" s="169" t="e">
        <f t="shared" ca="1" si="10"/>
        <v>#DIV/0!</v>
      </c>
      <c r="AA28" s="176" t="e">
        <f ca="1">SUM(Z26:Z28)</f>
        <v>#DIV/0!</v>
      </c>
      <c r="AB28" s="110" t="e">
        <f t="shared" ca="1" si="1"/>
        <v>#DIV/0!</v>
      </c>
      <c r="AC28" s="177"/>
      <c r="AD28" s="171"/>
      <c r="AE28" s="100" t="s">
        <v>136</v>
      </c>
      <c r="AF28" s="172" t="s">
        <v>114</v>
      </c>
      <c r="AG28" s="79"/>
      <c r="AH28" s="130" t="s">
        <v>179</v>
      </c>
      <c r="AI28" s="158"/>
      <c r="AJ28" s="148" t="e">
        <f ca="1">Z90+Z92+Z93</f>
        <v>#DIV/0!</v>
      </c>
      <c r="AL28" s="161" t="s">
        <v>136</v>
      </c>
      <c r="AM28" s="102">
        <v>552003</v>
      </c>
      <c r="AN28" s="103" t="s">
        <v>54</v>
      </c>
      <c r="AO28" s="104" t="e">
        <f t="shared" ca="1" si="2"/>
        <v>#DIV/0!</v>
      </c>
      <c r="AP28" s="49"/>
      <c r="AR28" s="112" t="str">
        <f t="shared" si="3"/>
        <v xml:space="preserve"> LINE I/M 10</v>
      </c>
      <c r="AS28" s="112" t="str">
        <f t="shared" si="5"/>
        <v>0451-76400</v>
      </c>
      <c r="AU28" s="108" t="e">
        <f t="shared" ca="1" si="4"/>
        <v>#DIV/0!</v>
      </c>
      <c r="AV28" s="7" t="s">
        <v>1</v>
      </c>
      <c r="AW28" s="7" t="s">
        <v>173</v>
      </c>
      <c r="BA28" s="174" t="s">
        <v>133</v>
      </c>
      <c r="BB28" s="174" t="s">
        <v>134</v>
      </c>
      <c r="BC28" s="174"/>
      <c r="BD28" s="174" t="s">
        <v>135</v>
      </c>
      <c r="BE28" s="175">
        <v>0</v>
      </c>
      <c r="BF28" s="1210"/>
      <c r="BG28" s="175"/>
      <c r="BH28" s="175">
        <v>0</v>
      </c>
      <c r="BI28" s="1210"/>
    </row>
    <row r="29" spans="1:61" ht="15" customHeight="1">
      <c r="A29" s="664" t="s">
        <v>180</v>
      </c>
      <c r="B29" s="595"/>
      <c r="C29" s="595"/>
      <c r="D29" s="595"/>
      <c r="E29" s="595"/>
      <c r="F29" s="595"/>
      <c r="G29" s="595"/>
      <c r="H29" s="672"/>
      <c r="I29" s="672"/>
      <c r="J29" s="673"/>
      <c r="K29" s="568"/>
      <c r="L29" s="689"/>
      <c r="M29" s="570">
        <f>14.4+8.8+10.4</f>
        <v>33.6</v>
      </c>
      <c r="N29" s="669">
        <v>26</v>
      </c>
      <c r="O29" s="669">
        <v>40</v>
      </c>
      <c r="P29" s="570">
        <f>M29*O29</f>
        <v>1344</v>
      </c>
      <c r="Q29" s="563">
        <f>P29/(P$25+P$26+P$27+P$28+P$29)</f>
        <v>0.15987476476759871</v>
      </c>
      <c r="R29" s="569" t="e">
        <f ca="1">K$24*Q29</f>
        <v>#DIV/0!</v>
      </c>
      <c r="S29" s="114" t="s">
        <v>83</v>
      </c>
      <c r="T29" s="115" t="s">
        <v>84</v>
      </c>
      <c r="U29" s="178" t="s">
        <v>181</v>
      </c>
      <c r="V29" s="156" t="s">
        <v>182</v>
      </c>
      <c r="W29" s="167" t="s">
        <v>114</v>
      </c>
      <c r="X29" s="179" t="e">
        <f ca="1">R201</f>
        <v>#DIV/0!</v>
      </c>
      <c r="Y29" s="151" t="e">
        <f t="shared" ca="1" si="9"/>
        <v>#DIV/0!</v>
      </c>
      <c r="Z29" s="169" t="e">
        <f t="shared" ca="1" si="10"/>
        <v>#DIV/0!</v>
      </c>
      <c r="AA29" s="180"/>
      <c r="AB29" s="110" t="e">
        <f t="shared" ca="1" si="1"/>
        <v>#DIV/0!</v>
      </c>
      <c r="AC29" s="181"/>
      <c r="AD29" s="182"/>
      <c r="AE29" s="100" t="s">
        <v>136</v>
      </c>
      <c r="AF29" s="172" t="s">
        <v>114</v>
      </c>
      <c r="AG29" s="79"/>
      <c r="AH29" s="130" t="s">
        <v>183</v>
      </c>
      <c r="AI29" s="158"/>
      <c r="AJ29" s="148" t="e">
        <f ca="1">Z95+Z96+Z99+Z228</f>
        <v>#DIV/0!</v>
      </c>
      <c r="AL29" s="161" t="s">
        <v>136</v>
      </c>
      <c r="AM29" s="102">
        <v>552003</v>
      </c>
      <c r="AN29" s="103" t="s">
        <v>54</v>
      </c>
      <c r="AO29" s="104" t="e">
        <f t="shared" ca="1" si="2"/>
        <v>#DIV/0!</v>
      </c>
      <c r="AP29" s="49"/>
      <c r="AR29" s="112" t="str">
        <f t="shared" si="3"/>
        <v xml:space="preserve"> LINE CON/I/A 1</v>
      </c>
      <c r="AS29" s="112" t="str">
        <f t="shared" si="5"/>
        <v>0451-71600</v>
      </c>
      <c r="AU29" s="108" t="e">
        <f t="shared" ca="1" si="4"/>
        <v>#DIV/0!</v>
      </c>
      <c r="AV29" s="7" t="s">
        <v>1</v>
      </c>
      <c r="AW29" s="7" t="s">
        <v>173</v>
      </c>
      <c r="BA29" s="1232"/>
      <c r="BB29" s="1233"/>
      <c r="BC29" s="1233"/>
      <c r="BD29" s="1233"/>
      <c r="BE29" s="1233"/>
      <c r="BF29" s="1233"/>
      <c r="BG29" s="1234"/>
      <c r="BH29" s="183" t="e">
        <f ca="1">SUM(BH27:BH28)</f>
        <v>#DIV/0!</v>
      </c>
      <c r="BI29" s="184"/>
    </row>
    <row r="30" spans="1:61" ht="15" customHeight="1">
      <c r="A30" s="664" t="s">
        <v>184</v>
      </c>
      <c r="B30" s="595" t="s">
        <v>185</v>
      </c>
      <c r="C30" s="595">
        <v>1</v>
      </c>
      <c r="D30" s="595" t="s">
        <v>47</v>
      </c>
      <c r="E30" s="595"/>
      <c r="F30" s="595" t="s">
        <v>48</v>
      </c>
      <c r="G30" s="595" t="s">
        <v>49</v>
      </c>
      <c r="H30" s="665" cm="1">
        <f t="array" aca="1" ref="H30" ca="1">IFERROR(
    INDIRECT(
        "RawData!" &amp;
        ADDRESS(
            2,
            MATCH(
                TRIM(MID(A30, SEARCH(". ", A30) + 2, LEN(A30))) &amp; ".Import_kWh",
                RawData!$1:$1,
                0
            ),
            4
        )
    ),
    0
)</f>
        <v>0</v>
      </c>
      <c r="I30" s="665" cm="1">
        <f t="array" aca="1" ref="I30" ca="1">IFERROR(
    INDIRECT(
        "RawData!" &amp;
        ADDRESS(
            COUNTA(RawData!A:A),
            MATCH(
                TRIM(MID(A30, SEARCH(". ", A30) + 2, LEN(A30))) &amp; ".Import_kWh",
                RawData!$1:$1,
                0
            ),
            4
        )
    ),
    0
)</f>
        <v>0</v>
      </c>
      <c r="J30" s="666">
        <f ca="1">(I30-H30)*C30</f>
        <v>0</v>
      </c>
      <c r="K30" s="667" t="e">
        <f ca="1">J30*K$23/(J$24+J$30+J$34+J$36+J$39+J$42)</f>
        <v>#DIV/0!</v>
      </c>
      <c r="L30" s="312" t="e">
        <f ca="1">K30/J30</f>
        <v>#DIV/0!</v>
      </c>
      <c r="M30" s="668" t="e">
        <f ca="1">R31+R32</f>
        <v>#DIV/0!</v>
      </c>
      <c r="N30" s="669"/>
      <c r="O30" s="669"/>
      <c r="P30" s="570"/>
      <c r="Q30" s="563"/>
      <c r="R30" s="569"/>
      <c r="S30" s="69"/>
      <c r="T30" s="159"/>
      <c r="U30" s="93" t="s">
        <v>186</v>
      </c>
      <c r="V30" s="185" t="s">
        <v>187</v>
      </c>
      <c r="W30" s="167" t="s">
        <v>114</v>
      </c>
      <c r="X30" s="186" t="e">
        <f ca="1">R266</f>
        <v>#DIV/0!</v>
      </c>
      <c r="Y30" s="120" t="e">
        <f ca="1">(X30/$AI$10)*100</f>
        <v>#DIV/0!</v>
      </c>
      <c r="Z30" s="169" t="e">
        <f ca="1">X30+(Y30*$AI$7)/100</f>
        <v>#DIV/0!</v>
      </c>
      <c r="AA30" s="187"/>
      <c r="AB30" s="110" t="e">
        <f t="shared" ca="1" si="1"/>
        <v>#DIV/0!</v>
      </c>
      <c r="AC30" s="188"/>
      <c r="AD30" s="189"/>
      <c r="AE30" s="100" t="s">
        <v>136</v>
      </c>
      <c r="AF30" s="172" t="s">
        <v>114</v>
      </c>
      <c r="AG30" s="79"/>
      <c r="AH30" s="130" t="s">
        <v>188</v>
      </c>
      <c r="AI30" s="158"/>
      <c r="AJ30" s="148" t="e">
        <f ca="1">Z91+Z94+Z97+Z98</f>
        <v>#DIV/0!</v>
      </c>
      <c r="AL30" s="161" t="s">
        <v>136</v>
      </c>
      <c r="AM30" s="102">
        <v>552003</v>
      </c>
      <c r="AN30" s="103" t="s">
        <v>54</v>
      </c>
      <c r="AO30" s="104" t="e">
        <f t="shared" ca="1" si="2"/>
        <v>#DIV/0!</v>
      </c>
      <c r="AP30" s="49"/>
      <c r="AR30" s="112" t="str">
        <f t="shared" si="3"/>
        <v xml:space="preserve"> LINE BR/O/F 3</v>
      </c>
      <c r="AS30" s="112" t="str">
        <f t="shared" si="5"/>
        <v>0451-71400</v>
      </c>
      <c r="AU30" s="108" t="e">
        <f t="shared" ca="1" si="4"/>
        <v>#DIV/0!</v>
      </c>
      <c r="AV30" s="7" t="s">
        <v>1</v>
      </c>
      <c r="AW30" s="7" t="s">
        <v>173</v>
      </c>
      <c r="BA30" s="190" t="s">
        <v>65</v>
      </c>
      <c r="BB30" s="190" t="s">
        <v>66</v>
      </c>
      <c r="BC30" s="190"/>
      <c r="BD30" s="190" t="s">
        <v>67</v>
      </c>
      <c r="BE30" s="191" t="e">
        <f ca="1">X6</f>
        <v>#DIV/0!</v>
      </c>
      <c r="BF30" s="1211" t="e">
        <f ca="1">SUM(BE30:BE36)</f>
        <v>#DIV/0!</v>
      </c>
      <c r="BG30" s="191"/>
      <c r="BH30" s="191" t="e">
        <f ca="1">Z6</f>
        <v>#DIV/0!</v>
      </c>
      <c r="BI30" s="1211" t="e">
        <f ca="1">SUM(BH30:BH36)</f>
        <v>#DIV/0!</v>
      </c>
    </row>
    <row r="31" spans="1:61" ht="15" customHeight="1">
      <c r="A31" s="664" t="s">
        <v>189</v>
      </c>
      <c r="B31" s="690"/>
      <c r="C31" s="595"/>
      <c r="D31" s="595"/>
      <c r="E31" s="595"/>
      <c r="F31" s="595"/>
      <c r="G31" s="595"/>
      <c r="H31" s="672"/>
      <c r="I31" s="672"/>
      <c r="J31" s="673"/>
      <c r="K31" s="667"/>
      <c r="L31" s="689"/>
      <c r="M31" s="691">
        <f>3.15+23.9+24+24+8+12</f>
        <v>95.05</v>
      </c>
      <c r="N31" s="687">
        <v>26</v>
      </c>
      <c r="O31" s="687">
        <v>40</v>
      </c>
      <c r="P31" s="570">
        <f>M31*O31</f>
        <v>3802</v>
      </c>
      <c r="Q31" s="563">
        <f>P31/(P$31++P$32)</f>
        <v>0.98344542162441795</v>
      </c>
      <c r="R31" s="569" t="e">
        <f ca="1">K$30*Q31</f>
        <v>#DIV/0!</v>
      </c>
      <c r="S31" s="114" t="s">
        <v>83</v>
      </c>
      <c r="T31" s="115" t="s">
        <v>84</v>
      </c>
      <c r="U31" s="178" t="s">
        <v>190</v>
      </c>
      <c r="V31" s="156" t="s">
        <v>191</v>
      </c>
      <c r="W31" s="167" t="s">
        <v>114</v>
      </c>
      <c r="X31" s="179" t="e">
        <f ca="1">R261</f>
        <v>#DIV/0!</v>
      </c>
      <c r="Y31" s="151" t="e">
        <f ca="1">(X31/$AI$10)*100</f>
        <v>#DIV/0!</v>
      </c>
      <c r="Z31" s="169" t="e">
        <f ca="1">X31+(Y31*$AI$7)/100</f>
        <v>#DIV/0!</v>
      </c>
      <c r="AA31" s="180" t="e">
        <f ca="1">SUM(Z36:Z36)</f>
        <v>#DIV/0!</v>
      </c>
      <c r="AB31" s="110" t="e">
        <f t="shared" ca="1" si="1"/>
        <v>#DIV/0!</v>
      </c>
      <c r="AC31" s="181"/>
      <c r="AD31" s="182"/>
      <c r="AE31" s="100" t="s">
        <v>136</v>
      </c>
      <c r="AF31" s="172" t="s">
        <v>114</v>
      </c>
      <c r="AG31" s="79"/>
      <c r="AH31" s="130" t="s">
        <v>192</v>
      </c>
      <c r="AI31" s="148"/>
      <c r="AJ31" s="148" t="e">
        <f ca="1">Z104+Z111+Z112</f>
        <v>#DIV/0!</v>
      </c>
      <c r="AL31" s="161" t="s">
        <v>136</v>
      </c>
      <c r="AM31" s="102">
        <v>552003</v>
      </c>
      <c r="AN31" s="103" t="s">
        <v>54</v>
      </c>
      <c r="AO31" s="104" t="e">
        <f t="shared" ca="1" si="2"/>
        <v>#DIV/0!</v>
      </c>
      <c r="AP31" s="49"/>
      <c r="AR31" s="112" t="str">
        <f t="shared" si="3"/>
        <v xml:space="preserve"> LINE G</v>
      </c>
      <c r="AS31" s="112" t="str">
        <f t="shared" si="5"/>
        <v>0451-64900</v>
      </c>
      <c r="AU31" s="108" t="e">
        <f t="shared" ca="1" si="4"/>
        <v>#DIV/0!</v>
      </c>
      <c r="AV31" s="7" t="s">
        <v>1</v>
      </c>
      <c r="AW31" s="7" t="s">
        <v>173</v>
      </c>
      <c r="BA31" s="190" t="s">
        <v>85</v>
      </c>
      <c r="BB31" s="190" t="s">
        <v>193</v>
      </c>
      <c r="BC31" s="190"/>
      <c r="BD31" s="190" t="s">
        <v>67</v>
      </c>
      <c r="BE31" s="191" t="e">
        <f ca="1">X8</f>
        <v>#DIV/0!</v>
      </c>
      <c r="BF31" s="1212"/>
      <c r="BG31" s="191"/>
      <c r="BH31" s="191" t="e">
        <f ca="1">Z8</f>
        <v>#DIV/0!</v>
      </c>
      <c r="BI31" s="1212"/>
    </row>
    <row r="32" spans="1:61" ht="15" customHeight="1">
      <c r="A32" s="664" t="s">
        <v>194</v>
      </c>
      <c r="B32" s="690"/>
      <c r="C32" s="595"/>
      <c r="D32" s="595"/>
      <c r="E32" s="595"/>
      <c r="F32" s="595"/>
      <c r="G32" s="595"/>
      <c r="H32" s="672"/>
      <c r="I32" s="672"/>
      <c r="J32" s="673"/>
      <c r="K32" s="667"/>
      <c r="L32" s="689"/>
      <c r="M32" s="676">
        <f>16+28+20</f>
        <v>64</v>
      </c>
      <c r="N32" s="687">
        <v>1</v>
      </c>
      <c r="O32" s="687">
        <v>1</v>
      </c>
      <c r="P32" s="570">
        <f>M32*O32</f>
        <v>64</v>
      </c>
      <c r="Q32" s="563">
        <f>P32/(P$31++P$32)</f>
        <v>1.6554578375581996E-2</v>
      </c>
      <c r="R32" s="569" t="e">
        <f ca="1">K$30*Q32</f>
        <v>#DIV/0!</v>
      </c>
      <c r="S32" s="114" t="s">
        <v>195</v>
      </c>
      <c r="T32" s="115" t="s">
        <v>196</v>
      </c>
      <c r="U32" s="93" t="s">
        <v>197</v>
      </c>
      <c r="V32" s="109" t="s">
        <v>198</v>
      </c>
      <c r="W32" s="167" t="s">
        <v>114</v>
      </c>
      <c r="X32" s="96" t="e">
        <f ca="1">R260</f>
        <v>#DIV/0!</v>
      </c>
      <c r="Y32" s="120" t="e">
        <f ca="1">(X32/$AI$10)*100</f>
        <v>#DIV/0!</v>
      </c>
      <c r="Z32" s="152" t="e">
        <f ca="1">X32+(Y32*$AI$7)/100</f>
        <v>#DIV/0!</v>
      </c>
      <c r="AA32" s="187" t="e">
        <f ca="1">SUM(Z40:Z89)</f>
        <v>#DIV/0!</v>
      </c>
      <c r="AB32" s="110" t="e">
        <f t="shared" ca="1" si="1"/>
        <v>#DIV/0!</v>
      </c>
      <c r="AC32" s="188"/>
      <c r="AD32" s="189"/>
      <c r="AE32" s="100" t="s">
        <v>136</v>
      </c>
      <c r="AF32" s="172" t="s">
        <v>114</v>
      </c>
      <c r="AG32" s="79"/>
      <c r="AH32" s="130" t="s">
        <v>199</v>
      </c>
      <c r="AI32" s="148"/>
      <c r="AJ32" s="148" t="e">
        <f ca="1">Z19+Z20+Z121+Z122+Z123+Z124+Z125+Z21</f>
        <v>#DIV/0!</v>
      </c>
      <c r="AK32" s="79"/>
      <c r="AL32" s="161" t="s">
        <v>136</v>
      </c>
      <c r="AM32" s="102">
        <v>552003</v>
      </c>
      <c r="AN32" s="103" t="s">
        <v>54</v>
      </c>
      <c r="AO32" s="104" t="e">
        <f t="shared" ca="1" si="2"/>
        <v>#DIV/0!</v>
      </c>
      <c r="AP32" s="49"/>
      <c r="AR32" s="112" t="str">
        <f t="shared" si="3"/>
        <v xml:space="preserve"> LINE C/VEN</v>
      </c>
      <c r="AS32" s="112" t="str">
        <f t="shared" si="5"/>
        <v>0451-72400</v>
      </c>
      <c r="AU32" s="108" t="e">
        <f t="shared" ca="1" si="4"/>
        <v>#DIV/0!</v>
      </c>
      <c r="AV32" s="7" t="s">
        <v>1</v>
      </c>
      <c r="AW32" s="7" t="s">
        <v>173</v>
      </c>
      <c r="BA32" s="190" t="s">
        <v>85</v>
      </c>
      <c r="BB32" s="190" t="s">
        <v>97</v>
      </c>
      <c r="BC32" s="190"/>
      <c r="BD32" s="190" t="s">
        <v>67</v>
      </c>
      <c r="BE32" s="191">
        <f ca="1">X11</f>
        <v>0</v>
      </c>
      <c r="BF32" s="1212"/>
      <c r="BG32" s="191"/>
      <c r="BH32" s="191">
        <f ca="1">Z11</f>
        <v>0</v>
      </c>
      <c r="BI32" s="1212"/>
    </row>
    <row r="33" spans="1:61" ht="15" customHeight="1">
      <c r="A33" s="664"/>
      <c r="B33" s="690"/>
      <c r="C33" s="671"/>
      <c r="D33" s="671"/>
      <c r="E33" s="671"/>
      <c r="F33" s="671"/>
      <c r="G33" s="671"/>
      <c r="H33" s="672"/>
      <c r="I33" s="672"/>
      <c r="J33" s="673"/>
      <c r="K33" s="667"/>
      <c r="L33" s="689"/>
      <c r="M33" s="676"/>
      <c r="N33" s="687"/>
      <c r="O33" s="687"/>
      <c r="P33" s="570"/>
      <c r="Q33" s="563"/>
      <c r="R33" s="569"/>
      <c r="S33" s="69"/>
      <c r="T33" s="159"/>
      <c r="U33" s="138" t="s">
        <v>200</v>
      </c>
      <c r="V33" s="139" t="s">
        <v>201</v>
      </c>
      <c r="W33" s="192" t="s">
        <v>114</v>
      </c>
      <c r="X33" s="141" t="e">
        <f ca="1">R259</f>
        <v>#DIV/0!</v>
      </c>
      <c r="Y33" s="193" t="e">
        <f ca="1">(X33/$AI$10)*100</f>
        <v>#DIV/0!</v>
      </c>
      <c r="Z33" s="194" t="e">
        <f ca="1">X33+(Y33*$AI$7)/100</f>
        <v>#DIV/0!</v>
      </c>
      <c r="AA33" s="195" t="e">
        <f ca="1">SUM(Z42:Z89)</f>
        <v>#DIV/0!</v>
      </c>
      <c r="AB33" s="129" t="e">
        <f t="shared" ca="1" si="1"/>
        <v>#DIV/0!</v>
      </c>
      <c r="AC33" s="144"/>
      <c r="AD33" s="196"/>
      <c r="AE33" s="100" t="s">
        <v>136</v>
      </c>
      <c r="AF33" s="172" t="s">
        <v>114</v>
      </c>
      <c r="AG33" s="79"/>
      <c r="AH33" s="130" t="s">
        <v>202</v>
      </c>
      <c r="AI33" s="148"/>
      <c r="AJ33" s="148" t="e">
        <f ca="1">Z16+Z126</f>
        <v>#DIV/0!</v>
      </c>
      <c r="AL33" s="161" t="s">
        <v>136</v>
      </c>
      <c r="AM33" s="102">
        <v>552003</v>
      </c>
      <c r="AN33" s="103" t="s">
        <v>54</v>
      </c>
      <c r="AO33" s="104" t="e">
        <f t="shared" ca="1" si="2"/>
        <v>#DIV/0!</v>
      </c>
      <c r="AP33" s="49"/>
      <c r="AR33" s="112" t="str">
        <f t="shared" si="3"/>
        <v xml:space="preserve"> LINE BR/F/P</v>
      </c>
      <c r="AS33" s="112" t="str">
        <f t="shared" si="5"/>
        <v>0451-72600</v>
      </c>
      <c r="AU33" s="108" t="e">
        <f t="shared" ca="1" si="4"/>
        <v>#DIV/0!</v>
      </c>
      <c r="AV33" s="7" t="s">
        <v>1</v>
      </c>
      <c r="AW33" s="7" t="s">
        <v>173</v>
      </c>
      <c r="BA33" s="190" t="s">
        <v>85</v>
      </c>
      <c r="BB33" s="190" t="s">
        <v>102</v>
      </c>
      <c r="BC33" s="190"/>
      <c r="BD33" s="190" t="s">
        <v>67</v>
      </c>
      <c r="BE33" s="191">
        <f ca="1">X12</f>
        <v>0</v>
      </c>
      <c r="BF33" s="1212"/>
      <c r="BG33" s="191"/>
      <c r="BH33" s="191">
        <f ca="1">Z12</f>
        <v>0</v>
      </c>
      <c r="BI33" s="1212"/>
    </row>
    <row r="34" spans="1:61" ht="15" customHeight="1">
      <c r="A34" s="664" t="s">
        <v>203</v>
      </c>
      <c r="B34" s="595" t="s">
        <v>72</v>
      </c>
      <c r="C34" s="595">
        <v>1</v>
      </c>
      <c r="D34" s="595" t="s">
        <v>47</v>
      </c>
      <c r="E34" s="595"/>
      <c r="F34" s="595" t="s">
        <v>48</v>
      </c>
      <c r="G34" s="595" t="s">
        <v>49</v>
      </c>
      <c r="H34" s="665" cm="1">
        <f t="array" aca="1" ref="H34" ca="1">IFERROR(
    INDIRECT(
        "RawData!" &amp;
        ADDRESS(
            2,
            MATCH(
                TRIM(MID(A34, SEARCH(". ", A34) + 2, LEN(A34))) &amp; ".Import_kWh",
                RawData!$1:$1,
                0
            ),
            4
        )
    ),
    0
)</f>
        <v>0</v>
      </c>
      <c r="I34" s="665" cm="1">
        <f t="array" aca="1" ref="I34" ca="1">IFERROR(
    INDIRECT(
        "RawData!" &amp;
        ADDRESS(
            COUNTA(RawData!A:A),
            MATCH(
                TRIM(MID(A34, SEARCH(". ", A34) + 2, LEN(A34))) &amp; ".Import_kWh",
                RawData!$1:$1,
                0
            ),
            4
        )
    ),
    0
)</f>
        <v>0</v>
      </c>
      <c r="J34" s="666">
        <f ca="1">(I34-H34)*C34</f>
        <v>0</v>
      </c>
      <c r="K34" s="667" t="e">
        <f ca="1">J34*K$23/(J$24+J$30+J$34+J$36+J$39+J$42)</f>
        <v>#DIV/0!</v>
      </c>
      <c r="L34" s="312" t="e">
        <f ca="1">K34/J34</f>
        <v>#DIV/0!</v>
      </c>
      <c r="M34" s="692"/>
      <c r="N34" s="669"/>
      <c r="O34" s="669"/>
      <c r="P34" s="570"/>
      <c r="Q34" s="670"/>
      <c r="R34" s="569"/>
      <c r="S34" s="69"/>
      <c r="T34" s="159"/>
      <c r="U34" s="178" t="s">
        <v>170</v>
      </c>
      <c r="V34" s="156" t="s">
        <v>204</v>
      </c>
      <c r="W34" s="167" t="s">
        <v>114</v>
      </c>
      <c r="X34" s="179">
        <v>0</v>
      </c>
      <c r="Y34" s="151" t="e">
        <f t="shared" ca="1" si="9"/>
        <v>#DIV/0!</v>
      </c>
      <c r="Z34" s="169" t="e">
        <f t="shared" ca="1" si="10"/>
        <v>#DIV/0!</v>
      </c>
      <c r="AA34" s="180" t="e">
        <f ca="1">SUM(Z29:Z34)</f>
        <v>#DIV/0!</v>
      </c>
      <c r="AB34" s="110" t="e">
        <f t="shared" ca="1" si="1"/>
        <v>#DIV/0!</v>
      </c>
      <c r="AC34" s="181"/>
      <c r="AD34" s="182"/>
      <c r="AE34" s="100" t="s">
        <v>136</v>
      </c>
      <c r="AF34" s="172" t="s">
        <v>114</v>
      </c>
      <c r="AG34" s="79"/>
      <c r="AH34" s="130" t="s">
        <v>205</v>
      </c>
      <c r="AI34" s="148"/>
      <c r="AJ34" s="148" t="e">
        <f ca="1">Z119+Z120</f>
        <v>#DIV/0!</v>
      </c>
      <c r="AL34" s="161" t="s">
        <v>136</v>
      </c>
      <c r="AM34" s="102">
        <v>552003</v>
      </c>
      <c r="AN34" s="103" t="s">
        <v>54</v>
      </c>
      <c r="AO34" s="104" t="e">
        <f t="shared" ca="1" si="2"/>
        <v>#DIV/0!</v>
      </c>
      <c r="AP34" s="49"/>
      <c r="AR34" s="112" t="str">
        <f t="shared" si="3"/>
        <v xml:space="preserve"> LINE O/W 2</v>
      </c>
      <c r="AS34" s="112" t="str">
        <f t="shared" si="5"/>
        <v>0451-72200</v>
      </c>
      <c r="AU34" s="108" t="e">
        <f t="shared" ca="1" si="4"/>
        <v>#DIV/0!</v>
      </c>
      <c r="AV34" s="7" t="s">
        <v>1</v>
      </c>
      <c r="AW34" s="7" t="s">
        <v>173</v>
      </c>
      <c r="BA34" s="190" t="s">
        <v>85</v>
      </c>
      <c r="BB34" s="190" t="s">
        <v>107</v>
      </c>
      <c r="BC34" s="190"/>
      <c r="BD34" s="190" t="s">
        <v>67</v>
      </c>
      <c r="BE34" s="191">
        <f ca="1">X13</f>
        <v>-250</v>
      </c>
      <c r="BF34" s="1212"/>
      <c r="BG34" s="191"/>
      <c r="BH34" s="191">
        <f ca="1">Z13</f>
        <v>-250</v>
      </c>
      <c r="BI34" s="1212"/>
    </row>
    <row r="35" spans="1:61" ht="15" customHeight="1">
      <c r="A35" s="664" t="s">
        <v>206</v>
      </c>
      <c r="B35" s="595"/>
      <c r="C35" s="595"/>
      <c r="D35" s="595"/>
      <c r="E35" s="595"/>
      <c r="F35" s="595"/>
      <c r="G35" s="595"/>
      <c r="H35" s="665"/>
      <c r="I35" s="665"/>
      <c r="J35" s="673"/>
      <c r="K35" s="667"/>
      <c r="L35" s="312"/>
      <c r="M35" s="472">
        <f>11.7+20+28.6+20+20+28.6+20</f>
        <v>148.9</v>
      </c>
      <c r="N35" s="693">
        <v>29</v>
      </c>
      <c r="O35" s="693">
        <v>47</v>
      </c>
      <c r="P35" s="570"/>
      <c r="Q35" s="563"/>
      <c r="R35" s="569" t="e">
        <f ca="1">K34</f>
        <v>#DIV/0!</v>
      </c>
      <c r="S35" s="114"/>
      <c r="T35" s="115" t="s">
        <v>207</v>
      </c>
      <c r="U35" s="93" t="s">
        <v>208</v>
      </c>
      <c r="V35" s="109" t="s">
        <v>209</v>
      </c>
      <c r="W35" s="167" t="s">
        <v>114</v>
      </c>
      <c r="X35" s="96" t="e">
        <f ca="1">R149</f>
        <v>#DIV/0!</v>
      </c>
      <c r="Y35" s="96" t="e">
        <f t="shared" ca="1" si="9"/>
        <v>#DIV/0!</v>
      </c>
      <c r="Z35" s="152" t="e">
        <f t="shared" ca="1" si="10"/>
        <v>#DIV/0!</v>
      </c>
      <c r="AA35" s="187"/>
      <c r="AB35" s="110" t="e">
        <f t="shared" ca="1" si="1"/>
        <v>#DIV/0!</v>
      </c>
      <c r="AC35" s="173"/>
      <c r="AD35" s="99"/>
      <c r="AE35" s="100" t="s">
        <v>136</v>
      </c>
      <c r="AF35" s="172" t="s">
        <v>114</v>
      </c>
      <c r="AG35" s="79"/>
      <c r="AH35" s="130" t="s">
        <v>210</v>
      </c>
      <c r="AI35" s="148"/>
      <c r="AJ35" s="148" t="e">
        <f ca="1">Z17</f>
        <v>#DIV/0!</v>
      </c>
      <c r="AL35" s="161" t="s">
        <v>136</v>
      </c>
      <c r="AM35" s="102">
        <v>552003</v>
      </c>
      <c r="AN35" s="103" t="s">
        <v>54</v>
      </c>
      <c r="AO35" s="104" t="e">
        <f t="shared" ca="1" si="2"/>
        <v>#DIV/0!</v>
      </c>
      <c r="AP35" s="49"/>
      <c r="AR35" s="112" t="str">
        <f t="shared" si="3"/>
        <v xml:space="preserve"> LINE CO/G 2-2</v>
      </c>
      <c r="AS35" s="112" t="str">
        <f t="shared" si="5"/>
        <v>0451-63900</v>
      </c>
      <c r="AU35" s="108" t="e">
        <f t="shared" ca="1" si="4"/>
        <v>#DIV/0!</v>
      </c>
      <c r="AV35" s="7" t="s">
        <v>1</v>
      </c>
      <c r="AW35" s="7" t="s">
        <v>173</v>
      </c>
      <c r="BA35" s="190" t="s">
        <v>85</v>
      </c>
      <c r="BB35" s="190" t="s">
        <v>154</v>
      </c>
      <c r="BC35" s="190"/>
      <c r="BD35" s="190" t="s">
        <v>67</v>
      </c>
      <c r="BE35" s="191">
        <f>X23</f>
        <v>250</v>
      </c>
      <c r="BF35" s="1212"/>
      <c r="BG35" s="191"/>
      <c r="BH35" s="191">
        <f>Z23</f>
        <v>250</v>
      </c>
      <c r="BI35" s="1212"/>
    </row>
    <row r="36" spans="1:61" ht="15" customHeight="1">
      <c r="A36" s="664" t="s">
        <v>211</v>
      </c>
      <c r="B36" s="595" t="s">
        <v>72</v>
      </c>
      <c r="C36" s="595">
        <v>1</v>
      </c>
      <c r="D36" s="595" t="s">
        <v>47</v>
      </c>
      <c r="E36" s="595"/>
      <c r="F36" s="595" t="s">
        <v>48</v>
      </c>
      <c r="G36" s="595" t="s">
        <v>49</v>
      </c>
      <c r="H36" s="665" cm="1">
        <f t="array" aca="1" ref="H36" ca="1">IFERROR(
    INDIRECT(
        "RawData!" &amp;
        ADDRESS(
            2,
            MATCH(
                TRIM(MID(A36, SEARCH(". ", A36) + 2, LEN(A36))) &amp; ".Import_kWh",
                RawData!$1:$1,
                0
            ),
            4
        )
    ),
    0
)</f>
        <v>0</v>
      </c>
      <c r="I36" s="665" cm="1">
        <f t="array" aca="1" ref="I36" ca="1">IFERROR(
    INDIRECT(
        "RawData!" &amp;
        ADDRESS(
            COUNTA(RawData!A:A),
            MATCH(
                TRIM(MID(A36, SEARCH(". ", A36) + 2, LEN(A36))) &amp; ".Import_kWh",
                RawData!$1:$1,
                0
            ),
            4
        )
    ),
    0
)</f>
        <v>0</v>
      </c>
      <c r="J36" s="666">
        <f ca="1">(I36-H36)*C36</f>
        <v>0</v>
      </c>
      <c r="K36" s="667" t="e">
        <f ca="1">J36*K$23/(J$24+J$30+J$34+J$36+J$39+J$42)</f>
        <v>#DIV/0!</v>
      </c>
      <c r="L36" s="312" t="e">
        <f ca="1">K36/J36</f>
        <v>#DIV/0!</v>
      </c>
      <c r="M36" s="694" t="e">
        <f ca="1">R37</f>
        <v>#DIV/0!</v>
      </c>
      <c r="N36" s="687"/>
      <c r="O36" s="687"/>
      <c r="P36" s="570"/>
      <c r="Q36" s="563"/>
      <c r="R36" s="569"/>
      <c r="S36" s="69"/>
      <c r="T36" s="159"/>
      <c r="U36" s="93" t="s">
        <v>212</v>
      </c>
      <c r="V36" s="109" t="s">
        <v>213</v>
      </c>
      <c r="W36" s="167" t="s">
        <v>114</v>
      </c>
      <c r="X36" s="96">
        <f ca="1">R144</f>
        <v>1200</v>
      </c>
      <c r="Y36" s="96" t="e">
        <f t="shared" ca="1" si="9"/>
        <v>#DIV/0!</v>
      </c>
      <c r="Z36" s="152" t="e">
        <f t="shared" ca="1" si="10"/>
        <v>#DIV/0!</v>
      </c>
      <c r="AA36" s="187"/>
      <c r="AB36" s="110" t="e">
        <f t="shared" ca="1" si="1"/>
        <v>#DIV/0!</v>
      </c>
      <c r="AC36" s="173"/>
      <c r="AD36" s="189"/>
      <c r="AE36" s="100" t="s">
        <v>136</v>
      </c>
      <c r="AF36" s="172" t="s">
        <v>114</v>
      </c>
      <c r="AG36" s="79"/>
      <c r="AH36" s="130" t="s">
        <v>214</v>
      </c>
      <c r="AI36" s="148"/>
      <c r="AJ36" s="148" t="e">
        <f ca="1">Z22+Z102+Z103+Z105+Z106+Z107+Z110</f>
        <v>#DIV/0!</v>
      </c>
      <c r="AL36" s="161" t="s">
        <v>136</v>
      </c>
      <c r="AM36" s="102">
        <v>552003</v>
      </c>
      <c r="AN36" s="103" t="s">
        <v>54</v>
      </c>
      <c r="AO36" s="104" t="e">
        <f t="shared" ca="1" si="2"/>
        <v>#DIV/0!</v>
      </c>
      <c r="AP36" s="49"/>
      <c r="AR36" s="112" t="str">
        <f t="shared" si="3"/>
        <v xml:space="preserve"> LINE PA/O2-1</v>
      </c>
      <c r="AS36" s="112" t="str">
        <f t="shared" si="5"/>
        <v>0451-66400</v>
      </c>
      <c r="AU36" s="108" t="e">
        <f t="shared" ca="1" si="4"/>
        <v>#DIV/0!</v>
      </c>
      <c r="AV36" s="7" t="s">
        <v>1</v>
      </c>
      <c r="AW36" s="7" t="s">
        <v>173</v>
      </c>
      <c r="BA36" s="190" t="s">
        <v>157</v>
      </c>
      <c r="BB36" s="190" t="s">
        <v>158</v>
      </c>
      <c r="BC36" s="190"/>
      <c r="BD36" s="190" t="s">
        <v>135</v>
      </c>
      <c r="BE36" s="191" t="e">
        <f ca="1">X24</f>
        <v>#DIV/0!</v>
      </c>
      <c r="BF36" s="1213"/>
      <c r="BG36" s="191"/>
      <c r="BH36" s="191" t="e">
        <f ca="1">Z24</f>
        <v>#DIV/0!</v>
      </c>
      <c r="BI36" s="1213"/>
    </row>
    <row r="37" spans="1:61" ht="15" customHeight="1">
      <c r="A37" s="664" t="s">
        <v>215</v>
      </c>
      <c r="B37" s="595"/>
      <c r="C37" s="595"/>
      <c r="D37" s="595"/>
      <c r="E37" s="595"/>
      <c r="F37" s="595"/>
      <c r="G37" s="595"/>
      <c r="H37" s="672"/>
      <c r="I37" s="672"/>
      <c r="J37" s="673"/>
      <c r="K37" s="568"/>
      <c r="L37" s="312"/>
      <c r="M37" s="570"/>
      <c r="N37" s="687">
        <v>12</v>
      </c>
      <c r="O37" s="687">
        <v>20</v>
      </c>
      <c r="P37" s="570"/>
      <c r="Q37" s="563"/>
      <c r="R37" s="569" t="e">
        <f ca="1">K36</f>
        <v>#DIV/0!</v>
      </c>
      <c r="S37" s="114"/>
      <c r="T37" s="115"/>
      <c r="U37" s="197" t="s">
        <v>216</v>
      </c>
      <c r="V37" s="198" t="s">
        <v>217</v>
      </c>
      <c r="W37" s="167" t="s">
        <v>114</v>
      </c>
      <c r="X37" s="199" t="e">
        <f ca="1">R152</f>
        <v>#DIV/0!</v>
      </c>
      <c r="Y37" s="151" t="e">
        <f t="shared" ca="1" si="9"/>
        <v>#DIV/0!</v>
      </c>
      <c r="Z37" s="169" t="e">
        <f t="shared" ca="1" si="10"/>
        <v>#DIV/0!</v>
      </c>
      <c r="AA37" s="180"/>
      <c r="AB37" s="110" t="e">
        <f t="shared" ca="1" si="1"/>
        <v>#DIV/0!</v>
      </c>
      <c r="AC37" s="181"/>
      <c r="AD37" s="182"/>
      <c r="AE37" s="100" t="s">
        <v>136</v>
      </c>
      <c r="AF37" s="172" t="s">
        <v>114</v>
      </c>
      <c r="AG37" s="79"/>
      <c r="AH37" s="130" t="s">
        <v>218</v>
      </c>
      <c r="AI37" s="148"/>
      <c r="AJ37" s="148" t="e">
        <f ca="1">Z108</f>
        <v>#DIV/0!</v>
      </c>
      <c r="AK37" s="200" t="e">
        <f ca="1">SUM(AJ26:AJ37)</f>
        <v>#DIV/0!</v>
      </c>
      <c r="AL37" s="161" t="s">
        <v>136</v>
      </c>
      <c r="AM37" s="102">
        <v>552003</v>
      </c>
      <c r="AN37" s="103" t="s">
        <v>54</v>
      </c>
      <c r="AO37" s="104" t="e">
        <f t="shared" ca="1" si="2"/>
        <v>#DIV/0!</v>
      </c>
      <c r="AP37" s="49"/>
      <c r="AR37" s="201" t="str">
        <f t="shared" si="3"/>
        <v xml:space="preserve"> LINE HO/CON 1</v>
      </c>
      <c r="AS37" s="112" t="str">
        <f t="shared" si="5"/>
        <v>0451-72800</v>
      </c>
      <c r="AU37" s="108" t="e">
        <f t="shared" ca="1" si="4"/>
        <v>#DIV/0!</v>
      </c>
      <c r="AV37" s="7" t="s">
        <v>1</v>
      </c>
      <c r="AW37" s="7" t="s">
        <v>173</v>
      </c>
      <c r="BA37" s="1214"/>
      <c r="BB37" s="1215"/>
      <c r="BC37" s="1215"/>
      <c r="BD37" s="1215"/>
      <c r="BE37" s="1215"/>
      <c r="BF37" s="1215"/>
      <c r="BG37" s="1216"/>
      <c r="BH37" s="202" t="e">
        <f ca="1">SUM(BH30:BH36)</f>
        <v>#DIV/0!</v>
      </c>
      <c r="BI37" s="203"/>
    </row>
    <row r="38" spans="1:61" ht="15" customHeight="1">
      <c r="A38" s="695" t="s">
        <v>219</v>
      </c>
      <c r="B38" s="696"/>
      <c r="C38" s="696"/>
      <c r="D38" s="696"/>
      <c r="E38" s="696"/>
      <c r="F38" s="696"/>
      <c r="G38" s="696"/>
      <c r="H38" s="697"/>
      <c r="I38" s="697"/>
      <c r="J38" s="698"/>
      <c r="K38" s="699"/>
      <c r="L38" s="700"/>
      <c r="M38" s="701">
        <f>28+7.65+0.02</f>
        <v>35.67</v>
      </c>
      <c r="N38" s="702">
        <v>0</v>
      </c>
      <c r="O38" s="702">
        <v>0</v>
      </c>
      <c r="P38" s="703"/>
      <c r="Q38" s="571"/>
      <c r="R38" s="704"/>
      <c r="S38" s="114" t="s">
        <v>220</v>
      </c>
      <c r="T38" s="115" t="s">
        <v>221</v>
      </c>
      <c r="U38" s="197" t="s">
        <v>216</v>
      </c>
      <c r="V38" s="198" t="s">
        <v>222</v>
      </c>
      <c r="W38" s="167" t="s">
        <v>114</v>
      </c>
      <c r="X38" s="199" t="e">
        <f ca="1">R223</f>
        <v>#DIV/0!</v>
      </c>
      <c r="Y38" s="151" t="e">
        <f t="shared" ca="1" si="9"/>
        <v>#DIV/0!</v>
      </c>
      <c r="Z38" s="169" t="e">
        <f t="shared" ca="1" si="10"/>
        <v>#DIV/0!</v>
      </c>
      <c r="AA38" s="180"/>
      <c r="AB38" s="110" t="e">
        <f t="shared" ca="1" si="1"/>
        <v>#DIV/0!</v>
      </c>
      <c r="AC38" s="181"/>
      <c r="AD38" s="182"/>
      <c r="AE38" s="100" t="s">
        <v>136</v>
      </c>
      <c r="AF38" s="172" t="s">
        <v>114</v>
      </c>
      <c r="AG38" s="79"/>
      <c r="AH38" s="130" t="s">
        <v>67</v>
      </c>
      <c r="AI38" s="148"/>
      <c r="AJ38" s="148" t="e">
        <f ca="1">Z6+Z8+Z9+Z10+Z11+Z12+Z13+Z23+Z127</f>
        <v>#DIV/0!</v>
      </c>
      <c r="AL38" s="161" t="s">
        <v>136</v>
      </c>
      <c r="AM38" s="102">
        <v>552003</v>
      </c>
      <c r="AN38" s="103" t="s">
        <v>54</v>
      </c>
      <c r="AO38" s="104" t="e">
        <f t="shared" ca="1" si="2"/>
        <v>#DIV/0!</v>
      </c>
      <c r="AP38" s="49"/>
      <c r="AR38" s="201" t="str">
        <f t="shared" si="3"/>
        <v xml:space="preserve"> LINE HO/CON 2</v>
      </c>
      <c r="AS38" s="112" t="str">
        <f t="shared" si="5"/>
        <v>0451-72800</v>
      </c>
      <c r="AU38" s="108" t="e">
        <f t="shared" ca="1" si="4"/>
        <v>#DIV/0!</v>
      </c>
      <c r="AV38" s="7" t="s">
        <v>1</v>
      </c>
      <c r="AW38" s="7" t="s">
        <v>173</v>
      </c>
      <c r="BA38" s="204" t="s">
        <v>223</v>
      </c>
      <c r="BB38" s="204" t="s">
        <v>224</v>
      </c>
      <c r="BC38" s="204"/>
      <c r="BD38" s="204" t="s">
        <v>75</v>
      </c>
      <c r="BE38" s="205" t="e">
        <f ca="1">X108</f>
        <v>#DIV/0!</v>
      </c>
      <c r="BF38" s="1217" t="e">
        <f ca="1">SUM(BE38:BE41)</f>
        <v>#DIV/0!</v>
      </c>
      <c r="BG38" s="205"/>
      <c r="BH38" s="205" t="e">
        <f ca="1">Z108</f>
        <v>#DIV/0!</v>
      </c>
      <c r="BI38" s="1217" t="e">
        <f ca="1">SUM(BH38:BH41)</f>
        <v>#DIV/0!</v>
      </c>
    </row>
    <row r="39" spans="1:61" ht="15" customHeight="1">
      <c r="A39" s="664" t="s">
        <v>225</v>
      </c>
      <c r="B39" s="595"/>
      <c r="C39" s="595">
        <v>1</v>
      </c>
      <c r="D39" s="595" t="s">
        <v>47</v>
      </c>
      <c r="E39" s="595"/>
      <c r="F39" s="595" t="s">
        <v>48</v>
      </c>
      <c r="G39" s="595" t="s">
        <v>49</v>
      </c>
      <c r="H39" s="665" cm="1">
        <f t="array" aca="1" ref="H39" ca="1">IFERROR(
    INDIRECT(
        "RawData!" &amp;
        ADDRESS(
            2,
            MATCH(
                TRIM(MID(A39, SEARCH(". ", A39) + 2, LEN(A39))) &amp; ".Import_kWh",
                RawData!$1:$1,
                0
            ),
            4
        )
    ),
    0
)</f>
        <v>0</v>
      </c>
      <c r="I39" s="665" cm="1">
        <f t="array" aca="1" ref="I39" ca="1">IFERROR(
    INDIRECT(
        "RawData!" &amp;
        ADDRESS(
            COUNTA(RawData!A:A),
            MATCH(
                TRIM(MID(A39, SEARCH(". ", A39) + 2, LEN(A39))) &amp; ".Import_kWh",
                RawData!$1:$1,
                0
            ),
            4
        )
    ),
    0
)</f>
        <v>0</v>
      </c>
      <c r="J39" s="666">
        <f ca="1">(I39-H39)*C39</f>
        <v>0</v>
      </c>
      <c r="K39" s="667" t="e">
        <f ca="1">J39*K$23/(J$24+J$30+J$34+J$36+J$39+J$42)</f>
        <v>#DIV/0!</v>
      </c>
      <c r="L39" s="312" t="e">
        <f ca="1">K39/J39</f>
        <v>#DIV/0!</v>
      </c>
      <c r="M39" s="694" t="e">
        <f ca="1">R40+R41</f>
        <v>#DIV/0!</v>
      </c>
      <c r="N39" s="687"/>
      <c r="O39" s="687"/>
      <c r="P39" s="570"/>
      <c r="Q39" s="563"/>
      <c r="R39" s="569"/>
      <c r="S39" s="69"/>
      <c r="T39" s="159"/>
      <c r="U39" s="197" t="s">
        <v>226</v>
      </c>
      <c r="V39" s="198" t="s">
        <v>227</v>
      </c>
      <c r="W39" s="167" t="s">
        <v>114</v>
      </c>
      <c r="X39" s="199" t="e">
        <f ca="1">R221</f>
        <v>#DIV/0!</v>
      </c>
      <c r="Y39" s="151" t="e">
        <f t="shared" ca="1" si="9"/>
        <v>#DIV/0!</v>
      </c>
      <c r="Z39" s="169" t="e">
        <f t="shared" ca="1" si="10"/>
        <v>#DIV/0!</v>
      </c>
      <c r="AA39" s="180"/>
      <c r="AB39" s="110" t="e">
        <f t="shared" ca="1" si="1"/>
        <v>#DIV/0!</v>
      </c>
      <c r="AC39" s="181"/>
      <c r="AD39" s="182"/>
      <c r="AE39" s="100" t="s">
        <v>136</v>
      </c>
      <c r="AF39" s="172" t="s">
        <v>114</v>
      </c>
      <c r="AG39" s="79"/>
      <c r="AH39" s="130"/>
      <c r="AI39" s="146"/>
      <c r="AJ39" s="148" t="e">
        <f ca="1">SUM(AJ25:AJ38)</f>
        <v>#DIV/0!</v>
      </c>
      <c r="AK39" s="49" t="e">
        <f ca="1">Z5-AJ39</f>
        <v>#DIV/0!</v>
      </c>
      <c r="AL39" s="161" t="s">
        <v>136</v>
      </c>
      <c r="AM39" s="102">
        <v>552003</v>
      </c>
      <c r="AN39" s="103" t="s">
        <v>54</v>
      </c>
      <c r="AO39" s="104" t="e">
        <f t="shared" ca="1" si="2"/>
        <v>#DIV/0!</v>
      </c>
      <c r="AP39" s="49"/>
      <c r="AR39" s="201" t="str">
        <f t="shared" si="3"/>
        <v xml:space="preserve"> LINE HO/CON 3</v>
      </c>
      <c r="AS39" s="112" t="str">
        <f t="shared" si="5"/>
        <v>0451-75800</v>
      </c>
      <c r="AU39" s="108" t="e">
        <f t="shared" ca="1" si="4"/>
        <v>#DIV/0!</v>
      </c>
      <c r="AV39" s="7" t="s">
        <v>1</v>
      </c>
      <c r="AW39" s="7" t="s">
        <v>173</v>
      </c>
      <c r="BA39" s="204" t="s">
        <v>228</v>
      </c>
      <c r="BB39" s="204" t="s">
        <v>229</v>
      </c>
      <c r="BC39" s="204"/>
      <c r="BD39" s="204" t="s">
        <v>230</v>
      </c>
      <c r="BE39" s="205" t="e">
        <f ca="1">X128</f>
        <v>#DIV/0!</v>
      </c>
      <c r="BF39" s="1218"/>
      <c r="BG39" s="205" t="e">
        <f t="shared" ref="BG39:BH39" ca="1" si="11">Y128</f>
        <v>#DIV/0!</v>
      </c>
      <c r="BH39" s="205" t="e">
        <f t="shared" ca="1" si="11"/>
        <v>#DIV/0!</v>
      </c>
      <c r="BI39" s="1218"/>
    </row>
    <row r="40" spans="1:61" ht="15" customHeight="1">
      <c r="A40" s="664" t="s">
        <v>231</v>
      </c>
      <c r="B40" s="671"/>
      <c r="C40" s="595"/>
      <c r="D40" s="595"/>
      <c r="E40" s="595"/>
      <c r="F40" s="595"/>
      <c r="G40" s="595"/>
      <c r="H40" s="672"/>
      <c r="I40" s="672"/>
      <c r="J40" s="673"/>
      <c r="K40" s="568"/>
      <c r="L40" s="312"/>
      <c r="M40" s="705">
        <f>36.88+36.88+8+11.2+12+1.6</f>
        <v>106.56</v>
      </c>
      <c r="N40" s="687">
        <v>24</v>
      </c>
      <c r="O40" s="687">
        <v>43</v>
      </c>
      <c r="P40" s="570">
        <f>M40*O40</f>
        <v>4582.08</v>
      </c>
      <c r="Q40" s="563">
        <f>P40/(P$40+P$41)</f>
        <v>0.628467345505618</v>
      </c>
      <c r="R40" s="569" t="e">
        <f ca="1">Q40*K$39</f>
        <v>#DIV/0!</v>
      </c>
      <c r="S40" s="114" t="s">
        <v>232</v>
      </c>
      <c r="T40" s="115" t="s">
        <v>233</v>
      </c>
      <c r="U40" s="178" t="s">
        <v>234</v>
      </c>
      <c r="V40" s="156" t="s">
        <v>235</v>
      </c>
      <c r="W40" s="167" t="s">
        <v>114</v>
      </c>
      <c r="X40" s="199" t="e">
        <f ca="1">R218</f>
        <v>#DIV/0!</v>
      </c>
      <c r="Y40" s="151" t="e">
        <f t="shared" ca="1" si="9"/>
        <v>#DIV/0!</v>
      </c>
      <c r="Z40" s="169" t="e">
        <f t="shared" ca="1" si="10"/>
        <v>#DIV/0!</v>
      </c>
      <c r="AA40" s="180"/>
      <c r="AB40" s="110" t="e">
        <f t="shared" ca="1" si="1"/>
        <v>#DIV/0!</v>
      </c>
      <c r="AC40" s="181"/>
      <c r="AD40" s="182"/>
      <c r="AE40" s="100" t="s">
        <v>136</v>
      </c>
      <c r="AF40" s="172" t="s">
        <v>114</v>
      </c>
      <c r="AG40" s="79"/>
      <c r="AH40" s="130"/>
      <c r="AI40" s="130"/>
      <c r="AL40" s="161" t="s">
        <v>136</v>
      </c>
      <c r="AM40" s="102">
        <v>552003</v>
      </c>
      <c r="AN40" s="103" t="s">
        <v>54</v>
      </c>
      <c r="AO40" s="104" t="e">
        <f t="shared" ca="1" si="2"/>
        <v>#DIV/0!</v>
      </c>
      <c r="AP40" s="49"/>
      <c r="AR40" s="112" t="str">
        <f t="shared" si="3"/>
        <v xml:space="preserve"> LINE HO/EX1</v>
      </c>
      <c r="AS40" s="112" t="str">
        <f t="shared" si="5"/>
        <v>0451-72500</v>
      </c>
      <c r="AU40" s="108" t="e">
        <f t="shared" ca="1" si="4"/>
        <v>#DIV/0!</v>
      </c>
      <c r="AV40" s="7" t="s">
        <v>1</v>
      </c>
      <c r="AW40" s="7" t="s">
        <v>173</v>
      </c>
      <c r="BA40" s="204" t="s">
        <v>236</v>
      </c>
      <c r="BB40" s="204" t="s">
        <v>237</v>
      </c>
      <c r="BC40" s="204"/>
      <c r="BD40" s="204" t="s">
        <v>230</v>
      </c>
      <c r="BE40" s="205">
        <f ca="1">X130</f>
        <v>0</v>
      </c>
      <c r="BF40" s="1218"/>
      <c r="BG40" s="205" t="e">
        <f ca="1">Y130</f>
        <v>#DIV/0!</v>
      </c>
      <c r="BH40" s="205" t="e">
        <f ca="1">Z130</f>
        <v>#DIV/0!</v>
      </c>
      <c r="BI40" s="1218"/>
    </row>
    <row r="41" spans="1:61" ht="15" customHeight="1">
      <c r="A41" s="664" t="s">
        <v>238</v>
      </c>
      <c r="B41" s="595"/>
      <c r="C41" s="595"/>
      <c r="D41" s="595"/>
      <c r="E41" s="595"/>
      <c r="F41" s="595"/>
      <c r="G41" s="595"/>
      <c r="H41" s="672"/>
      <c r="I41" s="672"/>
      <c r="J41" s="673"/>
      <c r="K41" s="568"/>
      <c r="L41" s="312"/>
      <c r="M41" s="705">
        <f>36.88+36.88+36.88+11.2+1.6+12</f>
        <v>135.44</v>
      </c>
      <c r="N41" s="687">
        <v>17</v>
      </c>
      <c r="O41" s="687">
        <v>20</v>
      </c>
      <c r="P41" s="570">
        <f>M41*O41</f>
        <v>2708.8</v>
      </c>
      <c r="Q41" s="563">
        <f>P41/(P$40+P$41)</f>
        <v>0.37153265449438205</v>
      </c>
      <c r="R41" s="569" t="e">
        <f ca="1">Q41*K$39</f>
        <v>#DIV/0!</v>
      </c>
      <c r="S41" s="114" t="s">
        <v>232</v>
      </c>
      <c r="T41" s="115" t="s">
        <v>233</v>
      </c>
      <c r="U41" s="178" t="s">
        <v>234</v>
      </c>
      <c r="V41" s="156" t="s">
        <v>239</v>
      </c>
      <c r="W41" s="167" t="s">
        <v>114</v>
      </c>
      <c r="X41" s="199" t="e">
        <f ca="1">R177</f>
        <v>#DIV/0!</v>
      </c>
      <c r="Y41" s="151" t="e">
        <f ca="1">(X41/$AI$10)*100</f>
        <v>#DIV/0!</v>
      </c>
      <c r="Z41" s="169" t="e">
        <f t="shared" ca="1" si="10"/>
        <v>#DIV/0!</v>
      </c>
      <c r="AA41" s="180"/>
      <c r="AB41" s="110" t="e">
        <f t="shared" ca="1" si="1"/>
        <v>#DIV/0!</v>
      </c>
      <c r="AC41" s="181"/>
      <c r="AD41" s="182"/>
      <c r="AE41" s="100" t="s">
        <v>136</v>
      </c>
      <c r="AF41" s="172" t="s">
        <v>114</v>
      </c>
      <c r="AG41" s="79"/>
      <c r="AH41" s="130" t="s">
        <v>136</v>
      </c>
      <c r="AI41" s="79"/>
      <c r="AJ41" s="49" t="e">
        <f ca="1">AJ25</f>
        <v>#DIV/0!</v>
      </c>
      <c r="AK41" s="200" t="e">
        <f ca="1">AJ41/AJ$44*100</f>
        <v>#DIV/0!</v>
      </c>
      <c r="AL41" s="161" t="s">
        <v>136</v>
      </c>
      <c r="AM41" s="102">
        <v>552003</v>
      </c>
      <c r="AN41" s="103" t="s">
        <v>54</v>
      </c>
      <c r="AO41" s="104" t="e">
        <f t="shared" ca="1" si="2"/>
        <v>#DIV/0!</v>
      </c>
      <c r="AP41" s="49"/>
      <c r="AR41" s="112" t="str">
        <f t="shared" si="3"/>
        <v xml:space="preserve"> LINE HO/EX2</v>
      </c>
      <c r="AS41" s="112" t="str">
        <f t="shared" si="5"/>
        <v>0451-72500</v>
      </c>
      <c r="AU41" s="108" t="e">
        <f t="shared" ca="1" si="4"/>
        <v>#DIV/0!</v>
      </c>
      <c r="AV41" s="7" t="s">
        <v>1</v>
      </c>
      <c r="AW41" s="7" t="s">
        <v>173</v>
      </c>
      <c r="BA41" s="204" t="s">
        <v>240</v>
      </c>
      <c r="BB41" s="204" t="s">
        <v>241</v>
      </c>
      <c r="BC41" s="204"/>
      <c r="BD41" s="204" t="s">
        <v>230</v>
      </c>
      <c r="BE41" s="205" t="e">
        <f ca="1">X131</f>
        <v>#DIV/0!</v>
      </c>
      <c r="BF41" s="1219"/>
      <c r="BG41" s="205" t="e">
        <f ca="1">Y131</f>
        <v>#DIV/0!</v>
      </c>
      <c r="BH41" s="205" t="e">
        <f ca="1">Z131</f>
        <v>#DIV/0!</v>
      </c>
      <c r="BI41" s="1219"/>
    </row>
    <row r="42" spans="1:61" ht="15" customHeight="1">
      <c r="A42" s="706" t="s">
        <v>242</v>
      </c>
      <c r="B42" s="707"/>
      <c r="C42" s="708">
        <v>1</v>
      </c>
      <c r="D42" s="708" t="s">
        <v>243</v>
      </c>
      <c r="E42" s="708"/>
      <c r="F42" s="708"/>
      <c r="G42" s="708"/>
      <c r="H42" s="665" cm="1">
        <f t="array" aca="1" ref="H42" ca="1">IFERROR(
    INDIRECT(
        "RawData!" &amp;
        ADDRESS(
            2,
            MATCH(
                TRIM(MID(A42, SEARCH(". ", A42) + 2, LEN(A42))) &amp; ".Import_kWh",
                RawData!$1:$1,
                0
            ),
            4
        )
    ),
    0
)</f>
        <v>0</v>
      </c>
      <c r="I42" s="665" cm="1">
        <f t="array" aca="1" ref="I42" ca="1">IFERROR(
    INDIRECT(
        "RawData!" &amp;
        ADDRESS(
            COUNTA(RawData!A:A),
            MATCH(
                TRIM(MID(A42, SEARCH(". ", A42) + 2, LEN(A42))) &amp; ".Import_kWh",
                RawData!$1:$1,
                0
            ),
            4
        )
    ),
    0
)</f>
        <v>0</v>
      </c>
      <c r="J42" s="666">
        <f ca="1">(I42-H42)*C42</f>
        <v>0</v>
      </c>
      <c r="K42" s="667" t="e">
        <f ca="1">J42*K$23/(J$24+J$30+J$34+J$36+J$39+J$42)</f>
        <v>#DIV/0!</v>
      </c>
      <c r="L42" s="709"/>
      <c r="M42" s="710"/>
      <c r="N42" s="711"/>
      <c r="O42" s="711"/>
      <c r="P42" s="712"/>
      <c r="Q42" s="713"/>
      <c r="R42" s="714"/>
      <c r="S42" s="69"/>
      <c r="T42" s="159"/>
      <c r="U42" s="93" t="s">
        <v>244</v>
      </c>
      <c r="V42" s="109" t="s">
        <v>245</v>
      </c>
      <c r="W42" s="167" t="s">
        <v>114</v>
      </c>
      <c r="X42" s="96" t="e">
        <f ca="1">R215+R216</f>
        <v>#DIV/0!</v>
      </c>
      <c r="Y42" s="120" t="e">
        <f t="shared" ca="1" si="9"/>
        <v>#DIV/0!</v>
      </c>
      <c r="Z42" s="152" t="e">
        <f t="shared" ca="1" si="10"/>
        <v>#DIV/0!</v>
      </c>
      <c r="AA42" s="187" t="e">
        <f ca="1">SUM(Z37:Z42)</f>
        <v>#DIV/0!</v>
      </c>
      <c r="AB42" s="110" t="e">
        <f t="shared" ca="1" si="1"/>
        <v>#DIV/0!</v>
      </c>
      <c r="AC42" s="188"/>
      <c r="AD42" s="189"/>
      <c r="AE42" s="100" t="s">
        <v>136</v>
      </c>
      <c r="AF42" s="172" t="s">
        <v>114</v>
      </c>
      <c r="AG42" s="79"/>
      <c r="AH42" s="130" t="s">
        <v>76</v>
      </c>
      <c r="AI42" s="79"/>
      <c r="AJ42" s="79" t="e">
        <f ca="1">AK37</f>
        <v>#DIV/0!</v>
      </c>
      <c r="AK42" s="200" t="e">
        <f t="shared" ref="AK42:AK43" ca="1" si="12">AJ42/AJ$44*100</f>
        <v>#DIV/0!</v>
      </c>
      <c r="AL42" s="161" t="s">
        <v>136</v>
      </c>
      <c r="AM42" s="102">
        <v>552003</v>
      </c>
      <c r="AN42" s="103" t="s">
        <v>54</v>
      </c>
      <c r="AO42" s="104" t="e">
        <f t="shared" ca="1" si="2"/>
        <v>#DIV/0!</v>
      </c>
      <c r="AP42" s="49"/>
      <c r="AR42" s="112" t="str">
        <f t="shared" si="3"/>
        <v xml:space="preserve"> LINE A/TRM</v>
      </c>
      <c r="AS42" s="112" t="str">
        <f t="shared" si="5"/>
        <v>0451-71300</v>
      </c>
      <c r="AU42" s="108" t="e">
        <f t="shared" ca="1" si="4"/>
        <v>#DIV/0!</v>
      </c>
      <c r="AV42" s="7" t="s">
        <v>1</v>
      </c>
      <c r="AW42" s="7" t="s">
        <v>173</v>
      </c>
      <c r="BA42" s="1220"/>
      <c r="BB42" s="1221"/>
      <c r="BC42" s="1221"/>
      <c r="BD42" s="1221"/>
      <c r="BE42" s="1221"/>
      <c r="BF42" s="1221"/>
      <c r="BG42" s="1222"/>
      <c r="BH42" s="206" t="e">
        <f ca="1">SUM(BH38:BH41)</f>
        <v>#DIV/0!</v>
      </c>
      <c r="BI42" s="207"/>
    </row>
    <row r="43" spans="1:61" ht="15" customHeight="1">
      <c r="A43" s="695" t="s">
        <v>246</v>
      </c>
      <c r="B43" s="715"/>
      <c r="C43" s="696"/>
      <c r="D43" s="696"/>
      <c r="E43" s="696"/>
      <c r="F43" s="696"/>
      <c r="G43" s="696"/>
      <c r="H43" s="697"/>
      <c r="I43" s="697"/>
      <c r="J43" s="698"/>
      <c r="K43" s="699"/>
      <c r="L43" s="700"/>
      <c r="M43" s="701">
        <f>23.92+12+23.92+14.48+1.6</f>
        <v>75.92</v>
      </c>
      <c r="N43" s="716">
        <v>1</v>
      </c>
      <c r="O43" s="716">
        <v>1</v>
      </c>
      <c r="P43" s="699">
        <f>M43*O43</f>
        <v>75.92</v>
      </c>
      <c r="Q43" s="571">
        <f>P43/(P$43)</f>
        <v>1</v>
      </c>
      <c r="R43" s="704" t="e">
        <f ca="1">Q43*K42</f>
        <v>#DIV/0!</v>
      </c>
      <c r="S43" s="114" t="s">
        <v>247</v>
      </c>
      <c r="T43" s="115" t="s">
        <v>248</v>
      </c>
      <c r="U43" s="93" t="s">
        <v>249</v>
      </c>
      <c r="V43" s="208" t="s">
        <v>250</v>
      </c>
      <c r="W43" s="167" t="s">
        <v>114</v>
      </c>
      <c r="X43" s="209" t="e">
        <f ca="1">R153</f>
        <v>#DIV/0!</v>
      </c>
      <c r="Y43" s="120" t="e">
        <f ca="1">(X43/$AI$10)*100</f>
        <v>#DIV/0!</v>
      </c>
      <c r="Z43" s="152" t="e">
        <f ca="1">X43+(Y43*$AI$7)/100</f>
        <v>#DIV/0!</v>
      </c>
      <c r="AA43" s="187" t="e">
        <f ca="1">SUM(Z49:Z82)</f>
        <v>#DIV/0!</v>
      </c>
      <c r="AB43" s="110" t="e">
        <f t="shared" ca="1" si="1"/>
        <v>#DIV/0!</v>
      </c>
      <c r="AC43" s="188"/>
      <c r="AD43" s="189"/>
      <c r="AE43" s="100" t="s">
        <v>136</v>
      </c>
      <c r="AF43" s="172" t="s">
        <v>114</v>
      </c>
      <c r="AG43" s="79"/>
      <c r="AH43" s="130" t="s">
        <v>67</v>
      </c>
      <c r="AI43" s="79"/>
      <c r="AJ43" s="49" t="e">
        <f ca="1">AJ38</f>
        <v>#DIV/0!</v>
      </c>
      <c r="AK43" s="200" t="e">
        <f t="shared" ca="1" si="12"/>
        <v>#DIV/0!</v>
      </c>
      <c r="AL43" s="161" t="s">
        <v>136</v>
      </c>
      <c r="AM43" s="102">
        <v>552003</v>
      </c>
      <c r="AN43" s="103" t="s">
        <v>54</v>
      </c>
      <c r="AO43" s="104" t="e">
        <f ca="1">ROUND(AB43,2)</f>
        <v>#DIV/0!</v>
      </c>
      <c r="AP43" s="49"/>
      <c r="AR43" s="112" t="str">
        <f>V43</f>
        <v xml:space="preserve"> LINE A/EGR/V</v>
      </c>
      <c r="AS43" s="112" t="str">
        <f>U43</f>
        <v>0451-73100</v>
      </c>
      <c r="AU43" s="108" t="e">
        <f ca="1">ROUND(Z43,2)</f>
        <v>#DIV/0!</v>
      </c>
      <c r="AV43" s="7" t="s">
        <v>1</v>
      </c>
      <c r="AW43" s="7" t="s">
        <v>173</v>
      </c>
      <c r="BA43" s="210" t="s">
        <v>223</v>
      </c>
      <c r="BB43" s="210" t="s">
        <v>251</v>
      </c>
      <c r="BC43" s="210"/>
      <c r="BD43" s="210" t="s">
        <v>75</v>
      </c>
      <c r="BE43" s="211" t="e">
        <f ca="1">X92</f>
        <v>#DIV/0!</v>
      </c>
      <c r="BF43" s="1223" t="e">
        <f ca="1">SUM(BE43:BE63)</f>
        <v>#DIV/0!</v>
      </c>
      <c r="BG43" s="211"/>
      <c r="BH43" s="211" t="e">
        <f ca="1">Z92</f>
        <v>#DIV/0!</v>
      </c>
      <c r="BI43" s="1226" t="e">
        <f ca="1">SUM(BH43:BH63)</f>
        <v>#DIV/0!</v>
      </c>
    </row>
    <row r="44" spans="1:61" ht="15" customHeight="1">
      <c r="A44" s="664"/>
      <c r="B44" s="595"/>
      <c r="C44" s="595"/>
      <c r="D44" s="595"/>
      <c r="E44" s="595"/>
      <c r="F44" s="595"/>
      <c r="G44" s="595"/>
      <c r="H44" s="594"/>
      <c r="I44" s="594"/>
      <c r="J44" s="675"/>
      <c r="K44" s="717"/>
      <c r="L44" s="312"/>
      <c r="M44" s="455"/>
      <c r="N44" s="669"/>
      <c r="O44" s="669"/>
      <c r="P44" s="570"/>
      <c r="Q44" s="563"/>
      <c r="R44" s="569"/>
      <c r="S44" s="69"/>
      <c r="T44" s="159"/>
      <c r="U44" s="212" t="s">
        <v>249</v>
      </c>
      <c r="V44" s="213" t="s">
        <v>252</v>
      </c>
      <c r="W44" s="214" t="s">
        <v>114</v>
      </c>
      <c r="X44" s="215" t="e">
        <f ca="1">R150</f>
        <v>#DIV/0!</v>
      </c>
      <c r="Y44" s="216" t="e">
        <f ca="1">(X44/$AI$10)*100</f>
        <v>#DIV/0!</v>
      </c>
      <c r="Z44" s="217" t="e">
        <f ca="1">X44+(Y44*$AI$7)/100</f>
        <v>#DIV/0!</v>
      </c>
      <c r="AA44" s="218"/>
      <c r="AB44" s="110" t="e">
        <f t="shared" ca="1" si="1"/>
        <v>#DIV/0!</v>
      </c>
      <c r="AC44" s="219"/>
      <c r="AD44" s="220"/>
      <c r="AE44" s="100"/>
      <c r="AF44" s="172"/>
      <c r="AG44" s="79"/>
      <c r="AH44" s="130"/>
      <c r="AI44" s="79"/>
      <c r="AJ44" s="49" t="e">
        <f ca="1">SUM(AJ41:AJ43)</f>
        <v>#DIV/0!</v>
      </c>
      <c r="AK44" s="221" t="e">
        <f ca="1">SUM(AK41:AK43)</f>
        <v>#DIV/0!</v>
      </c>
      <c r="AL44" s="161" t="s">
        <v>136</v>
      </c>
      <c r="AM44" s="102">
        <v>552003</v>
      </c>
      <c r="AN44" s="103" t="s">
        <v>54</v>
      </c>
      <c r="AO44" s="104" t="e">
        <f ca="1">ROUND(AB44,2)</f>
        <v>#DIV/0!</v>
      </c>
      <c r="AP44" s="49"/>
      <c r="AR44" s="112" t="str">
        <f>V44</f>
        <v xml:space="preserve"> LINE A/EGR/V2</v>
      </c>
      <c r="AS44" s="112" t="s">
        <v>249</v>
      </c>
      <c r="AU44" s="108" t="e">
        <f ca="1">ROUND(Z44,2)</f>
        <v>#DIV/0!</v>
      </c>
      <c r="AV44" s="7" t="s">
        <v>1</v>
      </c>
      <c r="AW44" s="7" t="s">
        <v>173</v>
      </c>
      <c r="BA44" s="210" t="s">
        <v>98</v>
      </c>
      <c r="BB44" s="210" t="s">
        <v>253</v>
      </c>
      <c r="BC44" s="210"/>
      <c r="BD44" s="210" t="s">
        <v>75</v>
      </c>
      <c r="BE44" s="211" t="e">
        <f ca="1">X121</f>
        <v>#DIV/0!</v>
      </c>
      <c r="BF44" s="1224"/>
      <c r="BG44" s="211"/>
      <c r="BH44" s="211" t="e">
        <f ca="1">Z121</f>
        <v>#DIV/0!</v>
      </c>
      <c r="BI44" s="1227"/>
    </row>
    <row r="45" spans="1:61" ht="15" customHeight="1">
      <c r="A45" s="678" t="s">
        <v>254</v>
      </c>
      <c r="B45" s="679" t="s">
        <v>64</v>
      </c>
      <c r="C45" s="679">
        <v>1</v>
      </c>
      <c r="D45" s="654" t="s">
        <v>47</v>
      </c>
      <c r="E45" s="654"/>
      <c r="F45" s="654" t="s">
        <v>48</v>
      </c>
      <c r="G45" s="654" t="s">
        <v>49</v>
      </c>
      <c r="H45" s="655" cm="1">
        <f t="array" aca="1" ref="H45" ca="1">IFERROR(
    INDIRECT(
        "RawData!" &amp;
        ADDRESS(
            2,
            MATCH(
                TRIM(MID(A45, SEARCH(". ", A45) + 2, LEN(A45))) &amp; ".Import_kWh",
                RawData!$1:$1,
                0
            ),
            4
        )
    ),
    0
)</f>
        <v>0</v>
      </c>
      <c r="I45" s="655" cm="1">
        <f t="array" aca="1" ref="I45" ca="1">IFERROR(
    INDIRECT(
        "RawData!" &amp;
        ADDRESS(
            COUNTA(RawData!A:A),
            MATCH(
                TRIM(MID(A45, SEARCH(". ", A45) + 2, LEN(A45))) &amp; ".Import_kWh",
                RawData!$1:$1,
                0
            ),
            4
        )
    ),
    0
)</f>
        <v>0</v>
      </c>
      <c r="J45" s="680">
        <f ca="1">(I45-H45)*C45</f>
        <v>0</v>
      </c>
      <c r="K45" s="657" t="e">
        <f ca="1">J45*K$5/(J$6+J$23+J$45+J$60+J$61)</f>
        <v>#DIV/0!</v>
      </c>
      <c r="L45" s="681" t="e">
        <f ca="1">K45/J45</f>
        <v>#DIV/0!</v>
      </c>
      <c r="M45" s="718" t="e">
        <f ca="1">R47+R52+R55+R50+R57+R58+R59+R48</f>
        <v>#DIV/0!</v>
      </c>
      <c r="N45" s="719"/>
      <c r="O45" s="719"/>
      <c r="P45" s="720"/>
      <c r="Q45" s="721"/>
      <c r="R45" s="722"/>
      <c r="S45" s="69"/>
      <c r="T45" s="159"/>
      <c r="U45" s="93" t="s">
        <v>255</v>
      </c>
      <c r="V45" s="109" t="s">
        <v>256</v>
      </c>
      <c r="W45" s="167" t="s">
        <v>114</v>
      </c>
      <c r="X45" s="96">
        <f ca="1">R141</f>
        <v>0</v>
      </c>
      <c r="Y45" s="120" t="e">
        <f t="shared" ca="1" si="9"/>
        <v>#DIV/0!</v>
      </c>
      <c r="Z45" s="152" t="e">
        <f t="shared" ca="1" si="10"/>
        <v>#DIV/0!</v>
      </c>
      <c r="AA45" s="187" t="e">
        <f ca="1">SUM(Z56:Z59)</f>
        <v>#DIV/0!</v>
      </c>
      <c r="AB45" s="110" t="e">
        <f t="shared" ca="1" si="1"/>
        <v>#DIV/0!</v>
      </c>
      <c r="AC45" s="188"/>
      <c r="AD45" s="189"/>
      <c r="AE45" s="100" t="s">
        <v>136</v>
      </c>
      <c r="AF45" s="172" t="s">
        <v>114</v>
      </c>
      <c r="AG45" s="79"/>
      <c r="AL45" s="161" t="s">
        <v>136</v>
      </c>
      <c r="AM45" s="102">
        <v>552003</v>
      </c>
      <c r="AN45" s="103" t="s">
        <v>54</v>
      </c>
      <c r="AO45" s="104" t="e">
        <f t="shared" ref="AO45:AO74" ca="1" si="13">ROUND(AB45,2)</f>
        <v>#DIV/0!</v>
      </c>
      <c r="AP45" s="49"/>
      <c r="AR45" s="112" t="str">
        <f t="shared" ref="AR45:AR74" si="14">V45</f>
        <v xml:space="preserve"> LINE PL/TRM</v>
      </c>
      <c r="AS45" s="112" t="str">
        <f t="shared" ref="AS45:AS83" si="15">U45</f>
        <v>0451-71500</v>
      </c>
      <c r="AU45" s="108" t="e">
        <f t="shared" ref="AU45:AU74" ca="1" si="16">ROUND(Z45,2)</f>
        <v>#DIV/0!</v>
      </c>
      <c r="AV45" s="7" t="s">
        <v>1</v>
      </c>
      <c r="AW45" s="7" t="s">
        <v>173</v>
      </c>
      <c r="BA45" s="210" t="s">
        <v>130</v>
      </c>
      <c r="BB45" s="210" t="s">
        <v>257</v>
      </c>
      <c r="BC45" s="210"/>
      <c r="BD45" s="210" t="s">
        <v>92</v>
      </c>
      <c r="BE45" s="211">
        <v>0</v>
      </c>
      <c r="BF45" s="1224"/>
      <c r="BG45" s="211">
        <v>0</v>
      </c>
      <c r="BH45" s="211">
        <v>0</v>
      </c>
      <c r="BI45" s="1227"/>
    </row>
    <row r="46" spans="1:61" ht="15" customHeight="1">
      <c r="A46" s="664" t="s">
        <v>258</v>
      </c>
      <c r="B46" s="723" t="s">
        <v>101</v>
      </c>
      <c r="C46" s="613">
        <v>1</v>
      </c>
      <c r="D46" s="595" t="s">
        <v>47</v>
      </c>
      <c r="E46" s="595"/>
      <c r="F46" s="595" t="s">
        <v>48</v>
      </c>
      <c r="G46" s="595" t="s">
        <v>49</v>
      </c>
      <c r="H46" s="665" cm="1">
        <f t="array" aca="1" ref="H46" ca="1">IFERROR(
    INDIRECT(
        "RawData!" &amp;
        ADDRESS(
            2,
            MATCH(
                TRIM(MID(A46, SEARCH(". ", A46) + 2, LEN(A46))) &amp; ".Import_kWh",
                RawData!$1:$1,
                0
            ),
            4
        )
    ),
    0
)</f>
        <v>0</v>
      </c>
      <c r="I46" s="665" cm="1">
        <f t="array" aca="1" ref="I46" ca="1">IFERROR(
    INDIRECT(
        "RawData!" &amp;
        ADDRESS(
            COUNTA(RawData!A:A),
            MATCH(
                TRIM(MID(A46, SEARCH(". ", A46) + 2, LEN(A46))) &amp; ".Import_kWh",
                RawData!$1:$1,
                0
            ),
            4
        )
    ),
    0
)</f>
        <v>0</v>
      </c>
      <c r="J46" s="666">
        <f ca="1">I46-H46</f>
        <v>0</v>
      </c>
      <c r="K46" s="688">
        <f ca="1">J46</f>
        <v>0</v>
      </c>
      <c r="L46" s="312" t="e">
        <f ca="1">K46/J46</f>
        <v>#DIV/0!</v>
      </c>
      <c r="M46" s="726">
        <f ca="1">R47+R48</f>
        <v>0</v>
      </c>
      <c r="N46" s="727"/>
      <c r="O46" s="727"/>
      <c r="P46" s="664"/>
      <c r="Q46" s="728"/>
      <c r="R46" s="729"/>
      <c r="S46" s="69"/>
      <c r="T46" s="159"/>
      <c r="U46" s="138" t="s">
        <v>259</v>
      </c>
      <c r="V46" s="222" t="s">
        <v>260</v>
      </c>
      <c r="W46" s="192" t="s">
        <v>114</v>
      </c>
      <c r="X46" s="223">
        <v>0</v>
      </c>
      <c r="Y46" s="193" t="e">
        <f t="shared" ca="1" si="9"/>
        <v>#DIV/0!</v>
      </c>
      <c r="Z46" s="194" t="e">
        <f t="shared" ca="1" si="10"/>
        <v>#DIV/0!</v>
      </c>
      <c r="AA46" s="195" t="e">
        <f ca="1">SUM(Z43:Z89)</f>
        <v>#DIV/0!</v>
      </c>
      <c r="AB46" s="129" t="e">
        <f t="shared" ca="1" si="1"/>
        <v>#DIV/0!</v>
      </c>
      <c r="AC46" s="144"/>
      <c r="AD46" s="196"/>
      <c r="AE46" s="100" t="s">
        <v>136</v>
      </c>
      <c r="AF46" s="172" t="s">
        <v>114</v>
      </c>
      <c r="AG46" s="79"/>
      <c r="AH46" s="130" t="s">
        <v>261</v>
      </c>
      <c r="AI46" s="49" t="e">
        <f ca="1">AI7</f>
        <v>#DIV/0!</v>
      </c>
      <c r="AL46" s="161" t="s">
        <v>136</v>
      </c>
      <c r="AM46" s="102">
        <v>552003</v>
      </c>
      <c r="AN46" s="103" t="s">
        <v>54</v>
      </c>
      <c r="AO46" s="104" t="e">
        <f t="shared" ca="1" si="13"/>
        <v>#DIV/0!</v>
      </c>
      <c r="AP46" s="49"/>
      <c r="AR46" s="112" t="str">
        <f t="shared" si="14"/>
        <v xml:space="preserve"> LINE PALLET</v>
      </c>
      <c r="AS46" s="112" t="str">
        <f t="shared" si="15"/>
        <v>0451-64700</v>
      </c>
      <c r="AU46" s="108" t="e">
        <f t="shared" ca="1" si="16"/>
        <v>#DIV/0!</v>
      </c>
      <c r="AV46" s="7" t="s">
        <v>1</v>
      </c>
      <c r="AW46" s="7" t="s">
        <v>173</v>
      </c>
      <c r="BA46" s="210" t="s">
        <v>223</v>
      </c>
      <c r="BB46" s="210" t="s">
        <v>262</v>
      </c>
      <c r="BC46" s="210"/>
      <c r="BD46" s="210" t="s">
        <v>75</v>
      </c>
      <c r="BE46" s="211">
        <f ca="1">X93</f>
        <v>0</v>
      </c>
      <c r="BF46" s="1224"/>
      <c r="BG46" s="211"/>
      <c r="BH46" s="211">
        <f ca="1">Z93</f>
        <v>0</v>
      </c>
      <c r="BI46" s="1227"/>
    </row>
    <row r="47" spans="1:61" ht="15" customHeight="1">
      <c r="A47" s="664" t="s">
        <v>263</v>
      </c>
      <c r="B47" s="730"/>
      <c r="C47" s="613"/>
      <c r="D47" s="613"/>
      <c r="E47" s="613"/>
      <c r="F47" s="613"/>
      <c r="G47" s="613"/>
      <c r="H47" s="594"/>
      <c r="I47" s="594"/>
      <c r="J47" s="731"/>
      <c r="K47" s="688"/>
      <c r="L47" s="312"/>
      <c r="M47" s="732">
        <f>20+5.6+5.1+20+20</f>
        <v>70.7</v>
      </c>
      <c r="N47" s="727">
        <v>36</v>
      </c>
      <c r="O47" s="727">
        <v>44</v>
      </c>
      <c r="P47" s="568">
        <f>M47*O47</f>
        <v>3110.8</v>
      </c>
      <c r="Q47" s="733">
        <f>P47/(P$47+P$48)</f>
        <v>1</v>
      </c>
      <c r="R47" s="729">
        <f ca="1">Q47*K$46</f>
        <v>0</v>
      </c>
      <c r="S47" s="114" t="s">
        <v>264</v>
      </c>
      <c r="T47" s="115" t="s">
        <v>265</v>
      </c>
      <c r="U47" s="178" t="s">
        <v>266</v>
      </c>
      <c r="V47" s="166" t="s">
        <v>267</v>
      </c>
      <c r="W47" s="167" t="s">
        <v>114</v>
      </c>
      <c r="X47" s="151">
        <f ca="1">R227+R239</f>
        <v>0</v>
      </c>
      <c r="Y47" s="151" t="e">
        <f t="shared" ca="1" si="9"/>
        <v>#DIV/0!</v>
      </c>
      <c r="Z47" s="169" t="e">
        <f t="shared" ca="1" si="10"/>
        <v>#DIV/0!</v>
      </c>
      <c r="AA47" s="224"/>
      <c r="AB47" s="110" t="e">
        <f t="shared" ca="1" si="1"/>
        <v>#DIV/0!</v>
      </c>
      <c r="AC47" s="181"/>
      <c r="AD47" s="182"/>
      <c r="AE47" s="100" t="s">
        <v>136</v>
      </c>
      <c r="AF47" s="172" t="s">
        <v>114</v>
      </c>
      <c r="AG47" s="79"/>
      <c r="AH47" s="130"/>
      <c r="AI47" s="225" t="e">
        <f ca="1">AI46/AJ41*100</f>
        <v>#DIV/0!</v>
      </c>
      <c r="AJ47" s="7" t="s">
        <v>268</v>
      </c>
      <c r="AL47" s="161" t="s">
        <v>136</v>
      </c>
      <c r="AM47" s="102">
        <v>552003</v>
      </c>
      <c r="AN47" s="103" t="s">
        <v>54</v>
      </c>
      <c r="AO47" s="104" t="e">
        <f t="shared" ca="1" si="13"/>
        <v>#DIV/0!</v>
      </c>
      <c r="AP47" s="49"/>
      <c r="AR47" s="112" t="str">
        <f t="shared" si="14"/>
        <v xml:space="preserve"> LINE I/M 6</v>
      </c>
      <c r="AS47" s="112" t="str">
        <f t="shared" si="15"/>
        <v>0451-75700</v>
      </c>
      <c r="AU47" s="108" t="e">
        <f t="shared" ca="1" si="16"/>
        <v>#DIV/0!</v>
      </c>
      <c r="AV47" s="7" t="s">
        <v>1</v>
      </c>
      <c r="AW47" s="7" t="s">
        <v>173</v>
      </c>
      <c r="BA47" s="210" t="s">
        <v>269</v>
      </c>
      <c r="BB47" s="210" t="s">
        <v>270</v>
      </c>
      <c r="BC47" s="210"/>
      <c r="BD47" s="210" t="s">
        <v>135</v>
      </c>
      <c r="BE47" s="211" t="e">
        <f ca="1">X163</f>
        <v>#DIV/0!</v>
      </c>
      <c r="BF47" s="1224"/>
      <c r="BG47" s="211" t="e">
        <f ca="1">Y163</f>
        <v>#DIV/0!</v>
      </c>
      <c r="BH47" s="211" t="e">
        <f ca="1">Z163</f>
        <v>#DIV/0!</v>
      </c>
      <c r="BI47" s="1227"/>
    </row>
    <row r="48" spans="1:61" ht="15" customHeight="1">
      <c r="A48" s="664" t="s">
        <v>271</v>
      </c>
      <c r="B48" s="734"/>
      <c r="C48" s="613"/>
      <c r="D48" s="613"/>
      <c r="E48" s="613"/>
      <c r="F48" s="613"/>
      <c r="G48" s="613"/>
      <c r="H48" s="594"/>
      <c r="I48" s="594"/>
      <c r="J48" s="673"/>
      <c r="K48" s="688">
        <f>74*13</f>
        <v>962</v>
      </c>
      <c r="L48" s="312"/>
      <c r="M48" s="732">
        <v>20</v>
      </c>
      <c r="N48" s="727">
        <v>7</v>
      </c>
      <c r="O48" s="727">
        <v>0</v>
      </c>
      <c r="P48" s="568">
        <f>M48*O48</f>
        <v>0</v>
      </c>
      <c r="Q48" s="733">
        <f>P48/(P$47+P$48)</f>
        <v>0</v>
      </c>
      <c r="R48" s="729">
        <f ca="1">Q48*K$46</f>
        <v>0</v>
      </c>
      <c r="S48" s="114" t="s">
        <v>272</v>
      </c>
      <c r="T48" s="115" t="s">
        <v>273</v>
      </c>
      <c r="U48" s="178" t="s">
        <v>266</v>
      </c>
      <c r="V48" s="166" t="s">
        <v>274</v>
      </c>
      <c r="W48" s="167" t="s">
        <v>114</v>
      </c>
      <c r="X48" s="226">
        <f ca="1">R249</f>
        <v>0</v>
      </c>
      <c r="Y48" s="151" t="e">
        <f ca="1">(X48/$AI$10)*100</f>
        <v>#DIV/0!</v>
      </c>
      <c r="Z48" s="169" t="e">
        <f ca="1">X48+(Y48*$AI$7)/100</f>
        <v>#DIV/0!</v>
      </c>
      <c r="AA48" s="176" t="e">
        <f ca="1">SUM(Z47:Z51)</f>
        <v>#DIV/0!</v>
      </c>
      <c r="AB48" s="110" t="e">
        <f t="shared" ca="1" si="1"/>
        <v>#DIV/0!</v>
      </c>
      <c r="AC48" s="177"/>
      <c r="AD48" s="171"/>
      <c r="AE48" s="100" t="s">
        <v>136</v>
      </c>
      <c r="AF48" s="172" t="s">
        <v>114</v>
      </c>
      <c r="AG48" s="79"/>
      <c r="AH48" s="130"/>
      <c r="AI48" s="225" t="e">
        <f ca="1">AI46/AJ44*100</f>
        <v>#DIV/0!</v>
      </c>
      <c r="AJ48" s="7" t="s">
        <v>275</v>
      </c>
      <c r="AL48" s="161" t="s">
        <v>136</v>
      </c>
      <c r="AM48" s="102">
        <v>552003</v>
      </c>
      <c r="AN48" s="103" t="s">
        <v>54</v>
      </c>
      <c r="AO48" s="104" t="e">
        <f t="shared" ca="1" si="13"/>
        <v>#DIV/0!</v>
      </c>
      <c r="AP48" s="49"/>
      <c r="AR48" s="112" t="str">
        <f t="shared" si="14"/>
        <v xml:space="preserve"> LINE I/M 9</v>
      </c>
      <c r="AS48" s="112" t="str">
        <f t="shared" si="15"/>
        <v>0451-75700</v>
      </c>
      <c r="AU48" s="108" t="e">
        <f t="shared" ca="1" si="16"/>
        <v>#DIV/0!</v>
      </c>
      <c r="AV48" s="7" t="s">
        <v>1</v>
      </c>
      <c r="AW48" s="7" t="s">
        <v>173</v>
      </c>
      <c r="BA48" s="210" t="s">
        <v>276</v>
      </c>
      <c r="BB48" s="210" t="s">
        <v>277</v>
      </c>
      <c r="BC48" s="210"/>
      <c r="BD48" s="210" t="s">
        <v>135</v>
      </c>
      <c r="BE48" s="211" t="e">
        <f ca="1">X164</f>
        <v>#DIV/0!</v>
      </c>
      <c r="BF48" s="1224"/>
      <c r="BG48" s="211" t="e">
        <f ca="1">Y164</f>
        <v>#DIV/0!</v>
      </c>
      <c r="BH48" s="211" t="e">
        <f ca="1">Z164</f>
        <v>#DIV/0!</v>
      </c>
      <c r="BI48" s="1227"/>
    </row>
    <row r="49" spans="1:61" ht="15" customHeight="1">
      <c r="A49" s="664" t="s">
        <v>278</v>
      </c>
      <c r="B49" s="613" t="s">
        <v>72</v>
      </c>
      <c r="C49" s="613">
        <v>1</v>
      </c>
      <c r="D49" s="595" t="s">
        <v>47</v>
      </c>
      <c r="E49" s="595"/>
      <c r="F49" s="595" t="s">
        <v>48</v>
      </c>
      <c r="G49" s="595" t="s">
        <v>49</v>
      </c>
      <c r="H49" s="665" cm="1">
        <f t="array" aca="1" ref="H49" ca="1">IFERROR(
    INDIRECT(
        "RawData!" &amp;
        ADDRESS(
            2,
            MATCH(
                TRIM(MID(A49, SEARCH(". ", A49) + 2, LEN(A49))) &amp; ".Import_kWh",
                RawData!$1:$1,
                0
            ),
            4
        )
    ),
    0
)</f>
        <v>0</v>
      </c>
      <c r="I49" s="665" cm="1">
        <f t="array" aca="1" ref="I49" ca="1">IFERROR(
    INDIRECT(
        "RawData!" &amp;
        ADDRESS(
            COUNTA(RawData!A:A),
            MATCH(
                TRIM(MID(A49, SEARCH(". ", A49) + 2, LEN(A49))) &amp; ".Import_kWh",
                RawData!$1:$1,
                0
            ),
            4
        )
    ),
    0
)</f>
        <v>0</v>
      </c>
      <c r="J49" s="666">
        <f ca="1">(I49-H49)*C49</f>
        <v>0</v>
      </c>
      <c r="K49" s="688">
        <f ca="1">J49</f>
        <v>0</v>
      </c>
      <c r="L49" s="312" t="e">
        <f ca="1">K49/J49</f>
        <v>#DIV/0!</v>
      </c>
      <c r="M49" s="726">
        <f ca="1">R50</f>
        <v>0</v>
      </c>
      <c r="N49" s="735"/>
      <c r="O49" s="735"/>
      <c r="P49" s="664"/>
      <c r="Q49" s="733"/>
      <c r="R49" s="729"/>
      <c r="S49" s="69"/>
      <c r="T49" s="159"/>
      <c r="U49" s="93" t="s">
        <v>279</v>
      </c>
      <c r="V49" s="109" t="s">
        <v>280</v>
      </c>
      <c r="W49" s="167" t="s">
        <v>114</v>
      </c>
      <c r="X49" s="186">
        <f ca="1">R229+R234</f>
        <v>0</v>
      </c>
      <c r="Y49" s="120" t="e">
        <f t="shared" ref="Y49" ca="1" si="17">(X49/$AI$10)*100</f>
        <v>#DIV/0!</v>
      </c>
      <c r="Z49" s="152" t="e">
        <f t="shared" ref="Z49" ca="1" si="18">X49+(Y49*$AI$7)/100</f>
        <v>#DIV/0!</v>
      </c>
      <c r="AA49" s="187" t="e">
        <f ca="1">SUM(Z58:Z89)</f>
        <v>#DIV/0!</v>
      </c>
      <c r="AB49" s="110" t="e">
        <f t="shared" ca="1" si="1"/>
        <v>#DIV/0!</v>
      </c>
      <c r="AC49" s="188"/>
      <c r="AD49" s="189"/>
      <c r="AE49" s="100" t="s">
        <v>136</v>
      </c>
      <c r="AF49" s="172" t="s">
        <v>114</v>
      </c>
      <c r="AG49" s="79"/>
      <c r="AH49" s="130"/>
      <c r="AL49" s="161" t="s">
        <v>136</v>
      </c>
      <c r="AM49" s="102">
        <v>552003</v>
      </c>
      <c r="AN49" s="103" t="s">
        <v>54</v>
      </c>
      <c r="AO49" s="104" t="e">
        <f t="shared" ca="1" si="13"/>
        <v>#DIV/0!</v>
      </c>
      <c r="AP49" s="49"/>
      <c r="AR49" s="112" t="str">
        <f t="shared" si="14"/>
        <v xml:space="preserve"> LINE I/M 11</v>
      </c>
      <c r="AS49" s="112" t="str">
        <f t="shared" si="15"/>
        <v>0451-65300</v>
      </c>
      <c r="AU49" s="108" t="e">
        <f t="shared" ca="1" si="16"/>
        <v>#DIV/0!</v>
      </c>
      <c r="AV49" s="7" t="s">
        <v>1</v>
      </c>
      <c r="AW49" s="7" t="s">
        <v>173</v>
      </c>
      <c r="BA49" s="210" t="s">
        <v>269</v>
      </c>
      <c r="BB49" s="210" t="s">
        <v>281</v>
      </c>
      <c r="BC49" s="210"/>
      <c r="BD49" s="210" t="s">
        <v>135</v>
      </c>
      <c r="BE49" s="211" t="e">
        <f ca="1">X166</f>
        <v>#DIV/0!</v>
      </c>
      <c r="BF49" s="1224"/>
      <c r="BG49" s="211" t="e">
        <f ca="1">Y166</f>
        <v>#DIV/0!</v>
      </c>
      <c r="BH49" s="211" t="e">
        <f ca="1">Z166</f>
        <v>#DIV/0!</v>
      </c>
      <c r="BI49" s="1227"/>
    </row>
    <row r="50" spans="1:61" ht="15" customHeight="1">
      <c r="A50" s="695" t="s">
        <v>282</v>
      </c>
      <c r="B50" s="736"/>
      <c r="C50" s="736"/>
      <c r="D50" s="736"/>
      <c r="E50" s="736"/>
      <c r="F50" s="736"/>
      <c r="G50" s="736"/>
      <c r="H50" s="737"/>
      <c r="I50" s="737"/>
      <c r="J50" s="698"/>
      <c r="K50" s="738"/>
      <c r="L50" s="700"/>
      <c r="M50" s="701"/>
      <c r="N50" s="702">
        <v>1</v>
      </c>
      <c r="O50" s="702">
        <v>1</v>
      </c>
      <c r="P50" s="699">
        <f>M50*O50</f>
        <v>0</v>
      </c>
      <c r="Q50" s="739" t="e">
        <f>P50/(P$50)</f>
        <v>#DIV/0!</v>
      </c>
      <c r="R50" s="740">
        <f ca="1">K49</f>
        <v>0</v>
      </c>
      <c r="S50" s="114"/>
      <c r="T50" s="115"/>
      <c r="U50" s="138" t="s">
        <v>266</v>
      </c>
      <c r="V50" s="222" t="s">
        <v>283</v>
      </c>
      <c r="W50" s="192" t="s">
        <v>114</v>
      </c>
      <c r="X50" s="223" t="e">
        <f ca="1">R263+R265</f>
        <v>#DIV/0!</v>
      </c>
      <c r="Y50" s="193" t="e">
        <f ca="1">(X50/$AI$10)*100</f>
        <v>#DIV/0!</v>
      </c>
      <c r="Z50" s="194" t="e">
        <f ca="1">X50+(Y50*$AI$7)/100</f>
        <v>#DIV/0!</v>
      </c>
      <c r="AA50" s="195" t="e">
        <f ca="1">SUM(Z83:Z83)</f>
        <v>#DIV/0!</v>
      </c>
      <c r="AB50" s="129" t="e">
        <f t="shared" ca="1" si="1"/>
        <v>#DIV/0!</v>
      </c>
      <c r="AC50" s="144"/>
      <c r="AD50" s="196"/>
      <c r="AE50" s="100" t="s">
        <v>136</v>
      </c>
      <c r="AF50" s="172" t="s">
        <v>114</v>
      </c>
      <c r="AG50" s="79"/>
      <c r="AH50" s="130"/>
      <c r="AL50" s="161" t="s">
        <v>136</v>
      </c>
      <c r="AM50" s="102">
        <v>552003</v>
      </c>
      <c r="AN50" s="103" t="s">
        <v>54</v>
      </c>
      <c r="AO50" s="104" t="e">
        <f t="shared" ca="1" si="13"/>
        <v>#DIV/0!</v>
      </c>
      <c r="AP50" s="49"/>
      <c r="AR50" s="112" t="str">
        <f t="shared" si="14"/>
        <v xml:space="preserve"> LINE I/M 12</v>
      </c>
      <c r="AS50" s="112" t="str">
        <f t="shared" si="15"/>
        <v>0451-75700</v>
      </c>
      <c r="AU50" s="108" t="e">
        <f t="shared" ca="1" si="16"/>
        <v>#DIV/0!</v>
      </c>
      <c r="AV50" s="7" t="s">
        <v>1</v>
      </c>
      <c r="AW50" s="7" t="s">
        <v>173</v>
      </c>
      <c r="BA50" s="210" t="s">
        <v>284</v>
      </c>
      <c r="BB50" s="210" t="s">
        <v>285</v>
      </c>
      <c r="BC50" s="210"/>
      <c r="BD50" s="210" t="s">
        <v>135</v>
      </c>
      <c r="BE50" s="211">
        <f ca="1">X168</f>
        <v>0</v>
      </c>
      <c r="BF50" s="1224"/>
      <c r="BG50" s="211" t="e">
        <f t="shared" ref="BG50:BH50" ca="1" si="19">Y168</f>
        <v>#DIV/0!</v>
      </c>
      <c r="BH50" s="211" t="e">
        <f t="shared" ca="1" si="19"/>
        <v>#DIV/0!</v>
      </c>
      <c r="BI50" s="1227"/>
    </row>
    <row r="51" spans="1:61" ht="15" customHeight="1">
      <c r="A51" s="664" t="s">
        <v>286</v>
      </c>
      <c r="B51" s="613" t="s">
        <v>72</v>
      </c>
      <c r="C51" s="613">
        <v>1</v>
      </c>
      <c r="D51" s="595" t="s">
        <v>47</v>
      </c>
      <c r="E51" s="595"/>
      <c r="F51" s="595" t="s">
        <v>48</v>
      </c>
      <c r="G51" s="595" t="s">
        <v>49</v>
      </c>
      <c r="H51" s="665" cm="1">
        <f t="array" aca="1" ref="H51" ca="1">IFERROR(
    INDIRECT(
        "RawData!" &amp;
        ADDRESS(
            2,
            MATCH(
                TRIM(MID(A51, SEARCH(". ", A51) + 2, LEN(A51))) &amp; ".Import_kWh",
                RawData!$1:$1,
                0
            ),
            4
        )
    ),
    0
)</f>
        <v>0</v>
      </c>
      <c r="I51" s="665" cm="1">
        <f t="array" aca="1" ref="I51" ca="1">IFERROR(
    INDIRECT(
        "RawData!" &amp;
        ADDRESS(
            COUNTA(RawData!A:A),
            MATCH(
                TRIM(MID(A51, SEARCH(". ", A51) + 2, LEN(A51))) &amp; ".Import_kWh",
                RawData!$1:$1,
                0
            ),
            4
        )
    ),
    0
)</f>
        <v>0</v>
      </c>
      <c r="J51" s="666">
        <f ca="1">(I51-H51)*C51</f>
        <v>0</v>
      </c>
      <c r="K51" s="688">
        <f ca="1">J51</f>
        <v>0</v>
      </c>
      <c r="L51" s="312" t="e">
        <f ca="1">K51/J51</f>
        <v>#DIV/0!</v>
      </c>
      <c r="M51" s="741"/>
      <c r="N51" s="727"/>
      <c r="O51" s="727"/>
      <c r="P51" s="664"/>
      <c r="Q51" s="733"/>
      <c r="R51" s="729"/>
      <c r="S51" s="69"/>
      <c r="T51" s="159"/>
      <c r="U51" s="93" t="s">
        <v>287</v>
      </c>
      <c r="V51" s="109" t="s">
        <v>288</v>
      </c>
      <c r="W51" s="167" t="s">
        <v>114</v>
      </c>
      <c r="X51" s="120">
        <f ca="1">R237</f>
        <v>0</v>
      </c>
      <c r="Y51" s="96" t="e">
        <f t="shared" ca="1" si="9"/>
        <v>#DIV/0!</v>
      </c>
      <c r="Z51" s="169" t="e">
        <f t="shared" ca="1" si="10"/>
        <v>#DIV/0!</v>
      </c>
      <c r="AA51" s="187"/>
      <c r="AB51" s="110" t="e">
        <f t="shared" ca="1" si="1"/>
        <v>#DIV/0!</v>
      </c>
      <c r="AC51" s="188"/>
      <c r="AD51" s="189"/>
      <c r="AE51" s="100" t="s">
        <v>136</v>
      </c>
      <c r="AF51" s="172" t="s">
        <v>114</v>
      </c>
      <c r="AG51" s="79"/>
      <c r="AH51" s="130"/>
      <c r="AL51" s="161" t="s">
        <v>136</v>
      </c>
      <c r="AM51" s="102">
        <v>552003</v>
      </c>
      <c r="AN51" s="103" t="s">
        <v>54</v>
      </c>
      <c r="AO51" s="104" t="e">
        <f t="shared" ca="1" si="13"/>
        <v>#DIV/0!</v>
      </c>
      <c r="AP51" s="49"/>
      <c r="AR51" s="112" t="str">
        <f t="shared" si="14"/>
        <v xml:space="preserve"> LINE ROD VALVE</v>
      </c>
      <c r="AS51" s="112" t="str">
        <f t="shared" si="15"/>
        <v>0451-72000</v>
      </c>
      <c r="AU51" s="108" t="e">
        <f t="shared" ca="1" si="16"/>
        <v>#DIV/0!</v>
      </c>
      <c r="AV51" s="7" t="s">
        <v>1</v>
      </c>
      <c r="AW51" s="7" t="s">
        <v>173</v>
      </c>
      <c r="BA51" s="210" t="s">
        <v>289</v>
      </c>
      <c r="BB51" s="210" t="s">
        <v>290</v>
      </c>
      <c r="BC51" s="210"/>
      <c r="BD51" s="210" t="s">
        <v>135</v>
      </c>
      <c r="BE51" s="211" t="e">
        <f ca="1">X169</f>
        <v>#DIV/0!</v>
      </c>
      <c r="BF51" s="1224"/>
      <c r="BG51" s="211" t="e">
        <f ca="1">Y169</f>
        <v>#DIV/0!</v>
      </c>
      <c r="BH51" s="211" t="e">
        <f ca="1">Z169</f>
        <v>#DIV/0!</v>
      </c>
      <c r="BI51" s="1227"/>
    </row>
    <row r="52" spans="1:61" ht="15" customHeight="1">
      <c r="A52" s="695" t="s">
        <v>291</v>
      </c>
      <c r="B52" s="736"/>
      <c r="C52" s="736"/>
      <c r="D52" s="736"/>
      <c r="E52" s="736"/>
      <c r="F52" s="736"/>
      <c r="G52" s="736"/>
      <c r="H52" s="737"/>
      <c r="I52" s="737"/>
      <c r="J52" s="742"/>
      <c r="K52" s="743"/>
      <c r="L52" s="700"/>
      <c r="M52" s="699">
        <v>1</v>
      </c>
      <c r="N52" s="702">
        <v>1</v>
      </c>
      <c r="O52" s="702">
        <v>1</v>
      </c>
      <c r="P52" s="699">
        <f>M52*O52</f>
        <v>1</v>
      </c>
      <c r="Q52" s="739">
        <f>P52/(P$52+P$53)</f>
        <v>0.5</v>
      </c>
      <c r="R52" s="740">
        <f ca="1">Q52*K$51</f>
        <v>0</v>
      </c>
      <c r="S52" s="114"/>
      <c r="T52" s="115"/>
      <c r="U52" s="93" t="s">
        <v>292</v>
      </c>
      <c r="V52" s="109" t="s">
        <v>293</v>
      </c>
      <c r="W52" s="167" t="s">
        <v>114</v>
      </c>
      <c r="X52" s="96">
        <f ca="1">R166+R168</f>
        <v>0</v>
      </c>
      <c r="Y52" s="120" t="e">
        <f t="shared" ca="1" si="9"/>
        <v>#DIV/0!</v>
      </c>
      <c r="Z52" s="152" t="e">
        <f t="shared" ca="1" si="10"/>
        <v>#DIV/0!</v>
      </c>
      <c r="AA52" s="187"/>
      <c r="AB52" s="110" t="e">
        <f t="shared" ca="1" si="1"/>
        <v>#DIV/0!</v>
      </c>
      <c r="AC52" s="173"/>
      <c r="AD52" s="189"/>
      <c r="AE52" s="100" t="s">
        <v>136</v>
      </c>
      <c r="AF52" s="172" t="s">
        <v>114</v>
      </c>
      <c r="AG52" s="79"/>
      <c r="AH52" s="130"/>
      <c r="AI52" s="130"/>
      <c r="AL52" s="161" t="s">
        <v>136</v>
      </c>
      <c r="AM52" s="102">
        <v>552003</v>
      </c>
      <c r="AN52" s="103" t="s">
        <v>54</v>
      </c>
      <c r="AO52" s="104" t="e">
        <f t="shared" ca="1" si="13"/>
        <v>#DIV/0!</v>
      </c>
      <c r="AP52" s="49"/>
      <c r="AR52" s="112" t="str">
        <f t="shared" si="14"/>
        <v xml:space="preserve"> LINE CO/O1</v>
      </c>
      <c r="AS52" s="112" t="str">
        <f t="shared" si="15"/>
        <v>0451-63600</v>
      </c>
      <c r="AU52" s="108" t="e">
        <f t="shared" ca="1" si="16"/>
        <v>#DIV/0!</v>
      </c>
      <c r="AV52" s="7" t="s">
        <v>1</v>
      </c>
      <c r="AW52" s="7" t="s">
        <v>173</v>
      </c>
      <c r="BA52" s="210" t="s">
        <v>284</v>
      </c>
      <c r="BB52" s="210" t="s">
        <v>294</v>
      </c>
      <c r="BC52" s="210"/>
      <c r="BD52" s="210" t="s">
        <v>135</v>
      </c>
      <c r="BE52" s="211">
        <f>X170</f>
        <v>0</v>
      </c>
      <c r="BF52" s="1224"/>
      <c r="BG52" s="211">
        <f>Y170</f>
        <v>0</v>
      </c>
      <c r="BH52" s="211">
        <f>Z170</f>
        <v>0</v>
      </c>
      <c r="BI52" s="1227"/>
    </row>
    <row r="53" spans="1:61" ht="15" customHeight="1">
      <c r="A53" s="695" t="s">
        <v>295</v>
      </c>
      <c r="B53" s="736"/>
      <c r="C53" s="736"/>
      <c r="D53" s="696"/>
      <c r="E53" s="696"/>
      <c r="F53" s="696"/>
      <c r="G53" s="696"/>
      <c r="H53" s="737"/>
      <c r="I53" s="737"/>
      <c r="J53" s="742"/>
      <c r="K53" s="743"/>
      <c r="L53" s="700"/>
      <c r="M53" s="699">
        <v>1</v>
      </c>
      <c r="N53" s="702">
        <v>1</v>
      </c>
      <c r="O53" s="702">
        <v>1</v>
      </c>
      <c r="P53" s="699">
        <f>M53*O53</f>
        <v>1</v>
      </c>
      <c r="Q53" s="739">
        <f>P53/(P$52+P$53)</f>
        <v>0.5</v>
      </c>
      <c r="R53" s="740">
        <f ca="1">Q53*K$51</f>
        <v>0</v>
      </c>
      <c r="S53" s="114"/>
      <c r="T53" s="115"/>
      <c r="U53" s="93" t="s">
        <v>296</v>
      </c>
      <c r="V53" s="109" t="s">
        <v>297</v>
      </c>
      <c r="W53" s="167" t="s">
        <v>114</v>
      </c>
      <c r="X53" s="96">
        <f ca="1">R253+R231</f>
        <v>0</v>
      </c>
      <c r="Y53" s="96" t="e">
        <f ca="1">(X53/$AI$10)*100</f>
        <v>#DIV/0!</v>
      </c>
      <c r="Z53" s="152" t="e">
        <f ca="1">X53+(Y53*$AI$7)/100</f>
        <v>#DIV/0!</v>
      </c>
      <c r="AA53" s="187" t="e">
        <f ca="1">SUM(Z52:Z53)</f>
        <v>#DIV/0!</v>
      </c>
      <c r="AB53" s="110" t="e">
        <f t="shared" ca="1" si="1"/>
        <v>#DIV/0!</v>
      </c>
      <c r="AC53" s="188"/>
      <c r="AD53" s="99"/>
      <c r="AE53" s="100" t="s">
        <v>136</v>
      </c>
      <c r="AF53" s="172" t="s">
        <v>114</v>
      </c>
      <c r="AG53" s="79"/>
      <c r="AH53" s="130"/>
      <c r="AI53" s="130"/>
      <c r="AL53" s="161" t="s">
        <v>136</v>
      </c>
      <c r="AM53" s="102">
        <v>552003</v>
      </c>
      <c r="AN53" s="103" t="s">
        <v>54</v>
      </c>
      <c r="AO53" s="104" t="e">
        <f t="shared" ca="1" si="13"/>
        <v>#DIV/0!</v>
      </c>
      <c r="AP53" s="49"/>
      <c r="AR53" s="112" t="str">
        <f t="shared" si="14"/>
        <v xml:space="preserve"> LINE I/M 2</v>
      </c>
      <c r="AS53" s="112" t="str">
        <f t="shared" si="15"/>
        <v>0451-71900</v>
      </c>
      <c r="AU53" s="108" t="e">
        <f t="shared" ca="1" si="16"/>
        <v>#DIV/0!</v>
      </c>
      <c r="AV53" s="7" t="s">
        <v>1</v>
      </c>
      <c r="AW53" s="7" t="s">
        <v>173</v>
      </c>
      <c r="BA53" s="210" t="s">
        <v>284</v>
      </c>
      <c r="BB53" s="210" t="s">
        <v>298</v>
      </c>
      <c r="BC53" s="210"/>
      <c r="BD53" s="210" t="s">
        <v>135</v>
      </c>
      <c r="BE53" s="211" t="e">
        <f ca="1">X172</f>
        <v>#DIV/0!</v>
      </c>
      <c r="BF53" s="1224"/>
      <c r="BG53" s="211" t="e">
        <f ca="1">Y172</f>
        <v>#DIV/0!</v>
      </c>
      <c r="BH53" s="211" t="e">
        <f ca="1">Z172</f>
        <v>#DIV/0!</v>
      </c>
      <c r="BI53" s="1227"/>
    </row>
    <row r="54" spans="1:61" ht="15" customHeight="1">
      <c r="A54" s="664" t="s">
        <v>299</v>
      </c>
      <c r="B54" s="613" t="s">
        <v>72</v>
      </c>
      <c r="C54" s="613">
        <v>1</v>
      </c>
      <c r="D54" s="595" t="s">
        <v>47</v>
      </c>
      <c r="E54" s="595"/>
      <c r="F54" s="595" t="s">
        <v>48</v>
      </c>
      <c r="G54" s="595" t="s">
        <v>49</v>
      </c>
      <c r="H54" s="665" cm="1">
        <f t="array" aca="1" ref="H54" ca="1">IFERROR(
    INDIRECT(
        "RawData!" &amp;
        ADDRESS(
            2,
            MATCH(
                TRIM(MID(A54, SEARCH(". ", A54) + 2, LEN(A54))) &amp; ".Import_kWh",
                RawData!$1:$1,
                0
            ),
            4
        )
    ),
    0
)</f>
        <v>0</v>
      </c>
      <c r="I54" s="665" cm="1">
        <f t="array" aca="1" ref="I54" ca="1">IFERROR(
    INDIRECT(
        "RawData!" &amp;
        ADDRESS(
            COUNTA(RawData!A:A),
            MATCH(
                TRIM(MID(A54, SEARCH(". ", A54) + 2, LEN(A54))) &amp; ".Import_kWh",
                RawData!$1:$1,
                0
            ),
            4
        )
    ),
    0
)</f>
        <v>0</v>
      </c>
      <c r="J54" s="666">
        <f ca="1">(I54-H54)*C54</f>
        <v>0</v>
      </c>
      <c r="K54" s="688">
        <f ca="1">J54</f>
        <v>0</v>
      </c>
      <c r="L54" s="312" t="e">
        <f ca="1">K54/J54</f>
        <v>#DIV/0!</v>
      </c>
      <c r="M54" s="744">
        <f ca="1">R55</f>
        <v>0</v>
      </c>
      <c r="N54" s="687"/>
      <c r="O54" s="687"/>
      <c r="P54" s="664"/>
      <c r="Q54" s="733"/>
      <c r="R54" s="729"/>
      <c r="S54" s="69"/>
      <c r="T54" s="159"/>
      <c r="U54" s="227" t="s">
        <v>300</v>
      </c>
      <c r="V54" s="160" t="s">
        <v>301</v>
      </c>
      <c r="W54" s="167" t="s">
        <v>114</v>
      </c>
      <c r="X54" s="96" t="e">
        <f ca="1">R197</f>
        <v>#DIV/0!</v>
      </c>
      <c r="Y54" s="96" t="e">
        <f t="shared" ca="1" si="9"/>
        <v>#DIV/0!</v>
      </c>
      <c r="Z54" s="152" t="e">
        <f t="shared" ca="1" si="10"/>
        <v>#DIV/0!</v>
      </c>
      <c r="AA54" s="187" t="e">
        <f ca="1">SUM(Z54:Z54)</f>
        <v>#DIV/0!</v>
      </c>
      <c r="AB54" s="110" t="e">
        <f t="shared" ca="1" si="1"/>
        <v>#DIV/0!</v>
      </c>
      <c r="AC54" s="188"/>
      <c r="AD54" s="189"/>
      <c r="AE54" s="100" t="s">
        <v>136</v>
      </c>
      <c r="AF54" s="172" t="s">
        <v>114</v>
      </c>
      <c r="AG54" s="79"/>
      <c r="AH54" s="130"/>
      <c r="AL54" s="161" t="s">
        <v>136</v>
      </c>
      <c r="AM54" s="102">
        <v>552003</v>
      </c>
      <c r="AN54" s="103" t="s">
        <v>54</v>
      </c>
      <c r="AO54" s="104" t="e">
        <f t="shared" ca="1" si="13"/>
        <v>#DIV/0!</v>
      </c>
      <c r="AP54" s="49"/>
      <c r="AR54" s="112" t="str">
        <f t="shared" si="14"/>
        <v xml:space="preserve"> LINE B/T1-2</v>
      </c>
      <c r="AS54" s="112" t="str">
        <f t="shared" si="15"/>
        <v>0451-66700</v>
      </c>
      <c r="AU54" s="108" t="e">
        <f t="shared" ca="1" si="16"/>
        <v>#DIV/0!</v>
      </c>
      <c r="AV54" s="7" t="s">
        <v>1</v>
      </c>
      <c r="AW54" s="7" t="s">
        <v>173</v>
      </c>
      <c r="BA54" s="210" t="s">
        <v>269</v>
      </c>
      <c r="BB54" s="210" t="s">
        <v>302</v>
      </c>
      <c r="BC54" s="210"/>
      <c r="BD54" s="210" t="s">
        <v>135</v>
      </c>
      <c r="BE54" s="211">
        <f ca="1">X176</f>
        <v>0</v>
      </c>
      <c r="BF54" s="1224"/>
      <c r="BG54" s="211"/>
      <c r="BH54" s="211" t="e">
        <f ca="1">Z176</f>
        <v>#DIV/0!</v>
      </c>
      <c r="BI54" s="1227"/>
    </row>
    <row r="55" spans="1:61" ht="15" customHeight="1">
      <c r="A55" s="664" t="s">
        <v>303</v>
      </c>
      <c r="B55" s="613"/>
      <c r="C55" s="613"/>
      <c r="D55" s="613"/>
      <c r="E55" s="613"/>
      <c r="F55" s="613"/>
      <c r="G55" s="613"/>
      <c r="H55" s="594"/>
      <c r="I55" s="594"/>
      <c r="J55" s="673"/>
      <c r="K55" s="667"/>
      <c r="L55" s="312"/>
      <c r="M55" s="705">
        <f>11.2+11.2+11.2+2.35</f>
        <v>35.949999999999996</v>
      </c>
      <c r="N55" s="745">
        <v>1</v>
      </c>
      <c r="O55" s="745">
        <v>1</v>
      </c>
      <c r="P55" s="568">
        <f>M55*O55</f>
        <v>35.949999999999996</v>
      </c>
      <c r="Q55" s="746">
        <f>P55/P55</f>
        <v>1</v>
      </c>
      <c r="R55" s="729">
        <f ca="1">K54</f>
        <v>0</v>
      </c>
      <c r="S55" s="114" t="s">
        <v>304</v>
      </c>
      <c r="T55" s="115" t="s">
        <v>305</v>
      </c>
      <c r="U55" s="93" t="s">
        <v>292</v>
      </c>
      <c r="V55" s="166" t="s">
        <v>306</v>
      </c>
      <c r="W55" s="167" t="s">
        <v>114</v>
      </c>
      <c r="X55" s="168">
        <f ca="1">R168</f>
        <v>0</v>
      </c>
      <c r="Y55" s="151" t="e">
        <f t="shared" ca="1" si="9"/>
        <v>#DIV/0!</v>
      </c>
      <c r="Z55" s="169" t="e">
        <f t="shared" ca="1" si="10"/>
        <v>#DIV/0!</v>
      </c>
      <c r="AA55" s="173"/>
      <c r="AB55" s="110" t="e">
        <f t="shared" ca="1" si="1"/>
        <v>#DIV/0!</v>
      </c>
      <c r="AC55" s="170"/>
      <c r="AD55" s="171"/>
      <c r="AE55" s="100" t="s">
        <v>136</v>
      </c>
      <c r="AF55" s="172" t="s">
        <v>114</v>
      </c>
      <c r="AG55" s="79"/>
      <c r="AH55" s="130"/>
      <c r="AL55" s="161" t="s">
        <v>136</v>
      </c>
      <c r="AM55" s="102">
        <v>552003</v>
      </c>
      <c r="AN55" s="103" t="s">
        <v>54</v>
      </c>
      <c r="AO55" s="104" t="e">
        <f t="shared" ca="1" si="13"/>
        <v>#DIV/0!</v>
      </c>
      <c r="AP55" s="49"/>
      <c r="AR55" s="112" t="str">
        <f t="shared" si="14"/>
        <v xml:space="preserve"> LINE ASSY CO/O</v>
      </c>
      <c r="AS55" s="112" t="str">
        <f t="shared" si="15"/>
        <v>0451-63600</v>
      </c>
      <c r="AU55" s="108" t="e">
        <f t="shared" ca="1" si="16"/>
        <v>#DIV/0!</v>
      </c>
      <c r="AV55" s="7" t="s">
        <v>1</v>
      </c>
      <c r="AW55" s="7" t="s">
        <v>173</v>
      </c>
      <c r="BA55" s="210" t="s">
        <v>269</v>
      </c>
      <c r="BB55" s="210" t="s">
        <v>307</v>
      </c>
      <c r="BC55" s="210"/>
      <c r="BD55" s="210" t="s">
        <v>135</v>
      </c>
      <c r="BE55" s="211">
        <f ca="1">X177</f>
        <v>0</v>
      </c>
      <c r="BF55" s="1224"/>
      <c r="BG55" s="211"/>
      <c r="BH55" s="211" t="e">
        <f ca="1">Z177</f>
        <v>#DIV/0!</v>
      </c>
      <c r="BI55" s="1227"/>
    </row>
    <row r="56" spans="1:61" ht="15" customHeight="1">
      <c r="A56" s="664" t="s">
        <v>308</v>
      </c>
      <c r="B56" s="613"/>
      <c r="C56" s="613"/>
      <c r="D56" s="613"/>
      <c r="E56" s="613"/>
      <c r="F56" s="613"/>
      <c r="G56" s="613"/>
      <c r="H56" s="594"/>
      <c r="I56" s="594"/>
      <c r="J56" s="666">
        <f ca="1">J46+J49+J51+J54</f>
        <v>0</v>
      </c>
      <c r="K56" s="667" t="e">
        <f ca="1">K45-J56</f>
        <v>#DIV/0!</v>
      </c>
      <c r="L56" s="312"/>
      <c r="M56" s="694" t="e">
        <f ca="1">R57+R58+R59</f>
        <v>#DIV/0!</v>
      </c>
      <c r="N56" s="687"/>
      <c r="O56" s="687"/>
      <c r="P56" s="568"/>
      <c r="Q56" s="733"/>
      <c r="R56" s="729"/>
      <c r="S56" s="69"/>
      <c r="T56" s="159"/>
      <c r="U56" s="93" t="s">
        <v>309</v>
      </c>
      <c r="V56" s="109" t="s">
        <v>310</v>
      </c>
      <c r="W56" s="167" t="s">
        <v>114</v>
      </c>
      <c r="X56" s="96" t="e">
        <f ca="1">R163+R167+R174</f>
        <v>#DIV/0!</v>
      </c>
      <c r="Y56" s="120" t="e">
        <f ca="1">(X56/$AI$10)*100</f>
        <v>#DIV/0!</v>
      </c>
      <c r="Z56" s="152" t="e">
        <f ca="1">X56+(Y56*$AI$7)/100</f>
        <v>#DIV/0!</v>
      </c>
      <c r="AA56" s="187" t="e">
        <f ca="1">SUM(Z32:Z56)</f>
        <v>#DIV/0!</v>
      </c>
      <c r="AB56" s="110" t="e">
        <f t="shared" ca="1" si="1"/>
        <v>#DIV/0!</v>
      </c>
      <c r="AC56" s="188"/>
      <c r="AD56" s="189"/>
      <c r="AE56" s="100" t="s">
        <v>136</v>
      </c>
      <c r="AF56" s="172" t="s">
        <v>114</v>
      </c>
      <c r="AG56" s="79"/>
      <c r="AH56" s="130"/>
      <c r="AL56" s="161" t="s">
        <v>136</v>
      </c>
      <c r="AM56" s="102">
        <v>552003</v>
      </c>
      <c r="AN56" s="103" t="s">
        <v>54</v>
      </c>
      <c r="AO56" s="104" t="e">
        <f t="shared" ca="1" si="13"/>
        <v>#DIV/0!</v>
      </c>
      <c r="AP56" s="49"/>
      <c r="AR56" s="112" t="str">
        <f t="shared" si="14"/>
        <v xml:space="preserve"> LINE ELB/COMP/I 1-1,1-2</v>
      </c>
      <c r="AS56" s="112" t="str">
        <f t="shared" si="15"/>
        <v>0451-74400</v>
      </c>
      <c r="AU56" s="108" t="e">
        <f t="shared" ca="1" si="16"/>
        <v>#DIV/0!</v>
      </c>
      <c r="AV56" s="7" t="s">
        <v>1</v>
      </c>
      <c r="AW56" s="7" t="s">
        <v>173</v>
      </c>
      <c r="BA56" s="210" t="s">
        <v>276</v>
      </c>
      <c r="BB56" s="210" t="s">
        <v>311</v>
      </c>
      <c r="BC56" s="210"/>
      <c r="BD56" s="210" t="s">
        <v>135</v>
      </c>
      <c r="BE56" s="211">
        <f ca="1">X178</f>
        <v>0</v>
      </c>
      <c r="BF56" s="1224"/>
      <c r="BG56" s="211"/>
      <c r="BH56" s="211" t="e">
        <f ca="1">Z178</f>
        <v>#DIV/0!</v>
      </c>
      <c r="BI56" s="1227"/>
    </row>
    <row r="57" spans="1:61" ht="15" customHeight="1">
      <c r="A57" s="664" t="s">
        <v>303</v>
      </c>
      <c r="B57" s="613"/>
      <c r="C57" s="613"/>
      <c r="D57" s="613"/>
      <c r="E57" s="613"/>
      <c r="F57" s="613"/>
      <c r="G57" s="613"/>
      <c r="H57" s="594"/>
      <c r="I57" s="594"/>
      <c r="J57" s="675"/>
      <c r="K57" s="568"/>
      <c r="L57" s="689"/>
      <c r="M57" s="705">
        <f>10.4+10.4</f>
        <v>20.8</v>
      </c>
      <c r="N57" s="745">
        <v>1</v>
      </c>
      <c r="O57" s="745">
        <v>1</v>
      </c>
      <c r="P57" s="568">
        <f>M57*O57</f>
        <v>20.8</v>
      </c>
      <c r="Q57" s="733">
        <f>P57/(P$57+P$58+P$59)</f>
        <v>1</v>
      </c>
      <c r="R57" s="729">
        <v>0</v>
      </c>
      <c r="S57" s="114" t="s">
        <v>304</v>
      </c>
      <c r="T57" s="115" t="s">
        <v>305</v>
      </c>
      <c r="U57" s="212" t="s">
        <v>309</v>
      </c>
      <c r="V57" s="228" t="s">
        <v>312</v>
      </c>
      <c r="W57" s="167" t="s">
        <v>114</v>
      </c>
      <c r="X57" s="96" t="e">
        <f ca="1">R245+R255</f>
        <v>#DIV/0!</v>
      </c>
      <c r="Y57" s="120" t="e">
        <f ca="1">(X57/$AI$10)*100</f>
        <v>#DIV/0!</v>
      </c>
      <c r="Z57" s="152" t="e">
        <f ca="1">X57+(Y57*$AI$7)/100</f>
        <v>#DIV/0!</v>
      </c>
      <c r="AA57" s="187" t="e">
        <f ca="1">SUM(Z33:Z57)</f>
        <v>#DIV/0!</v>
      </c>
      <c r="AB57" s="110" t="e">
        <f t="shared" ca="1" si="1"/>
        <v>#DIV/0!</v>
      </c>
      <c r="AC57" s="188"/>
      <c r="AD57" s="189"/>
      <c r="AE57" s="100" t="s">
        <v>136</v>
      </c>
      <c r="AF57" s="172" t="s">
        <v>114</v>
      </c>
      <c r="AG57" s="79"/>
      <c r="AH57" s="130"/>
      <c r="AL57" s="161" t="s">
        <v>136</v>
      </c>
      <c r="AM57" s="102">
        <v>552003</v>
      </c>
      <c r="AN57" s="103" t="s">
        <v>54</v>
      </c>
      <c r="AO57" s="104" t="e">
        <f t="shared" ca="1" si="13"/>
        <v>#DIV/0!</v>
      </c>
      <c r="AP57" s="49"/>
      <c r="AR57" s="112" t="str">
        <f t="shared" si="14"/>
        <v xml:space="preserve"> LINE ELB/COMP/I 1-3</v>
      </c>
      <c r="AS57" s="112" t="str">
        <f t="shared" si="15"/>
        <v>0451-74400</v>
      </c>
      <c r="AU57" s="108" t="e">
        <f t="shared" ca="1" si="16"/>
        <v>#DIV/0!</v>
      </c>
      <c r="AV57" s="7" t="s">
        <v>1</v>
      </c>
      <c r="AW57" s="7" t="s">
        <v>173</v>
      </c>
      <c r="BA57" s="210" t="s">
        <v>289</v>
      </c>
      <c r="BB57" s="210" t="s">
        <v>313</v>
      </c>
      <c r="BC57" s="210"/>
      <c r="BD57" s="210" t="s">
        <v>135</v>
      </c>
      <c r="BE57" s="211">
        <f ca="1">X180</f>
        <v>0</v>
      </c>
      <c r="BF57" s="1224"/>
      <c r="BG57" s="211"/>
      <c r="BH57" s="211" t="e">
        <f ca="1">Z180</f>
        <v>#DIV/0!</v>
      </c>
      <c r="BI57" s="1227"/>
    </row>
    <row r="58" spans="1:61" ht="14.25" customHeight="1">
      <c r="A58" s="695" t="s">
        <v>282</v>
      </c>
      <c r="B58" s="736"/>
      <c r="C58" s="736"/>
      <c r="D58" s="736"/>
      <c r="E58" s="736"/>
      <c r="F58" s="736"/>
      <c r="G58" s="736"/>
      <c r="H58" s="737"/>
      <c r="I58" s="737"/>
      <c r="J58" s="698"/>
      <c r="K58" s="699"/>
      <c r="L58" s="747"/>
      <c r="M58" s="701"/>
      <c r="N58" s="702">
        <v>1</v>
      </c>
      <c r="O58" s="702">
        <v>1</v>
      </c>
      <c r="P58" s="699">
        <f>M58*O58</f>
        <v>0</v>
      </c>
      <c r="Q58" s="739">
        <f>P58/(P$57+P$58+P$59)</f>
        <v>0</v>
      </c>
      <c r="R58" s="740" t="e">
        <f ca="1">K56</f>
        <v>#DIV/0!</v>
      </c>
      <c r="S58" s="114"/>
      <c r="T58" s="115"/>
      <c r="U58" s="93" t="s">
        <v>314</v>
      </c>
      <c r="V58" s="109" t="s">
        <v>315</v>
      </c>
      <c r="W58" s="167" t="s">
        <v>114</v>
      </c>
      <c r="X58" s="96">
        <f ca="1">R164</f>
        <v>0</v>
      </c>
      <c r="Y58" s="120" t="e">
        <f ca="1">(X58/$AI$10)*100</f>
        <v>#DIV/0!</v>
      </c>
      <c r="Z58" s="152" t="e">
        <f ca="1">X58+(Y58*$AI$7)/100</f>
        <v>#DIV/0!</v>
      </c>
      <c r="AA58" s="187" t="e">
        <f ca="1">SUM(Z33:Z58)</f>
        <v>#DIV/0!</v>
      </c>
      <c r="AB58" s="110" t="e">
        <f t="shared" ca="1" si="1"/>
        <v>#DIV/0!</v>
      </c>
      <c r="AC58" s="188"/>
      <c r="AD58" s="189"/>
      <c r="AE58" s="100" t="s">
        <v>136</v>
      </c>
      <c r="AF58" s="172" t="s">
        <v>114</v>
      </c>
      <c r="AG58" s="79"/>
      <c r="AH58" s="130"/>
      <c r="AL58" s="161" t="s">
        <v>136</v>
      </c>
      <c r="AM58" s="102">
        <v>552003</v>
      </c>
      <c r="AN58" s="103" t="s">
        <v>54</v>
      </c>
      <c r="AO58" s="104" t="e">
        <f t="shared" ca="1" si="13"/>
        <v>#DIV/0!</v>
      </c>
      <c r="AP58" s="49"/>
      <c r="AR58" s="112" t="str">
        <f t="shared" si="14"/>
        <v xml:space="preserve"> LINE ELB/COMP/O</v>
      </c>
      <c r="AS58" s="112" t="str">
        <f t="shared" si="15"/>
        <v>0451-73800</v>
      </c>
      <c r="AU58" s="108" t="e">
        <f t="shared" ca="1" si="16"/>
        <v>#DIV/0!</v>
      </c>
      <c r="AV58" s="7" t="s">
        <v>1</v>
      </c>
      <c r="AW58" s="7" t="s">
        <v>173</v>
      </c>
      <c r="BA58" s="210" t="s">
        <v>316</v>
      </c>
      <c r="BB58" s="210" t="s">
        <v>317</v>
      </c>
      <c r="BC58" s="210"/>
      <c r="BD58" s="210" t="s">
        <v>135</v>
      </c>
      <c r="BE58" s="211">
        <f>X187</f>
        <v>0</v>
      </c>
      <c r="BF58" s="1224"/>
      <c r="BG58" s="211" t="e">
        <f t="shared" ref="BG58:BH61" ca="1" si="20">Y187</f>
        <v>#DIV/0!</v>
      </c>
      <c r="BH58" s="211" t="e">
        <f t="shared" ca="1" si="20"/>
        <v>#DIV/0!</v>
      </c>
      <c r="BI58" s="1227"/>
    </row>
    <row r="59" spans="1:61" ht="15" customHeight="1">
      <c r="A59" s="706"/>
      <c r="B59" s="748"/>
      <c r="C59" s="748"/>
      <c r="D59" s="748"/>
      <c r="E59" s="748"/>
      <c r="F59" s="748"/>
      <c r="G59" s="748"/>
      <c r="H59" s="749"/>
      <c r="I59" s="749"/>
      <c r="J59" s="750"/>
      <c r="K59" s="712"/>
      <c r="L59" s="709"/>
      <c r="M59" s="751"/>
      <c r="N59" s="745"/>
      <c r="O59" s="745"/>
      <c r="P59" s="712"/>
      <c r="Q59" s="752"/>
      <c r="R59" s="753"/>
      <c r="S59" s="229"/>
      <c r="T59" s="230"/>
      <c r="U59" s="212" t="s">
        <v>314</v>
      </c>
      <c r="V59" s="228" t="s">
        <v>318</v>
      </c>
      <c r="W59" s="167" t="s">
        <v>114</v>
      </c>
      <c r="X59" s="96">
        <f ca="1">R246</f>
        <v>0</v>
      </c>
      <c r="Y59" s="120" t="e">
        <f ca="1">(X59/$AI$10)*100</f>
        <v>#DIV/0!</v>
      </c>
      <c r="Z59" s="152" t="e">
        <f ca="1">X59+(Y59*$AI$7)/100</f>
        <v>#DIV/0!</v>
      </c>
      <c r="AA59" s="187" t="e">
        <f ca="1">SUM(Z56:Z59)</f>
        <v>#DIV/0!</v>
      </c>
      <c r="AB59" s="110" t="e">
        <f t="shared" ca="1" si="1"/>
        <v>#DIV/0!</v>
      </c>
      <c r="AC59" s="188"/>
      <c r="AD59" s="189"/>
      <c r="AE59" s="100" t="s">
        <v>136</v>
      </c>
      <c r="AF59" s="172" t="s">
        <v>114</v>
      </c>
      <c r="AG59" s="79"/>
      <c r="AH59" s="130"/>
      <c r="AL59" s="161" t="s">
        <v>136</v>
      </c>
      <c r="AM59" s="102">
        <v>552003</v>
      </c>
      <c r="AN59" s="103" t="s">
        <v>54</v>
      </c>
      <c r="AO59" s="104" t="e">
        <f t="shared" ca="1" si="13"/>
        <v>#DIV/0!</v>
      </c>
      <c r="AP59" s="49"/>
      <c r="AR59" s="112" t="str">
        <f t="shared" si="14"/>
        <v xml:space="preserve"> LINE ELB/COMP/O2</v>
      </c>
      <c r="AS59" s="112" t="str">
        <f t="shared" si="15"/>
        <v>0451-73800</v>
      </c>
      <c r="AU59" s="108" t="e">
        <f t="shared" ca="1" si="16"/>
        <v>#DIV/0!</v>
      </c>
      <c r="AV59" s="7" t="s">
        <v>1</v>
      </c>
      <c r="AW59" s="7" t="s">
        <v>173</v>
      </c>
      <c r="BA59" s="210" t="s">
        <v>316</v>
      </c>
      <c r="BB59" s="210" t="s">
        <v>319</v>
      </c>
      <c r="BC59" s="210"/>
      <c r="BD59" s="210" t="s">
        <v>135</v>
      </c>
      <c r="BE59" s="211">
        <f>X188</f>
        <v>0</v>
      </c>
      <c r="BF59" s="1224"/>
      <c r="BG59" s="211" t="e">
        <f t="shared" ca="1" si="20"/>
        <v>#DIV/0!</v>
      </c>
      <c r="BH59" s="211" t="e">
        <f t="shared" ca="1" si="20"/>
        <v>#DIV/0!</v>
      </c>
      <c r="BI59" s="1227"/>
    </row>
    <row r="60" spans="1:61" ht="12.75" customHeight="1">
      <c r="A60" s="678" t="s">
        <v>1159</v>
      </c>
      <c r="B60" s="754" t="s">
        <v>320</v>
      </c>
      <c r="C60" s="754">
        <v>1</v>
      </c>
      <c r="D60" s="654" t="s">
        <v>47</v>
      </c>
      <c r="E60" s="654"/>
      <c r="F60" s="654" t="s">
        <v>48</v>
      </c>
      <c r="G60" s="654" t="s">
        <v>49</v>
      </c>
      <c r="H60" s="655" cm="1">
        <f t="array" aca="1" ref="H60" ca="1">IFERROR(
    INDIRECT(
        "RawData!" &amp;
        ADDRESS(
            2,
            MATCH(
                TRIM(MID(A60, SEARCH(". ", A60) + 2, LEN(A60))) &amp; ".Import_kWh",
                RawData!$1:$1,
                0
            ),
            4
        )
    ),
    0
)</f>
        <v>0</v>
      </c>
      <c r="I60" s="655" cm="1">
        <f t="array" aca="1" ref="I60" ca="1">IFERROR(
    INDIRECT(
        "RawData!" &amp;
        ADDRESS(
            COUNTA(RawData!A:A),
            MATCH(
                TRIM(MID(A60, SEARCH(". ", A60) + 2, LEN(A60))) &amp; ".Import_kWh",
                RawData!$1:$1,
                0
            ),
            4
        )
    ),
    0
)</f>
        <v>0</v>
      </c>
      <c r="J60" s="680">
        <f ca="1">(I60-H60)*C60</f>
        <v>0</v>
      </c>
      <c r="K60" s="657" t="e">
        <f ca="1">J60*K$5/(J$6+J$23+J$45+J$60+J$61)</f>
        <v>#DIV/0!</v>
      </c>
      <c r="L60" s="681" t="e">
        <f ca="1">K60/J60</f>
        <v>#DIV/0!</v>
      </c>
      <c r="M60" s="755"/>
      <c r="N60" s="719"/>
      <c r="O60" s="719"/>
      <c r="P60" s="678"/>
      <c r="Q60" s="756"/>
      <c r="R60" s="722" t="e">
        <f ca="1">K60</f>
        <v>#DIV/0!</v>
      </c>
      <c r="S60" s="231" t="s">
        <v>51</v>
      </c>
      <c r="T60" s="115"/>
      <c r="U60" s="232" t="s">
        <v>321</v>
      </c>
      <c r="V60" s="233" t="s">
        <v>322</v>
      </c>
      <c r="W60" s="192" t="s">
        <v>114</v>
      </c>
      <c r="X60" s="234">
        <f ca="1">R250+R254</f>
        <v>0</v>
      </c>
      <c r="Y60" s="193" t="e">
        <f ca="1">(X60/$AI$10)*100</f>
        <v>#DIV/0!</v>
      </c>
      <c r="Z60" s="194" t="e">
        <f ca="1">X60+(Y60*$AI$7)/100</f>
        <v>#DIV/0!</v>
      </c>
      <c r="AA60" s="195" t="e">
        <f ca="1">SUM(Z57:Z60)</f>
        <v>#DIV/0!</v>
      </c>
      <c r="AB60" s="129" t="e">
        <f t="shared" ca="1" si="1"/>
        <v>#DIV/0!</v>
      </c>
      <c r="AC60" s="144"/>
      <c r="AD60" s="196"/>
      <c r="AE60" s="100" t="s">
        <v>136</v>
      </c>
      <c r="AF60" s="172" t="s">
        <v>114</v>
      </c>
      <c r="AG60" s="79"/>
      <c r="AH60" s="130"/>
      <c r="AL60" s="161" t="s">
        <v>136</v>
      </c>
      <c r="AM60" s="102">
        <v>552003</v>
      </c>
      <c r="AN60" s="103" t="s">
        <v>54</v>
      </c>
      <c r="AO60" s="104" t="e">
        <f t="shared" ca="1" si="13"/>
        <v>#DIV/0!</v>
      </c>
      <c r="AP60" s="49"/>
      <c r="AR60" s="112" t="str">
        <f t="shared" si="14"/>
        <v xml:space="preserve"> LINE ELB/COMP/O3</v>
      </c>
      <c r="AS60" s="112" t="str">
        <f t="shared" si="15"/>
        <v>0451-64400</v>
      </c>
      <c r="AU60" s="108" t="e">
        <f t="shared" ca="1" si="16"/>
        <v>#DIV/0!</v>
      </c>
      <c r="AV60" s="7" t="s">
        <v>1</v>
      </c>
      <c r="AW60" s="7" t="s">
        <v>173</v>
      </c>
      <c r="BA60" s="210" t="s">
        <v>316</v>
      </c>
      <c r="BB60" s="210" t="s">
        <v>323</v>
      </c>
      <c r="BC60" s="210"/>
      <c r="BD60" s="210" t="s">
        <v>135</v>
      </c>
      <c r="BE60" s="211">
        <f ca="1">X189</f>
        <v>0</v>
      </c>
      <c r="BF60" s="1224"/>
      <c r="BG60" s="211" t="e">
        <f t="shared" ca="1" si="20"/>
        <v>#DIV/0!</v>
      </c>
      <c r="BH60" s="211" t="e">
        <f t="shared" ca="1" si="20"/>
        <v>#DIV/0!</v>
      </c>
      <c r="BI60" s="1227"/>
    </row>
    <row r="61" spans="1:61" ht="15" customHeight="1">
      <c r="A61" s="678" t="s">
        <v>324</v>
      </c>
      <c r="B61" s="757" t="s">
        <v>101</v>
      </c>
      <c r="C61" s="757">
        <v>1</v>
      </c>
      <c r="D61" s="654" t="s">
        <v>47</v>
      </c>
      <c r="E61" s="654"/>
      <c r="F61" s="654" t="s">
        <v>48</v>
      </c>
      <c r="G61" s="654" t="s">
        <v>49</v>
      </c>
      <c r="H61" s="655" cm="1">
        <f t="array" aca="1" ref="H61" ca="1">IFERROR(
    INDIRECT(
        "RawData!" &amp;
        ADDRESS(
            2,
            MATCH(
                TRIM(MID(A61, SEARCH(". ", A61) + 2, LEN(A61))) &amp; ".Import_kWh",
                RawData!$1:$1,
                0
            ),
            4
        )
    ),
    0
)</f>
        <v>0</v>
      </c>
      <c r="I61" s="655" cm="1">
        <f t="array" aca="1" ref="I61" ca="1">IFERROR(
    INDIRECT(
        "RawData!" &amp;
        ADDRESS(
            COUNTA(RawData!A:A),
            MATCH(
                TRIM(MID(A61, SEARCH(". ", A61) + 2, LEN(A61))) &amp; ".Import_kWh",
                RawData!$1:$1,
                0
            ),
            4
        )
    ),
    0
)</f>
        <v>0</v>
      </c>
      <c r="J61" s="656">
        <f ca="1">(I61-H61)*C61</f>
        <v>0</v>
      </c>
      <c r="K61" s="657" t="e">
        <f ca="1">J61*K$5/(J$6+J$23+J$45+J$60+J$61)</f>
        <v>#DIV/0!</v>
      </c>
      <c r="L61" s="681" t="e">
        <f ca="1">K61/J61</f>
        <v>#DIV/0!</v>
      </c>
      <c r="M61" s="718" t="e">
        <f ca="1">K61</f>
        <v>#DIV/0!</v>
      </c>
      <c r="N61" s="719"/>
      <c r="O61" s="719"/>
      <c r="P61" s="678"/>
      <c r="Q61" s="721"/>
      <c r="R61" s="722"/>
      <c r="S61" s="69"/>
      <c r="T61" s="159"/>
      <c r="U61" s="178" t="s">
        <v>83</v>
      </c>
      <c r="V61" s="156" t="s">
        <v>84</v>
      </c>
      <c r="W61" s="235" t="s">
        <v>77</v>
      </c>
      <c r="X61" s="199" t="e">
        <f ca="1">R25+R29+R31+R8+R22+R10</f>
        <v>#DIV/0!</v>
      </c>
      <c r="Y61" s="151" t="e">
        <f t="shared" ca="1" si="9"/>
        <v>#DIV/0!</v>
      </c>
      <c r="Z61" s="169" t="e">
        <f t="shared" ca="1" si="10"/>
        <v>#DIV/0!</v>
      </c>
      <c r="AA61" s="180"/>
      <c r="AB61" s="110" t="e">
        <f t="shared" ca="1" si="1"/>
        <v>#DIV/0!</v>
      </c>
      <c r="AC61" s="181"/>
      <c r="AD61" s="182"/>
      <c r="AE61" s="100" t="s">
        <v>136</v>
      </c>
      <c r="AF61" s="172" t="s">
        <v>77</v>
      </c>
      <c r="AG61" s="79"/>
      <c r="AH61" s="130"/>
      <c r="AL61" s="161" t="s">
        <v>136</v>
      </c>
      <c r="AM61" s="102">
        <v>552003</v>
      </c>
      <c r="AN61" s="103" t="s">
        <v>54</v>
      </c>
      <c r="AO61" s="104" t="e">
        <f t="shared" ca="1" si="13"/>
        <v>#DIV/0!</v>
      </c>
      <c r="AP61" s="49"/>
      <c r="AR61" s="112" t="str">
        <f t="shared" si="14"/>
        <v xml:space="preserve"> LINE HO/P/FR 1-1,1-2,1-3,1-5</v>
      </c>
      <c r="AS61" s="112" t="str">
        <f t="shared" si="15"/>
        <v>0451-75100</v>
      </c>
      <c r="AU61" s="108" t="e">
        <f t="shared" ca="1" si="16"/>
        <v>#DIV/0!</v>
      </c>
      <c r="AV61" s="7" t="s">
        <v>1</v>
      </c>
      <c r="AW61" s="7" t="s">
        <v>173</v>
      </c>
      <c r="BA61" s="210" t="s">
        <v>316</v>
      </c>
      <c r="BB61" s="210" t="s">
        <v>325</v>
      </c>
      <c r="BC61" s="210"/>
      <c r="BD61" s="210" t="s">
        <v>135</v>
      </c>
      <c r="BE61" s="211" t="e">
        <f ca="1">X190</f>
        <v>#DIV/0!</v>
      </c>
      <c r="BF61" s="1224"/>
      <c r="BG61" s="211" t="e">
        <f t="shared" ca="1" si="20"/>
        <v>#DIV/0!</v>
      </c>
      <c r="BH61" s="211" t="e">
        <f t="shared" ca="1" si="20"/>
        <v>#DIV/0!</v>
      </c>
      <c r="BI61" s="1227"/>
    </row>
    <row r="62" spans="1:61" ht="14.25" customHeight="1">
      <c r="A62" s="664" t="s">
        <v>326</v>
      </c>
      <c r="B62" s="734"/>
      <c r="C62" s="613"/>
      <c r="D62" s="613"/>
      <c r="E62" s="613"/>
      <c r="F62" s="613"/>
      <c r="G62" s="613"/>
      <c r="H62" s="594"/>
      <c r="I62" s="594"/>
      <c r="J62" s="673"/>
      <c r="K62" s="758"/>
      <c r="L62" s="312"/>
      <c r="M62" s="759">
        <f>30.4+20+23.9+20+12+28+23.9+20+12.9</f>
        <v>191.10000000000002</v>
      </c>
      <c r="N62" s="727">
        <v>35</v>
      </c>
      <c r="O62" s="727">
        <v>49</v>
      </c>
      <c r="P62" s="664"/>
      <c r="Q62" s="733"/>
      <c r="R62" s="729" t="e">
        <f ca="1">K61</f>
        <v>#DIV/0!</v>
      </c>
      <c r="S62" s="114" t="s">
        <v>327</v>
      </c>
      <c r="T62" s="115" t="s">
        <v>328</v>
      </c>
      <c r="U62" s="178" t="s">
        <v>195</v>
      </c>
      <c r="V62" s="166" t="s">
        <v>196</v>
      </c>
      <c r="W62" s="167" t="s">
        <v>77</v>
      </c>
      <c r="X62" s="168" t="e">
        <f ca="1">R32</f>
        <v>#DIV/0!</v>
      </c>
      <c r="Y62" s="151" t="e">
        <f t="shared" ca="1" si="9"/>
        <v>#DIV/0!</v>
      </c>
      <c r="Z62" s="169" t="e">
        <f t="shared" ca="1" si="10"/>
        <v>#DIV/0!</v>
      </c>
      <c r="AA62" s="173"/>
      <c r="AB62" s="110" t="e">
        <f t="shared" ca="1" si="1"/>
        <v>#DIV/0!</v>
      </c>
      <c r="AC62" s="170"/>
      <c r="AD62" s="171"/>
      <c r="AE62" s="100" t="s">
        <v>136</v>
      </c>
      <c r="AF62" s="172" t="s">
        <v>77</v>
      </c>
      <c r="AG62" s="79"/>
      <c r="AH62" s="130"/>
      <c r="AL62" s="161" t="s">
        <v>136</v>
      </c>
      <c r="AM62" s="102">
        <v>552003</v>
      </c>
      <c r="AN62" s="103" t="s">
        <v>54</v>
      </c>
      <c r="AO62" s="104" t="e">
        <f t="shared" ca="1" si="13"/>
        <v>#DIV/0!</v>
      </c>
      <c r="AP62" s="49"/>
      <c r="AR62" s="112" t="str">
        <f t="shared" si="14"/>
        <v xml:space="preserve"> LINE BR/EN</v>
      </c>
      <c r="AS62" s="112" t="str">
        <f t="shared" si="15"/>
        <v>0451-76700</v>
      </c>
      <c r="AU62" s="108" t="e">
        <f t="shared" ca="1" si="16"/>
        <v>#DIV/0!</v>
      </c>
      <c r="AV62" s="7" t="s">
        <v>1</v>
      </c>
      <c r="AW62" s="7" t="s">
        <v>173</v>
      </c>
      <c r="BA62" s="210" t="s">
        <v>329</v>
      </c>
      <c r="BB62" s="210" t="s">
        <v>330</v>
      </c>
      <c r="BC62" s="210"/>
      <c r="BD62" s="210" t="s">
        <v>135</v>
      </c>
      <c r="BE62" s="211" t="e">
        <f ca="1">X195</f>
        <v>#DIV/0!</v>
      </c>
      <c r="BF62" s="1224"/>
      <c r="BG62" s="211" t="e">
        <f ca="1">Y195</f>
        <v>#DIV/0!</v>
      </c>
      <c r="BH62" s="211" t="e">
        <f ca="1">Z195</f>
        <v>#DIV/0!</v>
      </c>
      <c r="BI62" s="1227"/>
    </row>
    <row r="63" spans="1:61" ht="15" customHeight="1">
      <c r="A63" s="760"/>
      <c r="B63" s="734"/>
      <c r="C63" s="613"/>
      <c r="D63" s="613"/>
      <c r="E63" s="613"/>
      <c r="F63" s="613"/>
      <c r="G63" s="613"/>
      <c r="H63" s="594"/>
      <c r="I63" s="594"/>
      <c r="J63" s="673"/>
      <c r="K63" s="758"/>
      <c r="L63" s="312"/>
      <c r="M63" s="759"/>
      <c r="N63" s="727"/>
      <c r="O63" s="727"/>
      <c r="P63" s="664"/>
      <c r="Q63" s="733"/>
      <c r="R63" s="729"/>
      <c r="S63" s="69"/>
      <c r="T63" s="159"/>
      <c r="U63" s="236" t="s">
        <v>162</v>
      </c>
      <c r="V63" s="237" t="s">
        <v>163</v>
      </c>
      <c r="W63" s="192" t="s">
        <v>77</v>
      </c>
      <c r="X63" s="238" t="e">
        <f ca="1">R26+R135</f>
        <v>#DIV/0!</v>
      </c>
      <c r="Y63" s="239" t="e">
        <f t="shared" ca="1" si="9"/>
        <v>#DIV/0!</v>
      </c>
      <c r="Z63" s="240" t="e">
        <f t="shared" ca="1" si="10"/>
        <v>#DIV/0!</v>
      </c>
      <c r="AA63" s="241"/>
      <c r="AB63" s="129" t="e">
        <f t="shared" ca="1" si="1"/>
        <v>#DIV/0!</v>
      </c>
      <c r="AC63" s="242"/>
      <c r="AD63" s="243"/>
      <c r="AE63" s="100" t="s">
        <v>136</v>
      </c>
      <c r="AF63" s="172" t="s">
        <v>77</v>
      </c>
      <c r="AG63" s="79"/>
      <c r="AH63" s="130"/>
      <c r="AL63" s="161" t="s">
        <v>136</v>
      </c>
      <c r="AM63" s="102">
        <v>552003</v>
      </c>
      <c r="AN63" s="103" t="s">
        <v>54</v>
      </c>
      <c r="AO63" s="104" t="e">
        <f t="shared" ca="1" si="13"/>
        <v>#DIV/0!</v>
      </c>
      <c r="AP63" s="49"/>
      <c r="AR63" s="112" t="str">
        <f t="shared" si="14"/>
        <v xml:space="preserve"> LINE BR/RA 1 4*2</v>
      </c>
      <c r="AS63" s="112" t="str">
        <f t="shared" si="15"/>
        <v>0451-63200</v>
      </c>
      <c r="AU63" s="108" t="e">
        <f t="shared" ca="1" si="16"/>
        <v>#DIV/0!</v>
      </c>
      <c r="AV63" s="7" t="s">
        <v>1</v>
      </c>
      <c r="AW63" s="7" t="s">
        <v>173</v>
      </c>
      <c r="BA63" s="210" t="s">
        <v>329</v>
      </c>
      <c r="BB63" s="210" t="s">
        <v>331</v>
      </c>
      <c r="BC63" s="210"/>
      <c r="BD63" s="210" t="s">
        <v>135</v>
      </c>
      <c r="BE63" s="211" t="e">
        <f ca="1">X196</f>
        <v>#DIV/0!</v>
      </c>
      <c r="BF63" s="1225"/>
      <c r="BG63" s="211" t="e">
        <f ca="1">Y196</f>
        <v>#DIV/0!</v>
      </c>
      <c r="BH63" s="211" t="e">
        <f ca="1">Z196</f>
        <v>#DIV/0!</v>
      </c>
      <c r="BI63" s="1228"/>
    </row>
    <row r="64" spans="1:61" ht="15" customHeight="1">
      <c r="A64" s="664" t="s">
        <v>332</v>
      </c>
      <c r="B64" s="613" t="s">
        <v>333</v>
      </c>
      <c r="C64" s="613">
        <v>1</v>
      </c>
      <c r="D64" s="613"/>
      <c r="E64" s="761"/>
      <c r="F64" s="613"/>
      <c r="G64" s="613"/>
      <c r="H64" s="762"/>
      <c r="I64" s="762"/>
      <c r="J64" s="673">
        <f>(I64-H64)*C64</f>
        <v>0</v>
      </c>
      <c r="K64" s="667" t="e">
        <f ca="1">J64*J$777/(J$5+J$64+J$89+J$138+J$212+J$285+J$306+J$373+J$388+J$396+J$397+J$450+J$463+J$471+J$513+J$564+J$603+J$646)</f>
        <v>#DIV/0!</v>
      </c>
      <c r="L64" s="312"/>
      <c r="M64" s="726"/>
      <c r="N64" s="727"/>
      <c r="O64" s="727"/>
      <c r="P64" s="732"/>
      <c r="Q64" s="728"/>
      <c r="R64" s="729"/>
      <c r="S64" s="69"/>
      <c r="T64" s="159"/>
      <c r="U64" s="178" t="s">
        <v>168</v>
      </c>
      <c r="V64" s="166" t="s">
        <v>169</v>
      </c>
      <c r="W64" s="167" t="s">
        <v>77</v>
      </c>
      <c r="X64" s="151" t="e">
        <f ca="1">R27</f>
        <v>#DIV/0!</v>
      </c>
      <c r="Y64" s="151" t="e">
        <f t="shared" ca="1" si="9"/>
        <v>#DIV/0!</v>
      </c>
      <c r="Z64" s="169" t="e">
        <f t="shared" ca="1" si="10"/>
        <v>#DIV/0!</v>
      </c>
      <c r="AA64" s="244" t="e">
        <f ca="1">SUM(Z69:Z74)</f>
        <v>#DIV/0!</v>
      </c>
      <c r="AB64" s="110" t="e">
        <f t="shared" ca="1" si="1"/>
        <v>#DIV/0!</v>
      </c>
      <c r="AC64" s="181"/>
      <c r="AD64" s="182"/>
      <c r="AE64" s="100" t="s">
        <v>136</v>
      </c>
      <c r="AF64" s="245" t="s">
        <v>77</v>
      </c>
      <c r="AG64" s="79"/>
      <c r="AH64" s="130"/>
      <c r="AL64" s="161" t="s">
        <v>136</v>
      </c>
      <c r="AM64" s="102">
        <v>552003</v>
      </c>
      <c r="AN64" s="103" t="s">
        <v>54</v>
      </c>
      <c r="AO64" s="104" t="e">
        <f t="shared" ca="1" si="13"/>
        <v>#DIV/0!</v>
      </c>
      <c r="AP64" s="49"/>
      <c r="AR64" s="112" t="str">
        <f t="shared" si="14"/>
        <v xml:space="preserve"> LINE TU/A/I</v>
      </c>
      <c r="AS64" s="112" t="str">
        <f t="shared" si="15"/>
        <v>0451-75200</v>
      </c>
      <c r="AU64" s="108" t="e">
        <f t="shared" ca="1" si="16"/>
        <v>#DIV/0!</v>
      </c>
      <c r="AV64" s="7" t="s">
        <v>1</v>
      </c>
      <c r="AW64" s="7" t="s">
        <v>173</v>
      </c>
      <c r="BA64" s="1229"/>
      <c r="BB64" s="1230"/>
      <c r="BC64" s="1230"/>
      <c r="BD64" s="1230"/>
      <c r="BE64" s="1230"/>
      <c r="BF64" s="1230"/>
      <c r="BG64" s="1231"/>
      <c r="BH64" s="246" t="e">
        <f ca="1">SUM(BH43:BH63)</f>
        <v>#DIV/0!</v>
      </c>
      <c r="BI64" s="247"/>
    </row>
    <row r="65" spans="1:61" ht="15" customHeight="1">
      <c r="A65" s="763" t="s">
        <v>334</v>
      </c>
      <c r="B65" s="764" t="s">
        <v>64</v>
      </c>
      <c r="C65" s="764">
        <v>1</v>
      </c>
      <c r="D65" s="764" t="s">
        <v>335</v>
      </c>
      <c r="E65" s="765" t="s">
        <v>336</v>
      </c>
      <c r="F65" s="764" t="s">
        <v>243</v>
      </c>
      <c r="G65" s="764" t="s">
        <v>49</v>
      </c>
      <c r="H65" s="766" cm="1">
        <f t="array" aca="1" ref="H65" ca="1">IFERROR(
    INDIRECT(
        "RawData!" &amp;
        ADDRESS(
            2,
            MATCH(
                TRIM(MID(A65, SEARCH(". ", A65) + 2, LEN(A65))) &amp; ".Import_kWh",
                RawData!$1:$1,
                0
            ),
            4
        )
    ),
    0
)</f>
        <v>0</v>
      </c>
      <c r="I65" s="766" cm="1">
        <f t="array" aca="1" ref="I65" ca="1">IFERROR(
    INDIRECT(
        "RawData!" &amp;
        ADDRESS(
            COUNTA(RawData!A:A),
            MATCH(
                TRIM(MID(A65, SEARCH(". ", A65) + 2, LEN(A65))) &amp; ".Import_kWh",
                RawData!$1:$1,
                0
            ),
            4
        )
    ),
    0
)</f>
        <v>0</v>
      </c>
      <c r="J65" s="767">
        <f ca="1">(I65-H65)*C65</f>
        <v>0</v>
      </c>
      <c r="K65" s="647" t="e">
        <f ca="1">J65*J$777/(J$5+J$65+J$72+J$81+J$89+J$138+J$212+J$285+J$306+J$373+J$388+J$396+J$397+J$450+J$463+J$471+J$513+J$564+J$603+J$646)</f>
        <v>#DIV/0!</v>
      </c>
      <c r="L65" s="768" t="e">
        <f ca="1">K65/J65</f>
        <v>#DIV/0!</v>
      </c>
      <c r="M65" s="769" t="e">
        <f ca="1">R66+R68+R69+R70</f>
        <v>#DIV/0!</v>
      </c>
      <c r="N65" s="770"/>
      <c r="O65" s="770"/>
      <c r="P65" s="771"/>
      <c r="Q65" s="772"/>
      <c r="R65" s="773"/>
      <c r="S65" s="69"/>
      <c r="T65" s="159"/>
      <c r="U65" s="93" t="s">
        <v>175</v>
      </c>
      <c r="V65" s="185" t="s">
        <v>176</v>
      </c>
      <c r="W65" s="167" t="s">
        <v>77</v>
      </c>
      <c r="X65" s="209" t="e">
        <f ca="1">R28</f>
        <v>#DIV/0!</v>
      </c>
      <c r="Y65" s="120" t="e">
        <f t="shared" ca="1" si="9"/>
        <v>#DIV/0!</v>
      </c>
      <c r="Z65" s="169" t="e">
        <f t="shared" ca="1" si="10"/>
        <v>#DIV/0!</v>
      </c>
      <c r="AA65" s="187"/>
      <c r="AB65" s="110" t="e">
        <f t="shared" ca="1" si="1"/>
        <v>#DIV/0!</v>
      </c>
      <c r="AC65" s="248"/>
      <c r="AD65" s="182"/>
      <c r="AE65" s="100" t="s">
        <v>136</v>
      </c>
      <c r="AF65" s="245" t="s">
        <v>77</v>
      </c>
      <c r="AG65" s="79"/>
      <c r="AH65" s="130"/>
      <c r="AL65" s="161" t="s">
        <v>136</v>
      </c>
      <c r="AM65" s="102">
        <v>552003</v>
      </c>
      <c r="AN65" s="103" t="s">
        <v>54</v>
      </c>
      <c r="AO65" s="104" t="e">
        <f t="shared" ca="1" si="13"/>
        <v>#DIV/0!</v>
      </c>
      <c r="AP65" s="49"/>
      <c r="AR65" s="112" t="str">
        <f t="shared" si="14"/>
        <v xml:space="preserve"> LINE BR/O/F1</v>
      </c>
      <c r="AS65" s="112" t="str">
        <f t="shared" si="15"/>
        <v>0451-73500</v>
      </c>
      <c r="AU65" s="108" t="e">
        <f t="shared" ca="1" si="16"/>
        <v>#DIV/0!</v>
      </c>
      <c r="AV65" s="7" t="s">
        <v>1</v>
      </c>
      <c r="AW65" s="7" t="s">
        <v>173</v>
      </c>
      <c r="BA65" s="249" t="s">
        <v>117</v>
      </c>
      <c r="BB65" s="249" t="s">
        <v>337</v>
      </c>
      <c r="BC65" s="249"/>
      <c r="BD65" s="249" t="s">
        <v>75</v>
      </c>
      <c r="BE65" s="250" t="e">
        <f ca="1">X111</f>
        <v>#DIV/0!</v>
      </c>
      <c r="BF65" s="250"/>
      <c r="BG65" s="250"/>
      <c r="BH65" s="250" t="e">
        <f ca="1">Z111</f>
        <v>#DIV/0!</v>
      </c>
      <c r="BI65" s="250"/>
    </row>
    <row r="66" spans="1:61" ht="15" customHeight="1">
      <c r="A66" s="664" t="s">
        <v>338</v>
      </c>
      <c r="B66" s="613" t="s">
        <v>101</v>
      </c>
      <c r="C66" s="613">
        <v>80</v>
      </c>
      <c r="D66" s="613" t="s">
        <v>335</v>
      </c>
      <c r="E66" s="774" t="s">
        <v>336</v>
      </c>
      <c r="F66" s="613" t="s">
        <v>243</v>
      </c>
      <c r="G66" s="613" t="s">
        <v>49</v>
      </c>
      <c r="H66" s="665" cm="1">
        <f t="array" aca="1" ref="H66" ca="1">IFERROR(
    INDIRECT(
        "RawData!" &amp;
        ADDRESS(
            2,
            MATCH(
                TRIM(MID(A66, SEARCH(". ", A66) + 2, LEN(A66))) &amp; ".Import_kWh",
                RawData!$1:$1,
                0
            ),
            4
        )
    ),
    0
)</f>
        <v>0</v>
      </c>
      <c r="I66" s="665" cm="1">
        <f t="array" aca="1" ref="I66" ca="1">IFERROR(
    INDIRECT(
        "RawData!" &amp;
        ADDRESS(
            COUNTA(RawData!A:A),
            MATCH(
                TRIM(MID(A66, SEARCH(". ", A66) + 2, LEN(A66))) &amp; ".Import_kWh",
                RawData!$1:$1,
                0
            ),
            4
        )
    ),
    0
)</f>
        <v>0</v>
      </c>
      <c r="J66" s="673">
        <f ca="1">(I66-H66)*C66</f>
        <v>0</v>
      </c>
      <c r="K66" s="732" t="e">
        <f ca="1">J66*K$65/(J$66+J$67+J$69)</f>
        <v>#DIV/0!</v>
      </c>
      <c r="L66" s="312" t="e">
        <f ca="1">K66/J66</f>
        <v>#DIV/0!</v>
      </c>
      <c r="M66" s="664"/>
      <c r="N66" s="727"/>
      <c r="O66" s="727"/>
      <c r="P66" s="664"/>
      <c r="Q66" s="728"/>
      <c r="R66" s="729" t="e">
        <f ca="1">K66</f>
        <v>#DIV/0!</v>
      </c>
      <c r="S66" s="114" t="s">
        <v>157</v>
      </c>
      <c r="T66" s="115" t="s">
        <v>158</v>
      </c>
      <c r="U66" s="178" t="s">
        <v>105</v>
      </c>
      <c r="V66" s="251" t="s">
        <v>106</v>
      </c>
      <c r="W66" s="167" t="s">
        <v>77</v>
      </c>
      <c r="X66" s="151" t="e">
        <f ca="1">R13+R130+R131</f>
        <v>#DIV/0!</v>
      </c>
      <c r="Y66" s="151" t="e">
        <f t="shared" ca="1" si="9"/>
        <v>#DIV/0!</v>
      </c>
      <c r="Z66" s="169" t="e">
        <f t="shared" ca="1" si="10"/>
        <v>#DIV/0!</v>
      </c>
      <c r="AA66" s="180"/>
      <c r="AB66" s="110" t="e">
        <f t="shared" ca="1" si="1"/>
        <v>#DIV/0!</v>
      </c>
      <c r="AC66" s="181"/>
      <c r="AD66" s="182"/>
      <c r="AE66" s="100" t="s">
        <v>136</v>
      </c>
      <c r="AF66" s="245" t="s">
        <v>77</v>
      </c>
      <c r="AG66" s="79"/>
      <c r="AH66" s="130"/>
      <c r="AL66" s="161" t="s">
        <v>136</v>
      </c>
      <c r="AM66" s="102">
        <v>552003</v>
      </c>
      <c r="AN66" s="103" t="s">
        <v>54</v>
      </c>
      <c r="AO66" s="104" t="e">
        <f t="shared" ca="1" si="13"/>
        <v>#DIV/0!</v>
      </c>
      <c r="AP66" s="49"/>
      <c r="AR66" s="112" t="str">
        <f t="shared" si="14"/>
        <v xml:space="preserve"> LINE E1-1,1-2,1-3</v>
      </c>
      <c r="AS66" s="112" t="str">
        <f t="shared" si="15"/>
        <v>0451-64500</v>
      </c>
      <c r="AU66" s="108" t="e">
        <f t="shared" ca="1" si="16"/>
        <v>#DIV/0!</v>
      </c>
      <c r="AV66" s="7" t="s">
        <v>1</v>
      </c>
      <c r="AW66" s="7" t="s">
        <v>173</v>
      </c>
      <c r="BA66" s="249" t="s">
        <v>117</v>
      </c>
      <c r="BB66" s="249" t="s">
        <v>339</v>
      </c>
      <c r="BC66" s="249"/>
      <c r="BD66" s="249" t="s">
        <v>75</v>
      </c>
      <c r="BE66" s="250">
        <f ca="1">X112</f>
        <v>0</v>
      </c>
      <c r="BF66" s="250"/>
      <c r="BG66" s="250"/>
      <c r="BH66" s="250">
        <f ca="1">Z112</f>
        <v>0</v>
      </c>
      <c r="BI66" s="250"/>
    </row>
    <row r="67" spans="1:61" ht="15" customHeight="1">
      <c r="A67" s="664" t="s">
        <v>340</v>
      </c>
      <c r="B67" s="613" t="s">
        <v>101</v>
      </c>
      <c r="C67" s="613">
        <v>1</v>
      </c>
      <c r="D67" s="595" t="s">
        <v>47</v>
      </c>
      <c r="E67" s="613"/>
      <c r="F67" s="613" t="s">
        <v>243</v>
      </c>
      <c r="G67" s="613" t="s">
        <v>49</v>
      </c>
      <c r="H67" s="665" cm="1">
        <f t="array" aca="1" ref="H67" ca="1">IFERROR(
    INDIRECT(
        "RawData!" &amp;
        ADDRESS(
            2,
            MATCH(
                TRIM(MID(A67, SEARCH(". ", A67) + 2, LEN(A67))) &amp; ".Import_kWh",
                RawData!$1:$1,
                0
            ),
            4
        )
    ),
    0
)</f>
        <v>0</v>
      </c>
      <c r="I67" s="665" cm="1">
        <f t="array" aca="1" ref="I67" ca="1">IFERROR(
    INDIRECT(
        "RawData!" &amp;
        ADDRESS(
            COUNTA(RawData!A:A),
            MATCH(
                TRIM(MID(A67, SEARCH(". ", A67) + 2, LEN(A67))) &amp; ".Import_kWh",
                RawData!$1:$1,
                0
            ),
            4
        )
    ),
    0
)</f>
        <v>0</v>
      </c>
      <c r="J67" s="673">
        <f ca="1">(I67-H67)*C67</f>
        <v>0</v>
      </c>
      <c r="K67" s="732" t="e">
        <f ca="1">J67*K$65/(J$66+J$67+J$69)</f>
        <v>#DIV/0!</v>
      </c>
      <c r="L67" s="312" t="e">
        <f ca="1">K67/J67</f>
        <v>#DIV/0!</v>
      </c>
      <c r="M67" s="741" t="e">
        <f ca="1">R68</f>
        <v>#DIV/0!</v>
      </c>
      <c r="N67" s="727"/>
      <c r="O67" s="727"/>
      <c r="P67" s="664"/>
      <c r="Q67" s="728"/>
      <c r="R67" s="729"/>
      <c r="S67" s="69"/>
      <c r="T67" s="159"/>
      <c r="U67" s="178" t="s">
        <v>110</v>
      </c>
      <c r="V67" s="252" t="s">
        <v>111</v>
      </c>
      <c r="W67" s="167" t="s">
        <v>77</v>
      </c>
      <c r="X67" s="151" t="e">
        <f ca="1">R14+R15+R16+R17+R18+R19</f>
        <v>#DIV/0!</v>
      </c>
      <c r="Y67" s="151" t="e">
        <f t="shared" ca="1" si="9"/>
        <v>#DIV/0!</v>
      </c>
      <c r="Z67" s="169" t="e">
        <f t="shared" ca="1" si="10"/>
        <v>#DIV/0!</v>
      </c>
      <c r="AA67" s="180"/>
      <c r="AB67" s="110" t="e">
        <f t="shared" ca="1" si="1"/>
        <v>#DIV/0!</v>
      </c>
      <c r="AC67" s="181"/>
      <c r="AD67" s="253"/>
      <c r="AE67" s="100" t="s">
        <v>136</v>
      </c>
      <c r="AF67" s="245" t="s">
        <v>77</v>
      </c>
      <c r="AG67" s="79"/>
      <c r="AH67" s="130"/>
      <c r="AL67" s="161" t="s">
        <v>136</v>
      </c>
      <c r="AM67" s="102">
        <v>552003</v>
      </c>
      <c r="AN67" s="103" t="s">
        <v>54</v>
      </c>
      <c r="AO67" s="104" t="e">
        <f t="shared" ca="1" si="13"/>
        <v>#DIV/0!</v>
      </c>
      <c r="AP67" s="49"/>
      <c r="AR67" s="112" t="str">
        <f t="shared" si="14"/>
        <v xml:space="preserve"> LINE E2-1,2-2,2-3,2-4,2-5,2-6</v>
      </c>
      <c r="AS67" s="112" t="str">
        <f t="shared" si="15"/>
        <v>0451-66100</v>
      </c>
      <c r="AU67" s="108" t="e">
        <f t="shared" ca="1" si="16"/>
        <v>#DIV/0!</v>
      </c>
      <c r="AV67" s="7" t="s">
        <v>1</v>
      </c>
      <c r="AW67" s="7" t="s">
        <v>173</v>
      </c>
      <c r="BA67" s="249" t="s">
        <v>341</v>
      </c>
      <c r="BB67" s="249" t="s">
        <v>342</v>
      </c>
      <c r="BC67" s="249"/>
      <c r="BD67" s="249" t="s">
        <v>343</v>
      </c>
      <c r="BE67" s="250">
        <f ca="1">X115</f>
        <v>0</v>
      </c>
      <c r="BF67" s="250"/>
      <c r="BG67" s="250"/>
      <c r="BH67" s="250" t="e">
        <f ca="1">Z115</f>
        <v>#DIV/0!</v>
      </c>
      <c r="BI67" s="250"/>
    </row>
    <row r="68" spans="1:61" ht="15" customHeight="1">
      <c r="A68" s="664" t="s">
        <v>344</v>
      </c>
      <c r="B68" s="613"/>
      <c r="C68" s="613"/>
      <c r="D68" s="613"/>
      <c r="E68" s="613"/>
      <c r="F68" s="613"/>
      <c r="G68" s="613"/>
      <c r="H68" s="594"/>
      <c r="I68" s="594"/>
      <c r="J68" s="673"/>
      <c r="K68" s="732"/>
      <c r="L68" s="312"/>
      <c r="M68" s="664">
        <f>4.9+4.9+4.9+4.9+4.9+1.7+1.9</f>
        <v>28.099999999999998</v>
      </c>
      <c r="N68" s="727">
        <v>19</v>
      </c>
      <c r="O68" s="727">
        <v>22</v>
      </c>
      <c r="P68" s="664">
        <f>M68*O68</f>
        <v>618.19999999999993</v>
      </c>
      <c r="Q68" s="733">
        <f>P68/(P$68)</f>
        <v>1</v>
      </c>
      <c r="R68" s="729" t="e">
        <f ca="1">K$67*Q68</f>
        <v>#DIV/0!</v>
      </c>
      <c r="S68" s="114" t="s">
        <v>157</v>
      </c>
      <c r="T68" s="115" t="s">
        <v>158</v>
      </c>
      <c r="U68" s="236" t="s">
        <v>272</v>
      </c>
      <c r="V68" s="254" t="s">
        <v>273</v>
      </c>
      <c r="W68" s="192" t="s">
        <v>77</v>
      </c>
      <c r="X68" s="239">
        <f ca="1">R48</f>
        <v>0</v>
      </c>
      <c r="Y68" s="239" t="e">
        <f t="shared" ca="1" si="9"/>
        <v>#DIV/0!</v>
      </c>
      <c r="Z68" s="240" t="e">
        <f t="shared" ca="1" si="10"/>
        <v>#DIV/0!</v>
      </c>
      <c r="AA68" s="255"/>
      <c r="AB68" s="129" t="e">
        <f t="shared" ca="1" si="1"/>
        <v>#DIV/0!</v>
      </c>
      <c r="AC68" s="242"/>
      <c r="AD68" s="243"/>
      <c r="AE68" s="100" t="s">
        <v>136</v>
      </c>
      <c r="AF68" s="245" t="s">
        <v>77</v>
      </c>
      <c r="AG68" s="79"/>
      <c r="AH68" s="130"/>
      <c r="AL68" s="161" t="s">
        <v>136</v>
      </c>
      <c r="AM68" s="102">
        <v>552003</v>
      </c>
      <c r="AN68" s="103" t="s">
        <v>54</v>
      </c>
      <c r="AO68" s="104" t="e">
        <f t="shared" ca="1" si="13"/>
        <v>#DIV/0!</v>
      </c>
      <c r="AP68" s="49"/>
      <c r="AR68" s="112" t="str">
        <f t="shared" si="14"/>
        <v xml:space="preserve"> LINE HO/CA 1 </v>
      </c>
      <c r="AS68" s="112" t="str">
        <f t="shared" si="15"/>
        <v>0451-76800</v>
      </c>
      <c r="AU68" s="108" t="e">
        <f t="shared" ca="1" si="16"/>
        <v>#DIV/0!</v>
      </c>
      <c r="AV68" s="7" t="s">
        <v>1</v>
      </c>
      <c r="AW68" s="7" t="s">
        <v>173</v>
      </c>
      <c r="BA68" s="249" t="s">
        <v>345</v>
      </c>
      <c r="BB68" s="249" t="s">
        <v>346</v>
      </c>
      <c r="BC68" s="249"/>
      <c r="BD68" s="249" t="s">
        <v>343</v>
      </c>
      <c r="BE68" s="250" t="e">
        <f t="shared" ref="BE68:BE86" ca="1" si="21">X204</f>
        <v>#DIV/0!</v>
      </c>
      <c r="BF68" s="250"/>
      <c r="BG68" s="250"/>
      <c r="BH68" s="250" t="e">
        <f t="shared" ref="BH68:BH76" ca="1" si="22">Z204</f>
        <v>#DIV/0!</v>
      </c>
      <c r="BI68" s="250"/>
    </row>
    <row r="69" spans="1:61" ht="15" customHeight="1">
      <c r="A69" s="664" t="s">
        <v>347</v>
      </c>
      <c r="B69" s="613" t="s">
        <v>101</v>
      </c>
      <c r="C69" s="613">
        <v>80</v>
      </c>
      <c r="D69" s="613" t="s">
        <v>335</v>
      </c>
      <c r="E69" s="774" t="s">
        <v>336</v>
      </c>
      <c r="F69" s="613" t="s">
        <v>243</v>
      </c>
      <c r="G69" s="613" t="s">
        <v>49</v>
      </c>
      <c r="H69" s="665" cm="1">
        <f t="array" aca="1" ref="H69" ca="1">IFERROR(
    INDIRECT(
        "RawData!" &amp;
        ADDRESS(
            2,
            MATCH(
                TRIM(MID(A69, SEARCH(". ", A69) + 2, LEN(A69))) &amp; ".Import_kWh",
                RawData!$1:$1,
                0
            ),
            4
        )
    ),
    0
)</f>
        <v>0</v>
      </c>
      <c r="I69" s="665" cm="1">
        <f t="array" aca="1" ref="I69" ca="1">IFERROR(
    INDIRECT(
        "RawData!" &amp;
        ADDRESS(
            COUNTA(RawData!A:A),
            MATCH(
                TRIM(MID(A69, SEARCH(". ", A69) + 2, LEN(A69))) &amp; ".Import_kWh",
                RawData!$1:$1,
                0
            ),
            4
        )
    ),
    0
)</f>
        <v>0</v>
      </c>
      <c r="J69" s="673">
        <f ca="1">(I69-H69)*C69</f>
        <v>0</v>
      </c>
      <c r="K69" s="732" t="e">
        <f ca="1">J69*K$65/(J$66+J$67+J$69)</f>
        <v>#DIV/0!</v>
      </c>
      <c r="L69" s="312"/>
      <c r="M69" s="664"/>
      <c r="N69" s="727"/>
      <c r="O69" s="727"/>
      <c r="P69" s="664"/>
      <c r="Q69" s="728"/>
      <c r="R69" s="729" t="e">
        <f ca="1">K69</f>
        <v>#DIV/0!</v>
      </c>
      <c r="S69" s="114" t="s">
        <v>157</v>
      </c>
      <c r="T69" s="115" t="s">
        <v>158</v>
      </c>
      <c r="U69" s="178" t="s">
        <v>348</v>
      </c>
      <c r="V69" s="256" t="s">
        <v>349</v>
      </c>
      <c r="W69" s="167" t="s">
        <v>77</v>
      </c>
      <c r="X69" s="199" t="e">
        <f ca="1">R119</f>
        <v>#DIV/0!</v>
      </c>
      <c r="Y69" s="151" t="e">
        <f t="shared" ca="1" si="9"/>
        <v>#DIV/0!</v>
      </c>
      <c r="Z69" s="169" t="e">
        <f t="shared" ca="1" si="10"/>
        <v>#DIV/0!</v>
      </c>
      <c r="AA69" s="180"/>
      <c r="AB69" s="110" t="e">
        <f t="shared" ca="1" si="1"/>
        <v>#DIV/0!</v>
      </c>
      <c r="AC69" s="181"/>
      <c r="AD69" s="182"/>
      <c r="AE69" s="100" t="s">
        <v>136</v>
      </c>
      <c r="AF69" s="245" t="s">
        <v>77</v>
      </c>
      <c r="AG69" s="79"/>
      <c r="AH69" s="130"/>
      <c r="AL69" s="161" t="s">
        <v>136</v>
      </c>
      <c r="AM69" s="102">
        <v>552003</v>
      </c>
      <c r="AN69" s="103" t="s">
        <v>54</v>
      </c>
      <c r="AO69" s="104" t="e">
        <f t="shared" ca="1" si="13"/>
        <v>#DIV/0!</v>
      </c>
      <c r="AP69" s="49"/>
      <c r="AR69" s="112" t="str">
        <f t="shared" si="14"/>
        <v xml:space="preserve"> LINE B3</v>
      </c>
      <c r="AS69" s="112" t="str">
        <f t="shared" si="15"/>
        <v>0451-74100</v>
      </c>
      <c r="AU69" s="108" t="e">
        <f t="shared" ca="1" si="16"/>
        <v>#DIV/0!</v>
      </c>
      <c r="AV69" s="7" t="s">
        <v>1</v>
      </c>
      <c r="AW69" s="7" t="s">
        <v>173</v>
      </c>
      <c r="BA69" s="249" t="s">
        <v>345</v>
      </c>
      <c r="BB69" s="249" t="s">
        <v>350</v>
      </c>
      <c r="BC69" s="249"/>
      <c r="BD69" s="249" t="s">
        <v>343</v>
      </c>
      <c r="BE69" s="250" t="e">
        <f t="shared" ca="1" si="21"/>
        <v>#DIV/0!</v>
      </c>
      <c r="BF69" s="250"/>
      <c r="BG69" s="250"/>
      <c r="BH69" s="250" t="e">
        <f t="shared" ca="1" si="22"/>
        <v>#DIV/0!</v>
      </c>
      <c r="BI69" s="250"/>
    </row>
    <row r="70" spans="1:61" ht="15" customHeight="1">
      <c r="A70" s="664" t="s">
        <v>351</v>
      </c>
      <c r="B70" s="613"/>
      <c r="C70" s="613"/>
      <c r="D70" s="613"/>
      <c r="E70" s="613"/>
      <c r="F70" s="613"/>
      <c r="G70" s="613"/>
      <c r="H70" s="594"/>
      <c r="I70" s="594"/>
      <c r="J70" s="673"/>
      <c r="K70" s="568" t="e">
        <f ca="1">K65-(K66+K67+K69)</f>
        <v>#DIV/0!</v>
      </c>
      <c r="L70" s="312"/>
      <c r="M70" s="732" t="e">
        <f ca="1">K66+K67+K70</f>
        <v>#DIV/0!</v>
      </c>
      <c r="N70" s="727"/>
      <c r="O70" s="727"/>
      <c r="P70" s="664"/>
      <c r="Q70" s="728"/>
      <c r="R70" s="729" t="e">
        <f ca="1">K70</f>
        <v>#DIV/0!</v>
      </c>
      <c r="S70" s="114" t="s">
        <v>157</v>
      </c>
      <c r="T70" s="115" t="s">
        <v>158</v>
      </c>
      <c r="U70" s="93" t="s">
        <v>352</v>
      </c>
      <c r="V70" s="160" t="s">
        <v>353</v>
      </c>
      <c r="W70" s="167" t="s">
        <v>77</v>
      </c>
      <c r="X70" s="96" t="e">
        <f ca="1">R101+R102</f>
        <v>#DIV/0!</v>
      </c>
      <c r="Y70" s="96" t="e">
        <f ca="1">(X70/$AI$10)*100</f>
        <v>#DIV/0!</v>
      </c>
      <c r="Z70" s="152" t="e">
        <f ca="1">X70+(Y70*$AI$7)/100</f>
        <v>#DIV/0!</v>
      </c>
      <c r="AA70" s="187"/>
      <c r="AB70" s="110" t="e">
        <f t="shared" ref="AB70:AB127" ca="1" si="23">Z70*Y$255</f>
        <v>#DIV/0!</v>
      </c>
      <c r="AC70" s="173"/>
      <c r="AD70" s="189"/>
      <c r="AE70" s="100" t="s">
        <v>136</v>
      </c>
      <c r="AF70" s="245" t="s">
        <v>77</v>
      </c>
      <c r="AG70" s="79"/>
      <c r="AH70" s="130"/>
      <c r="AL70" s="161" t="s">
        <v>136</v>
      </c>
      <c r="AM70" s="102">
        <v>552003</v>
      </c>
      <c r="AN70" s="103" t="s">
        <v>54</v>
      </c>
      <c r="AO70" s="104" t="e">
        <f t="shared" ca="1" si="13"/>
        <v>#DIV/0!</v>
      </c>
      <c r="AP70" s="49"/>
      <c r="AR70" s="112" t="str">
        <f t="shared" si="14"/>
        <v xml:space="preserve"> LINE CAP3-2, 3-3</v>
      </c>
      <c r="AS70" s="112" t="str">
        <f t="shared" si="15"/>
        <v>0451-66300</v>
      </c>
      <c r="AU70" s="108" t="e">
        <f t="shared" ca="1" si="16"/>
        <v>#DIV/0!</v>
      </c>
      <c r="AV70" s="7" t="s">
        <v>1</v>
      </c>
      <c r="AW70" s="7" t="s">
        <v>173</v>
      </c>
      <c r="BA70" s="249" t="s">
        <v>345</v>
      </c>
      <c r="BB70" s="249" t="s">
        <v>354</v>
      </c>
      <c r="BC70" s="249"/>
      <c r="BD70" s="249" t="s">
        <v>343</v>
      </c>
      <c r="BE70" s="250">
        <f t="shared" ca="1" si="21"/>
        <v>0</v>
      </c>
      <c r="BF70" s="250"/>
      <c r="BG70" s="250"/>
      <c r="BH70" s="250" t="e">
        <f t="shared" ca="1" si="22"/>
        <v>#DIV/0!</v>
      </c>
      <c r="BI70" s="250"/>
    </row>
    <row r="71" spans="1:61" ht="15" customHeight="1">
      <c r="A71" s="664"/>
      <c r="B71" s="613"/>
      <c r="C71" s="613"/>
      <c r="D71" s="613"/>
      <c r="E71" s="613"/>
      <c r="F71" s="613"/>
      <c r="G71" s="613"/>
      <c r="H71" s="594"/>
      <c r="I71" s="594"/>
      <c r="J71" s="568"/>
      <c r="K71" s="568"/>
      <c r="L71" s="312"/>
      <c r="M71" s="664"/>
      <c r="N71" s="727"/>
      <c r="O71" s="727"/>
      <c r="P71" s="664"/>
      <c r="Q71" s="728"/>
      <c r="R71" s="729"/>
      <c r="S71" s="69"/>
      <c r="T71" s="159"/>
      <c r="U71" s="178" t="s">
        <v>327</v>
      </c>
      <c r="V71" s="166" t="s">
        <v>328</v>
      </c>
      <c r="W71" s="167" t="s">
        <v>77</v>
      </c>
      <c r="X71" s="226" t="e">
        <f ca="1">R62</f>
        <v>#DIV/0!</v>
      </c>
      <c r="Y71" s="151" t="e">
        <f ca="1">(X71/$AI$10)*100</f>
        <v>#DIV/0!</v>
      </c>
      <c r="Z71" s="169" t="e">
        <f ca="1">X71+(Y71*$AI$7)/100</f>
        <v>#DIV/0!</v>
      </c>
      <c r="AA71" s="173"/>
      <c r="AB71" s="110" t="e">
        <f t="shared" ca="1" si="23"/>
        <v>#DIV/0!</v>
      </c>
      <c r="AC71" s="170"/>
      <c r="AD71" s="171"/>
      <c r="AE71" s="100" t="s">
        <v>136</v>
      </c>
      <c r="AF71" s="245" t="s">
        <v>77</v>
      </c>
      <c r="AG71" s="79"/>
      <c r="AH71" s="130"/>
      <c r="AL71" s="161" t="s">
        <v>136</v>
      </c>
      <c r="AM71" s="102">
        <v>552003</v>
      </c>
      <c r="AN71" s="103" t="s">
        <v>54</v>
      </c>
      <c r="AO71" s="104" t="e">
        <f t="shared" ca="1" si="13"/>
        <v>#DIV/0!</v>
      </c>
      <c r="AP71" s="49"/>
      <c r="AR71" s="112" t="str">
        <f t="shared" si="14"/>
        <v xml:space="preserve"> LINE I/M 8</v>
      </c>
      <c r="AS71" s="112" t="str">
        <f t="shared" si="15"/>
        <v>0451-76000</v>
      </c>
      <c r="AU71" s="108" t="e">
        <f t="shared" ca="1" si="16"/>
        <v>#DIV/0!</v>
      </c>
      <c r="AV71" s="7" t="s">
        <v>1</v>
      </c>
      <c r="AW71" s="7" t="s">
        <v>173</v>
      </c>
      <c r="BA71" s="249" t="s">
        <v>345</v>
      </c>
      <c r="BB71" s="249" t="s">
        <v>355</v>
      </c>
      <c r="BC71" s="249"/>
      <c r="BD71" s="249" t="s">
        <v>343</v>
      </c>
      <c r="BE71" s="250" t="e">
        <f t="shared" ca="1" si="21"/>
        <v>#DIV/0!</v>
      </c>
      <c r="BF71" s="250"/>
      <c r="BG71" s="250"/>
      <c r="BH71" s="250" t="e">
        <f t="shared" ca="1" si="22"/>
        <v>#DIV/0!</v>
      </c>
      <c r="BI71" s="250"/>
    </row>
    <row r="72" spans="1:61" ht="15" customHeight="1">
      <c r="A72" s="763" t="s">
        <v>356</v>
      </c>
      <c r="B72" s="764" t="s">
        <v>64</v>
      </c>
      <c r="C72" s="764">
        <v>1</v>
      </c>
      <c r="D72" s="764" t="s">
        <v>335</v>
      </c>
      <c r="E72" s="765" t="s">
        <v>336</v>
      </c>
      <c r="F72" s="764" t="s">
        <v>243</v>
      </c>
      <c r="G72" s="764" t="s">
        <v>49</v>
      </c>
      <c r="H72" s="766" cm="1">
        <f t="array" aca="1" ref="H72" ca="1">IFERROR(
    INDIRECT(
        "RawData!" &amp;
        ADDRESS(
            2,
            MATCH(
                TRIM(MID(A72, SEARCH(". ", A72) + 2, LEN(A72))) &amp; ".Import_kWh",
                RawData!$1:$1,
                0
            ),
            4
        )
    ),
    0
)</f>
        <v>0</v>
      </c>
      <c r="I72" s="766" cm="1">
        <f t="array" aca="1" ref="I72" ca="1">IFERROR(
    INDIRECT(
        "RawData!" &amp;
        ADDRESS(
            COUNTA(RawData!A:A),
            MATCH(
                TRIM(MID(A72, SEARCH(". ", A72) + 2, LEN(A72))) &amp; ".Import_kWh",
                RawData!$1:$1,
                0
            ),
            4
        )
    ),
    0
)</f>
        <v>0</v>
      </c>
      <c r="J72" s="767">
        <f ca="1">(I72-H72)*C72</f>
        <v>0</v>
      </c>
      <c r="K72" s="647" t="e">
        <f ca="1">J72*J$777/(J$5+J$65+J$72+J$81+J$89+J$138+J$212+J$285+J$306+J$373+J$388+J$396+J$397+J$450+J$463+J$471+J$513+J$564+J$603+J$646)</f>
        <v>#DIV/0!</v>
      </c>
      <c r="L72" s="768" t="e">
        <f ca="1">K72/J72</f>
        <v>#DIV/0!</v>
      </c>
      <c r="M72" s="769" t="e">
        <f ca="1">R74+R75+R76+R80+R79+R78</f>
        <v>#DIV/0!</v>
      </c>
      <c r="N72" s="770"/>
      <c r="O72" s="770"/>
      <c r="P72" s="763"/>
      <c r="Q72" s="772"/>
      <c r="R72" s="773"/>
      <c r="S72" s="69"/>
      <c r="T72" s="159"/>
      <c r="U72" s="93" t="s">
        <v>264</v>
      </c>
      <c r="V72" s="185" t="s">
        <v>265</v>
      </c>
      <c r="W72" s="167" t="s">
        <v>77</v>
      </c>
      <c r="X72" s="120">
        <f ca="1">R47</f>
        <v>0</v>
      </c>
      <c r="Y72" s="96" t="e">
        <f ca="1">(X72/$AI$10)*100</f>
        <v>#DIV/0!</v>
      </c>
      <c r="Z72" s="169" t="e">
        <f ca="1">X72+(Y72*$AI$7)/100</f>
        <v>#DIV/0!</v>
      </c>
      <c r="AA72" s="187"/>
      <c r="AB72" s="110" t="e">
        <f t="shared" ca="1" si="23"/>
        <v>#DIV/0!</v>
      </c>
      <c r="AC72" s="188"/>
      <c r="AD72" s="189"/>
      <c r="AE72" s="100" t="s">
        <v>136</v>
      </c>
      <c r="AF72" s="245" t="s">
        <v>77</v>
      </c>
      <c r="AG72" s="79"/>
      <c r="AH72" s="130"/>
      <c r="AL72" s="161" t="s">
        <v>136</v>
      </c>
      <c r="AM72" s="102">
        <v>552003</v>
      </c>
      <c r="AN72" s="103" t="s">
        <v>54</v>
      </c>
      <c r="AO72" s="104" t="e">
        <f t="shared" ca="1" si="13"/>
        <v>#DIV/0!</v>
      </c>
      <c r="AP72" s="49"/>
      <c r="AR72" s="112" t="str">
        <f t="shared" si="14"/>
        <v xml:space="preserve"> LINE I/M 3</v>
      </c>
      <c r="AS72" s="112" t="str">
        <f t="shared" si="15"/>
        <v>0451-71800</v>
      </c>
      <c r="AU72" s="108" t="e">
        <f t="shared" ca="1" si="16"/>
        <v>#DIV/0!</v>
      </c>
      <c r="AV72" s="7" t="s">
        <v>1</v>
      </c>
      <c r="AW72" s="7" t="s">
        <v>173</v>
      </c>
      <c r="BA72" s="249" t="s">
        <v>345</v>
      </c>
      <c r="BB72" s="249" t="s">
        <v>357</v>
      </c>
      <c r="BC72" s="249"/>
      <c r="BD72" s="249" t="s">
        <v>343</v>
      </c>
      <c r="BE72" s="250" t="e">
        <f t="shared" ca="1" si="21"/>
        <v>#DIV/0!</v>
      </c>
      <c r="BF72" s="250"/>
      <c r="BG72" s="250"/>
      <c r="BH72" s="250" t="e">
        <f t="shared" ca="1" si="22"/>
        <v>#DIV/0!</v>
      </c>
      <c r="BI72" s="250"/>
    </row>
    <row r="73" spans="1:61" ht="15" customHeight="1">
      <c r="A73" s="664" t="s">
        <v>358</v>
      </c>
      <c r="B73" s="613" t="s">
        <v>72</v>
      </c>
      <c r="C73" s="613">
        <v>40</v>
      </c>
      <c r="D73" s="613" t="s">
        <v>335</v>
      </c>
      <c r="E73" s="774" t="s">
        <v>336</v>
      </c>
      <c r="F73" s="613" t="s">
        <v>243</v>
      </c>
      <c r="G73" s="613" t="s">
        <v>49</v>
      </c>
      <c r="H73" s="1144" cm="1">
        <f t="array" aca="1" ref="H73" ca="1">IFERROR(
    INDIRECT(
        "RawData!" &amp;
        ADDRESS(
            2,
            MATCH(
                TRIM(MID(A73, SEARCH(". ", A73) + 2, LEN(A73))) &amp; ".Import_kWh",
                RawData!$1:$1,
                0
            ),
            4
        )
    ),
    0
)</f>
        <v>0</v>
      </c>
      <c r="I73" s="1144" cm="1">
        <f t="array" aca="1" ref="I73" ca="1">IFERROR(
    INDIRECT(
        "RawData!" &amp;
        ADDRESS(
            COUNTA(RawData!A:A),
            MATCH(
                TRIM(MID(A73, SEARCH(". ", A73) + 2, LEN(A73))) &amp; ".Import_kWh",
                RawData!$1:$1,
                0
            ),
            4
        )
    ),
    0
)</f>
        <v>0</v>
      </c>
      <c r="J73" s="673">
        <f ca="1">(I73-H73)*C73</f>
        <v>0</v>
      </c>
      <c r="K73" s="688">
        <f ca="1">J73</f>
        <v>0</v>
      </c>
      <c r="L73" s="312" t="e">
        <f ca="1">K73/J73</f>
        <v>#DIV/0!</v>
      </c>
      <c r="M73" s="726">
        <f ca="1">R74+R75</f>
        <v>0</v>
      </c>
      <c r="N73" s="727"/>
      <c r="O73" s="727"/>
      <c r="P73" s="664"/>
      <c r="Q73" s="728"/>
      <c r="R73" s="729"/>
      <c r="S73" s="69"/>
      <c r="T73" s="159"/>
      <c r="U73" s="93" t="s">
        <v>359</v>
      </c>
      <c r="V73" s="185" t="s">
        <v>207</v>
      </c>
      <c r="W73" s="167" t="s">
        <v>77</v>
      </c>
      <c r="X73" s="209" t="e">
        <f ca="1">R35</f>
        <v>#DIV/0!</v>
      </c>
      <c r="Y73" s="120" t="e">
        <f ca="1">(X73/$AI$10)*100</f>
        <v>#DIV/0!</v>
      </c>
      <c r="Z73" s="169" t="e">
        <f ca="1">X73+(Y73*$AI$7)/100</f>
        <v>#DIV/0!</v>
      </c>
      <c r="AA73" s="187" t="e">
        <f ca="1">SUM(Z71:Z73)</f>
        <v>#DIV/0!</v>
      </c>
      <c r="AB73" s="110" t="e">
        <f t="shared" ca="1" si="23"/>
        <v>#DIV/0!</v>
      </c>
      <c r="AC73" s="188"/>
      <c r="AD73" s="189"/>
      <c r="AE73" s="100" t="s">
        <v>136</v>
      </c>
      <c r="AF73" s="245" t="s">
        <v>77</v>
      </c>
      <c r="AG73" s="79"/>
      <c r="AH73" s="130"/>
      <c r="AL73" s="161" t="s">
        <v>136</v>
      </c>
      <c r="AM73" s="102">
        <v>552003</v>
      </c>
      <c r="AN73" s="103" t="s">
        <v>54</v>
      </c>
      <c r="AO73" s="104" t="e">
        <f t="shared" ca="1" si="13"/>
        <v>#DIV/0!</v>
      </c>
      <c r="AP73" s="49"/>
      <c r="AR73" s="112" t="str">
        <f t="shared" si="14"/>
        <v xml:space="preserve"> LINE I/M 4</v>
      </c>
      <c r="AS73" s="112" t="str">
        <f t="shared" si="15"/>
        <v>0451-72900</v>
      </c>
      <c r="AU73" s="108" t="e">
        <f t="shared" ca="1" si="16"/>
        <v>#DIV/0!</v>
      </c>
      <c r="AV73" s="7" t="s">
        <v>1</v>
      </c>
      <c r="AW73" s="7" t="s">
        <v>173</v>
      </c>
      <c r="BA73" s="249" t="s">
        <v>345</v>
      </c>
      <c r="BB73" s="249" t="s">
        <v>360</v>
      </c>
      <c r="BC73" s="249"/>
      <c r="BD73" s="249" t="s">
        <v>343</v>
      </c>
      <c r="BE73" s="250" t="e">
        <f t="shared" ca="1" si="21"/>
        <v>#DIV/0!</v>
      </c>
      <c r="BF73" s="250"/>
      <c r="BG73" s="250"/>
      <c r="BH73" s="250" t="e">
        <f t="shared" ca="1" si="22"/>
        <v>#DIV/0!</v>
      </c>
      <c r="BI73" s="250"/>
    </row>
    <row r="74" spans="1:61" ht="15" customHeight="1">
      <c r="A74" s="664" t="s">
        <v>361</v>
      </c>
      <c r="B74" s="617"/>
      <c r="C74" s="617"/>
      <c r="D74" s="617"/>
      <c r="E74" s="617"/>
      <c r="F74" s="617"/>
      <c r="G74" s="617"/>
      <c r="H74" s="617"/>
      <c r="I74" s="776"/>
      <c r="J74" s="777">
        <f ca="1">K73-K75</f>
        <v>0</v>
      </c>
      <c r="K74" s="778">
        <f ca="1">J74</f>
        <v>0</v>
      </c>
      <c r="L74" s="617"/>
      <c r="M74" s="778"/>
      <c r="N74" s="617"/>
      <c r="O74" s="617"/>
      <c r="P74" s="664"/>
      <c r="Q74" s="728"/>
      <c r="R74" s="729">
        <f ca="1">K74</f>
        <v>0</v>
      </c>
      <c r="S74" s="114" t="s">
        <v>85</v>
      </c>
      <c r="T74" s="115" t="s">
        <v>107</v>
      </c>
      <c r="U74" s="236" t="s">
        <v>304</v>
      </c>
      <c r="V74" s="258" t="s">
        <v>305</v>
      </c>
      <c r="W74" s="192" t="s">
        <v>77</v>
      </c>
      <c r="X74" s="259">
        <f ca="1">R55+R57</f>
        <v>0</v>
      </c>
      <c r="Y74" s="239" t="e">
        <f ca="1">(X74/$AI$10)*100</f>
        <v>#DIV/0!</v>
      </c>
      <c r="Z74" s="240" t="e">
        <f ca="1">X74+(Y74*$AI$7)/100</f>
        <v>#DIV/0!</v>
      </c>
      <c r="AA74" s="163"/>
      <c r="AB74" s="129" t="e">
        <f t="shared" ca="1" si="23"/>
        <v>#DIV/0!</v>
      </c>
      <c r="AC74" s="260"/>
      <c r="AD74" s="260"/>
      <c r="AE74" s="100" t="s">
        <v>136</v>
      </c>
      <c r="AF74" s="245" t="s">
        <v>77</v>
      </c>
      <c r="AG74" s="79"/>
      <c r="AH74" s="130"/>
      <c r="AL74" s="161" t="s">
        <v>136</v>
      </c>
      <c r="AM74" s="102">
        <v>552003</v>
      </c>
      <c r="AN74" s="103" t="s">
        <v>54</v>
      </c>
      <c r="AO74" s="104" t="e">
        <f t="shared" ca="1" si="13"/>
        <v>#DIV/0!</v>
      </c>
      <c r="AP74" s="49"/>
      <c r="AR74" s="112" t="str">
        <f t="shared" si="14"/>
        <v xml:space="preserve"> LINE I/M 7</v>
      </c>
      <c r="AS74" s="112" t="str">
        <f t="shared" si="15"/>
        <v>0451-75900</v>
      </c>
      <c r="AU74" s="108" t="e">
        <f t="shared" ca="1" si="16"/>
        <v>#DIV/0!</v>
      </c>
      <c r="AV74" s="7" t="s">
        <v>1</v>
      </c>
      <c r="AW74" s="7" t="s">
        <v>173</v>
      </c>
      <c r="BA74" s="249" t="s">
        <v>345</v>
      </c>
      <c r="BB74" s="249" t="s">
        <v>362</v>
      </c>
      <c r="BC74" s="249"/>
      <c r="BD74" s="249" t="s">
        <v>343</v>
      </c>
      <c r="BE74" s="250" t="e">
        <f t="shared" ca="1" si="21"/>
        <v>#DIV/0!</v>
      </c>
      <c r="BF74" s="250"/>
      <c r="BG74" s="250"/>
      <c r="BH74" s="250" t="e">
        <f t="shared" ca="1" si="22"/>
        <v>#DIV/0!</v>
      </c>
      <c r="BI74" s="250"/>
    </row>
    <row r="75" spans="1:61" ht="15" customHeight="1">
      <c r="A75" s="664" t="s">
        <v>363</v>
      </c>
      <c r="B75" s="613" t="s">
        <v>72</v>
      </c>
      <c r="C75" s="613">
        <v>50</v>
      </c>
      <c r="D75" s="613" t="s">
        <v>335</v>
      </c>
      <c r="E75" s="774" t="s">
        <v>336</v>
      </c>
      <c r="F75" s="613" t="s">
        <v>243</v>
      </c>
      <c r="G75" s="613" t="s">
        <v>49</v>
      </c>
      <c r="H75" s="665" cm="1">
        <f t="array" aca="1" ref="H75" ca="1">IFERROR(
    INDIRECT(
        "RawData!" &amp;
        ADDRESS(
            2,
            MATCH(
                TRIM(MID(A75, SEARCH(". ", A75) + 2, LEN(A75))) &amp; ".Import_kWh",
                RawData!$1:$1,
                0
            ),
            4
        )
    ),
    0
)</f>
        <v>0</v>
      </c>
      <c r="I75" s="665" cm="1">
        <f t="array" aca="1" ref="I75" ca="1">IFERROR(
    INDIRECT(
        "RawData!" &amp;
        ADDRESS(
            COUNTA(RawData!A:A),
            MATCH(
                TRIM(MID(A75, SEARCH(". ", A75) + 2, LEN(A75))) &amp; ".Import_kWh",
                RawData!$1:$1,
                0
            ),
            4
        )
    ),
    0
)</f>
        <v>0</v>
      </c>
      <c r="J75" s="673">
        <f ca="1">(I75-H75)*C75</f>
        <v>0</v>
      </c>
      <c r="K75" s="688">
        <f ca="1">J75</f>
        <v>0</v>
      </c>
      <c r="L75" s="570"/>
      <c r="M75" s="779" t="s">
        <v>364</v>
      </c>
      <c r="N75" s="664"/>
      <c r="O75" s="664"/>
      <c r="P75" s="664"/>
      <c r="Q75" s="728"/>
      <c r="R75" s="729">
        <f ca="1">K75</f>
        <v>0</v>
      </c>
      <c r="S75" s="114" t="s">
        <v>157</v>
      </c>
      <c r="T75" s="115" t="s">
        <v>158</v>
      </c>
      <c r="U75" s="178" t="s">
        <v>365</v>
      </c>
      <c r="V75" s="156" t="s">
        <v>366</v>
      </c>
      <c r="W75" s="167" t="s">
        <v>77</v>
      </c>
      <c r="X75" s="179" t="e">
        <f ca="1">R134</f>
        <v>#DIV/0!</v>
      </c>
      <c r="Y75" s="151" t="e">
        <f t="shared" ca="1" si="9"/>
        <v>#DIV/0!</v>
      </c>
      <c r="Z75" s="169" t="e">
        <f t="shared" ca="1" si="10"/>
        <v>#DIV/0!</v>
      </c>
      <c r="AA75" s="180"/>
      <c r="AB75" s="110" t="e">
        <f t="shared" ca="1" si="23"/>
        <v>#DIV/0!</v>
      </c>
      <c r="AC75" s="261"/>
      <c r="AD75" s="262"/>
      <c r="AE75" s="100" t="s">
        <v>136</v>
      </c>
      <c r="AF75" s="245" t="s">
        <v>77</v>
      </c>
      <c r="AG75" s="79"/>
      <c r="AH75" s="130"/>
      <c r="AL75" s="161" t="s">
        <v>136</v>
      </c>
      <c r="AM75" s="102">
        <v>552003</v>
      </c>
      <c r="AN75" s="103" t="s">
        <v>54</v>
      </c>
      <c r="AO75" s="104" t="e">
        <f ca="1">ROUND(AB75,2)</f>
        <v>#DIV/0!</v>
      </c>
      <c r="AP75" s="49"/>
      <c r="AR75" s="112" t="str">
        <f>V75</f>
        <v xml:space="preserve"> LINE Q</v>
      </c>
      <c r="AS75" s="112" t="str">
        <f t="shared" si="15"/>
        <v>0451-65700</v>
      </c>
      <c r="AU75" s="108" t="e">
        <f ca="1">ROUND(Z75,2)</f>
        <v>#DIV/0!</v>
      </c>
      <c r="AV75" s="7" t="s">
        <v>1</v>
      </c>
      <c r="AW75" s="7" t="s">
        <v>173</v>
      </c>
      <c r="BA75" s="249" t="s">
        <v>345</v>
      </c>
      <c r="BB75" s="249" t="s">
        <v>367</v>
      </c>
      <c r="BC75" s="249"/>
      <c r="BD75" s="249" t="s">
        <v>343</v>
      </c>
      <c r="BE75" s="250" t="e">
        <f t="shared" ca="1" si="21"/>
        <v>#DIV/0!</v>
      </c>
      <c r="BF75" s="250"/>
      <c r="BG75" s="250"/>
      <c r="BH75" s="250" t="e">
        <f t="shared" ca="1" si="22"/>
        <v>#DIV/0!</v>
      </c>
      <c r="BI75" s="250"/>
    </row>
    <row r="76" spans="1:61" ht="15" customHeight="1">
      <c r="A76" s="664" t="s">
        <v>368</v>
      </c>
      <c r="B76" s="613" t="s">
        <v>72</v>
      </c>
      <c r="C76" s="780">
        <v>40</v>
      </c>
      <c r="D76" s="613" t="s">
        <v>335</v>
      </c>
      <c r="E76" s="774" t="s">
        <v>336</v>
      </c>
      <c r="F76" s="613" t="s">
        <v>243</v>
      </c>
      <c r="G76" s="613" t="s">
        <v>49</v>
      </c>
      <c r="H76" s="665" cm="1">
        <f t="array" aca="1" ref="H76" ca="1">IFERROR(
    INDIRECT(
        "RawData!" &amp;
        ADDRESS(
            2,
            MATCH(
                TRIM(MID(A76, SEARCH(". ", A76) + 2, LEN(A76))) &amp; ".Import_kWh",
                RawData!$1:$1,
                0
            ),
            4
        )
    ),
    0
)</f>
        <v>0</v>
      </c>
      <c r="I76" s="665" cm="1">
        <f t="array" aca="1" ref="I76" ca="1">IFERROR(
    INDIRECT(
        "RawData!" &amp;
        ADDRESS(
            COUNTA(RawData!A:A),
            MATCH(
                TRIM(MID(A76, SEARCH(". ", A76) + 2, LEN(A76))) &amp; ".Import_kWh",
                RawData!$1:$1,
                0
            ),
            4
        )
    ),
    0
)</f>
        <v>0</v>
      </c>
      <c r="J76" s="673">
        <f ca="1">(I76-H76)*C76</f>
        <v>0</v>
      </c>
      <c r="K76" s="778">
        <f ca="1">J76</f>
        <v>0</v>
      </c>
      <c r="L76" s="312" t="e">
        <f ca="1">K76/J76</f>
        <v>#DIV/0!</v>
      </c>
      <c r="M76" s="688"/>
      <c r="N76" s="727"/>
      <c r="O76" s="727"/>
      <c r="P76" s="732"/>
      <c r="Q76" s="728"/>
      <c r="R76" s="729">
        <f ca="1">K77</f>
        <v>-250</v>
      </c>
      <c r="S76" s="114" t="s">
        <v>85</v>
      </c>
      <c r="T76" s="115" t="s">
        <v>107</v>
      </c>
      <c r="U76" s="178" t="s">
        <v>369</v>
      </c>
      <c r="V76" s="156" t="s">
        <v>370</v>
      </c>
      <c r="W76" s="167" t="s">
        <v>77</v>
      </c>
      <c r="X76" s="199" t="e">
        <f ca="1">R129</f>
        <v>#DIV/0!</v>
      </c>
      <c r="Y76" s="151" t="e">
        <f t="shared" ca="1" si="9"/>
        <v>#DIV/0!</v>
      </c>
      <c r="Z76" s="169" t="e">
        <f t="shared" ca="1" si="10"/>
        <v>#DIV/0!</v>
      </c>
      <c r="AA76" s="180"/>
      <c r="AB76" s="110" t="e">
        <f t="shared" ca="1" si="23"/>
        <v>#DIV/0!</v>
      </c>
      <c r="AC76" s="181"/>
      <c r="AD76" s="182"/>
      <c r="AE76" s="100" t="s">
        <v>136</v>
      </c>
      <c r="AF76" s="245" t="s">
        <v>77</v>
      </c>
      <c r="AG76" s="79"/>
      <c r="AH76" s="130"/>
      <c r="AL76" s="161" t="s">
        <v>136</v>
      </c>
      <c r="AM76" s="102">
        <v>552003</v>
      </c>
      <c r="AN76" s="103" t="s">
        <v>54</v>
      </c>
      <c r="AO76" s="104" t="e">
        <f ca="1">ROUND(AB76,2)</f>
        <v>#DIV/0!</v>
      </c>
      <c r="AP76" s="49"/>
      <c r="AR76" s="112" t="str">
        <f>V76</f>
        <v xml:space="preserve"> LINE P</v>
      </c>
      <c r="AS76" s="112" t="str">
        <f t="shared" si="15"/>
        <v>0451-65400</v>
      </c>
      <c r="AU76" s="108" t="e">
        <f ca="1">ROUND(Z76,2)</f>
        <v>#DIV/0!</v>
      </c>
      <c r="AV76" s="7" t="s">
        <v>1</v>
      </c>
      <c r="AW76" s="7" t="s">
        <v>173</v>
      </c>
      <c r="BA76" s="249" t="s">
        <v>345</v>
      </c>
      <c r="BB76" s="249" t="s">
        <v>371</v>
      </c>
      <c r="BC76" s="249"/>
      <c r="BD76" s="249" t="s">
        <v>343</v>
      </c>
      <c r="BE76" s="250">
        <f ca="1">X212</f>
        <v>0</v>
      </c>
      <c r="BF76" s="250"/>
      <c r="BG76" s="250"/>
      <c r="BH76" s="250" t="e">
        <f t="shared" ca="1" si="22"/>
        <v>#DIV/0!</v>
      </c>
      <c r="BI76" s="250"/>
    </row>
    <row r="77" spans="1:61" ht="15" customHeight="1">
      <c r="A77" s="664" t="s">
        <v>372</v>
      </c>
      <c r="B77" s="780"/>
      <c r="C77" s="780"/>
      <c r="D77" s="780"/>
      <c r="E77" s="780"/>
      <c r="F77" s="780"/>
      <c r="G77" s="780"/>
      <c r="H77" s="594"/>
      <c r="I77" s="594"/>
      <c r="J77" s="673"/>
      <c r="K77" s="781">
        <f ca="1">K76-K78</f>
        <v>-250</v>
      </c>
      <c r="L77" s="312"/>
      <c r="M77" s="688"/>
      <c r="N77" s="727"/>
      <c r="O77" s="727"/>
      <c r="P77" s="732"/>
      <c r="Q77" s="733"/>
      <c r="R77" s="729"/>
      <c r="S77" s="69"/>
      <c r="T77" s="159"/>
      <c r="U77" s="263" t="s">
        <v>373</v>
      </c>
      <c r="V77" s="251" t="s">
        <v>374</v>
      </c>
      <c r="W77" s="167" t="s">
        <v>77</v>
      </c>
      <c r="X77" s="199" t="e">
        <f ca="1">R100+R104</f>
        <v>#DIV/0!</v>
      </c>
      <c r="Y77" s="151" t="e">
        <f t="shared" ca="1" si="9"/>
        <v>#DIV/0!</v>
      </c>
      <c r="Z77" s="169" t="e">
        <f t="shared" ca="1" si="10"/>
        <v>#DIV/0!</v>
      </c>
      <c r="AA77" s="180"/>
      <c r="AB77" s="110" t="e">
        <f t="shared" ca="1" si="23"/>
        <v>#DIV/0!</v>
      </c>
      <c r="AC77" s="181"/>
      <c r="AD77" s="182"/>
      <c r="AE77" s="100" t="s">
        <v>136</v>
      </c>
      <c r="AF77" s="245" t="s">
        <v>77</v>
      </c>
      <c r="AG77" s="79"/>
      <c r="AH77" s="130"/>
      <c r="AL77" s="161" t="s">
        <v>136</v>
      </c>
      <c r="AM77" s="102">
        <v>552003</v>
      </c>
      <c r="AN77" s="103" t="s">
        <v>54</v>
      </c>
      <c r="AO77" s="104" t="e">
        <f ca="1">ROUND(AB77,2)</f>
        <v>#DIV/0!</v>
      </c>
      <c r="AP77" s="49"/>
      <c r="AR77" s="112" t="str">
        <f>V77</f>
        <v xml:space="preserve"> LINE A2</v>
      </c>
      <c r="AS77" s="112" t="str">
        <f t="shared" si="15"/>
        <v>0451-72700</v>
      </c>
      <c r="AU77" s="108" t="e">
        <f ca="1">ROUND(Z77,2)</f>
        <v>#DIV/0!</v>
      </c>
      <c r="AV77" s="7" t="s">
        <v>1</v>
      </c>
      <c r="AW77" s="7" t="s">
        <v>173</v>
      </c>
      <c r="BA77" s="249" t="s">
        <v>375</v>
      </c>
      <c r="BB77" s="249" t="s">
        <v>376</v>
      </c>
      <c r="BC77" s="249"/>
      <c r="BD77" s="249" t="s">
        <v>343</v>
      </c>
      <c r="BE77" s="250" t="e">
        <f t="shared" ca="1" si="21"/>
        <v>#DIV/0!</v>
      </c>
      <c r="BF77" s="250"/>
      <c r="BG77" s="250">
        <v>0.23556301160879892</v>
      </c>
      <c r="BH77" s="250" t="e">
        <f ca="1">Z213</f>
        <v>#DIV/0!</v>
      </c>
      <c r="BI77" s="250"/>
    </row>
    <row r="78" spans="1:61" ht="15" customHeight="1">
      <c r="A78" s="695" t="s">
        <v>377</v>
      </c>
      <c r="B78" s="782" t="s">
        <v>378</v>
      </c>
      <c r="C78" s="780"/>
      <c r="D78" s="780"/>
      <c r="E78" s="780"/>
      <c r="F78" s="780"/>
      <c r="G78" s="780"/>
      <c r="H78" s="594"/>
      <c r="I78" s="594"/>
      <c r="J78" s="698">
        <v>250</v>
      </c>
      <c r="K78" s="688">
        <f>J78</f>
        <v>250</v>
      </c>
      <c r="L78" s="312"/>
      <c r="M78" s="688">
        <f>2.7+2.7+0.324</f>
        <v>5.7240000000000002</v>
      </c>
      <c r="N78" s="727"/>
      <c r="O78" s="727"/>
      <c r="P78" s="732"/>
      <c r="Q78" s="733"/>
      <c r="R78" s="729">
        <f>K78</f>
        <v>250</v>
      </c>
      <c r="S78" s="114" t="s">
        <v>85</v>
      </c>
      <c r="T78" s="115" t="s">
        <v>154</v>
      </c>
      <c r="U78" s="178" t="s">
        <v>247</v>
      </c>
      <c r="V78" s="166" t="s">
        <v>248</v>
      </c>
      <c r="W78" s="167" t="s">
        <v>77</v>
      </c>
      <c r="X78" s="151" t="e">
        <f ca="1">R43</f>
        <v>#DIV/0!</v>
      </c>
      <c r="Y78" s="151" t="e">
        <f t="shared" ca="1" si="9"/>
        <v>#DIV/0!</v>
      </c>
      <c r="Z78" s="169" t="e">
        <f t="shared" ca="1" si="10"/>
        <v>#DIV/0!</v>
      </c>
      <c r="AA78" s="244" t="e">
        <f ca="1">SUM(Z66:Z78)</f>
        <v>#DIV/0!</v>
      </c>
      <c r="AB78" s="110" t="e">
        <f t="shared" ca="1" si="23"/>
        <v>#DIV/0!</v>
      </c>
      <c r="AC78" s="181"/>
      <c r="AD78" s="182"/>
      <c r="AE78" s="100" t="s">
        <v>136</v>
      </c>
      <c r="AF78" s="245" t="s">
        <v>77</v>
      </c>
      <c r="AH78" s="130"/>
      <c r="AL78" s="161" t="s">
        <v>136</v>
      </c>
      <c r="AM78" s="102">
        <v>552003</v>
      </c>
      <c r="AN78" s="103" t="s">
        <v>54</v>
      </c>
      <c r="AO78" s="104" t="e">
        <f ca="1">ROUND(AB78,2)</f>
        <v>#DIV/0!</v>
      </c>
      <c r="AP78" s="49"/>
      <c r="AR78" s="112" t="str">
        <f>V78</f>
        <v xml:space="preserve"> LINE HO/C/V</v>
      </c>
      <c r="AS78" s="112" t="str">
        <f t="shared" si="15"/>
        <v>0451-76200</v>
      </c>
      <c r="AU78" s="108" t="e">
        <f ca="1">ROUND(Z78,2)</f>
        <v>#DIV/0!</v>
      </c>
      <c r="AV78" s="7" t="s">
        <v>1</v>
      </c>
      <c r="AW78" s="7" t="s">
        <v>173</v>
      </c>
      <c r="BA78" s="249" t="s">
        <v>379</v>
      </c>
      <c r="BB78" s="249" t="s">
        <v>380</v>
      </c>
      <c r="BC78" s="249"/>
      <c r="BD78" s="249" t="s">
        <v>343</v>
      </c>
      <c r="BE78" s="250" t="e">
        <f t="shared" ca="1" si="21"/>
        <v>#DIV/0!</v>
      </c>
      <c r="BF78" s="250"/>
      <c r="BG78" s="250">
        <v>0.25199764032569189</v>
      </c>
      <c r="BH78" s="250" t="e">
        <f t="shared" ref="BH78:BH80" ca="1" si="24">Z214</f>
        <v>#DIV/0!</v>
      </c>
      <c r="BI78" s="250"/>
    </row>
    <row r="79" spans="1:61" ht="15" customHeight="1">
      <c r="A79" s="664" t="s">
        <v>381</v>
      </c>
      <c r="B79" s="613" t="s">
        <v>382</v>
      </c>
      <c r="C79" s="613">
        <v>20</v>
      </c>
      <c r="D79" s="613" t="s">
        <v>335</v>
      </c>
      <c r="E79" s="774" t="s">
        <v>336</v>
      </c>
      <c r="F79" s="613" t="s">
        <v>243</v>
      </c>
      <c r="G79" s="613" t="s">
        <v>49</v>
      </c>
      <c r="H79" s="665" cm="1">
        <f t="array" aca="1" ref="H79" ca="1">IFERROR(
    INDIRECT(
        "RawData!" &amp;
        ADDRESS(
            2,
            MATCH(
                TRIM(MID(A79, SEARCH(". ", A79) + 2, LEN(A79))) &amp; ".Import_kWh",
                RawData!$1:$1,
                0
            ),
            4
        )
    ),
    0
)</f>
        <v>0</v>
      </c>
      <c r="I79" s="665" cm="1">
        <f t="array" aca="1" ref="I79" ca="1">IFERROR(
    INDIRECT(
        "RawData!" &amp;
        ADDRESS(
            COUNTA(RawData!A:A),
            MATCH(
                TRIM(MID(A79, SEARCH(". ", A79) + 2, LEN(A79))) &amp; ".Import_kWh",
                RawData!$1:$1,
                0
            ),
            4
        )
    ),
    0
)</f>
        <v>0</v>
      </c>
      <c r="J79" s="673">
        <f ca="1">(I79-H79)*C79</f>
        <v>0</v>
      </c>
      <c r="K79" s="688">
        <f ca="1">J79</f>
        <v>0</v>
      </c>
      <c r="L79" s="312" t="e">
        <f ca="1">K79/J79</f>
        <v>#DIV/0!</v>
      </c>
      <c r="M79" s="779" t="s">
        <v>364</v>
      </c>
      <c r="N79" s="727"/>
      <c r="O79" s="727"/>
      <c r="P79" s="732"/>
      <c r="Q79" s="733"/>
      <c r="R79" s="729">
        <f ca="1">K79</f>
        <v>0</v>
      </c>
      <c r="S79" s="114" t="s">
        <v>157</v>
      </c>
      <c r="T79" s="115" t="s">
        <v>158</v>
      </c>
      <c r="U79" s="263" t="s">
        <v>220</v>
      </c>
      <c r="V79" s="251" t="s">
        <v>221</v>
      </c>
      <c r="W79" s="167" t="s">
        <v>77</v>
      </c>
      <c r="X79" s="199">
        <f>R38</f>
        <v>0</v>
      </c>
      <c r="Y79" s="151" t="e">
        <f t="shared" ca="1" si="9"/>
        <v>#DIV/0!</v>
      </c>
      <c r="Z79" s="169" t="e">
        <f t="shared" ca="1" si="10"/>
        <v>#DIV/0!</v>
      </c>
      <c r="AA79" s="180"/>
      <c r="AB79" s="110" t="e">
        <f t="shared" ca="1" si="23"/>
        <v>#DIV/0!</v>
      </c>
      <c r="AC79" s="181"/>
      <c r="AD79" s="182"/>
      <c r="AE79" s="100" t="s">
        <v>136</v>
      </c>
      <c r="AF79" s="245" t="s">
        <v>77</v>
      </c>
      <c r="AH79" s="130"/>
      <c r="AL79" s="161" t="s">
        <v>136</v>
      </c>
      <c r="AM79" s="102">
        <v>552003</v>
      </c>
      <c r="AN79" s="103" t="s">
        <v>54</v>
      </c>
      <c r="AO79" s="104" t="e">
        <f ca="1">ROUND(AB79,2)</f>
        <v>#DIV/0!</v>
      </c>
      <c r="AP79" s="49"/>
      <c r="AR79" s="112" t="str">
        <f>V79</f>
        <v xml:space="preserve"> LINE A</v>
      </c>
      <c r="AS79" s="112" t="str">
        <f t="shared" si="15"/>
        <v>0451-64100</v>
      </c>
      <c r="AU79" s="108" t="e">
        <f ca="1">ROUND(Z79,2)</f>
        <v>#DIV/0!</v>
      </c>
      <c r="AV79" s="7" t="s">
        <v>1</v>
      </c>
      <c r="AW79" s="7" t="s">
        <v>173</v>
      </c>
      <c r="BA79" s="249" t="s">
        <v>383</v>
      </c>
      <c r="BB79" s="249" t="s">
        <v>384</v>
      </c>
      <c r="BC79" s="249"/>
      <c r="BD79" s="249" t="s">
        <v>343</v>
      </c>
      <c r="BE79" s="250" t="e">
        <f t="shared" ca="1" si="21"/>
        <v>#DIV/0!</v>
      </c>
      <c r="BF79" s="250"/>
      <c r="BG79" s="250">
        <v>0.24685447775454669</v>
      </c>
      <c r="BH79" s="250" t="e">
        <f t="shared" ca="1" si="24"/>
        <v>#DIV/0!</v>
      </c>
      <c r="BI79" s="250"/>
    </row>
    <row r="80" spans="1:61" ht="15" customHeight="1">
      <c r="A80" s="664" t="s">
        <v>385</v>
      </c>
      <c r="B80" s="780"/>
      <c r="C80" s="780"/>
      <c r="D80" s="780"/>
      <c r="E80" s="780"/>
      <c r="F80" s="780"/>
      <c r="G80" s="780"/>
      <c r="H80" s="594"/>
      <c r="I80" s="594"/>
      <c r="J80" s="673"/>
      <c r="K80" s="688" t="e">
        <f ca="1">K72-(K73+K76+K79)</f>
        <v>#DIV/0!</v>
      </c>
      <c r="L80" s="312"/>
      <c r="M80" s="688"/>
      <c r="N80" s="727"/>
      <c r="O80" s="727"/>
      <c r="P80" s="732"/>
      <c r="Q80" s="733"/>
      <c r="R80" s="729" t="e">
        <f ca="1">K80</f>
        <v>#DIV/0!</v>
      </c>
      <c r="S80" s="114" t="s">
        <v>157</v>
      </c>
      <c r="T80" s="115" t="s">
        <v>158</v>
      </c>
      <c r="U80" s="93" t="s">
        <v>386</v>
      </c>
      <c r="V80" s="185" t="s">
        <v>387</v>
      </c>
      <c r="W80" s="167" t="s">
        <v>77</v>
      </c>
      <c r="X80" s="120" t="e">
        <f ca="1">R110</f>
        <v>#DIV/0!</v>
      </c>
      <c r="Y80" s="96" t="e">
        <f t="shared" ca="1" si="9"/>
        <v>#DIV/0!</v>
      </c>
      <c r="Z80" s="169" t="e">
        <f t="shared" ca="1" si="10"/>
        <v>#DIV/0!</v>
      </c>
      <c r="AA80" s="187"/>
      <c r="AB80" s="110" t="e">
        <f t="shared" ca="1" si="23"/>
        <v>#DIV/0!</v>
      </c>
      <c r="AC80" s="188"/>
      <c r="AD80" s="189"/>
      <c r="AE80" s="100" t="s">
        <v>136</v>
      </c>
      <c r="AF80" s="245" t="s">
        <v>77</v>
      </c>
      <c r="AH80" s="130"/>
      <c r="AL80" s="161" t="s">
        <v>136</v>
      </c>
      <c r="AM80" s="102">
        <v>552003</v>
      </c>
      <c r="AN80" s="103" t="s">
        <v>54</v>
      </c>
      <c r="AO80" s="104" t="e">
        <f t="shared" ref="AO80:AO127" ca="1" si="25">ROUND(AB80,2)</f>
        <v>#DIV/0!</v>
      </c>
      <c r="AP80" s="49"/>
      <c r="AR80" s="112" t="str">
        <f t="shared" ref="AR80:AR85" si="26">V80</f>
        <v xml:space="preserve"> LINE C/C 1</v>
      </c>
      <c r="AS80" s="112" t="str">
        <f t="shared" si="15"/>
        <v>0451-72300</v>
      </c>
      <c r="AU80" s="108" t="e">
        <f t="shared" ref="AU80:AU143" ca="1" si="27">ROUND(Z80,2)</f>
        <v>#DIV/0!</v>
      </c>
      <c r="AV80" s="7" t="s">
        <v>1</v>
      </c>
      <c r="AW80" s="7" t="s">
        <v>173</v>
      </c>
      <c r="BA80" s="249" t="s">
        <v>388</v>
      </c>
      <c r="BB80" s="249" t="s">
        <v>389</v>
      </c>
      <c r="BC80" s="249"/>
      <c r="BD80" s="249" t="s">
        <v>343</v>
      </c>
      <c r="BE80" s="250" t="e">
        <f t="shared" ca="1" si="21"/>
        <v>#DIV/0!</v>
      </c>
      <c r="BF80" s="250"/>
      <c r="BG80" s="250">
        <v>0.38578188151408221</v>
      </c>
      <c r="BH80" s="250" t="e">
        <f t="shared" ca="1" si="24"/>
        <v>#DIV/0!</v>
      </c>
      <c r="BI80" s="250"/>
    </row>
    <row r="81" spans="1:61" ht="15" customHeight="1">
      <c r="A81" s="763" t="s">
        <v>390</v>
      </c>
      <c r="B81" s="764" t="s">
        <v>64</v>
      </c>
      <c r="C81" s="764">
        <v>1</v>
      </c>
      <c r="D81" s="644" t="s">
        <v>47</v>
      </c>
      <c r="E81" s="643"/>
      <c r="F81" s="644" t="s">
        <v>48</v>
      </c>
      <c r="G81" s="643" t="s">
        <v>49</v>
      </c>
      <c r="H81" s="766" cm="1">
        <f t="array" aca="1" ref="H81" ca="1">IFERROR(
    INDIRECT(
        "RawData!" &amp;
        ADDRESS(
            2,
            MATCH(
                TRIM(MID(A81, SEARCH(". ", A81) + 2, LEN(A81))) &amp; ".Import_kWh",
                RawData!$1:$1,
                0
            ),
            4
        )
    ),
    0
)</f>
        <v>0</v>
      </c>
      <c r="I81" s="766" cm="1">
        <f t="array" aca="1" ref="I81" ca="1">IFERROR(
    INDIRECT(
        "RawData!" &amp;
        ADDRESS(
            COUNTA(RawData!A:A),
            MATCH(
                TRIM(MID(A81, SEARCH(". ", A81) + 2, LEN(A81))) &amp; ".Import_kWh",
                RawData!$1:$1,
                0
            ),
            4
        )
    ),
    0
)</f>
        <v>0</v>
      </c>
      <c r="J81" s="783">
        <f ca="1">(I81-H81)*C81</f>
        <v>0</v>
      </c>
      <c r="K81" s="647" t="e">
        <f ca="1">J81*J$777/(J$5+J$65+J$72+J$81+J$89+J$138+J$212+J$285+J$306+J$373+J$388+J$396+J$397+J$450+J$463+J$471+J$513+J$564+J$603+J$646)</f>
        <v>#DIV/0!</v>
      </c>
      <c r="L81" s="768" t="e">
        <f ca="1">K81/J81</f>
        <v>#DIV/0!</v>
      </c>
      <c r="M81" s="769" t="e">
        <f ca="1">R82+R87+R85+R86</f>
        <v>#DIV/0!</v>
      </c>
      <c r="N81" s="770"/>
      <c r="O81" s="770"/>
      <c r="P81" s="763"/>
      <c r="Q81" s="772"/>
      <c r="R81" s="773"/>
      <c r="S81" s="69"/>
      <c r="T81" s="159"/>
      <c r="U81" s="93" t="s">
        <v>232</v>
      </c>
      <c r="V81" s="264" t="s">
        <v>233</v>
      </c>
      <c r="W81" s="167" t="s">
        <v>77</v>
      </c>
      <c r="X81" s="120" t="e">
        <f ca="1">R40+R41</f>
        <v>#DIV/0!</v>
      </c>
      <c r="Y81" s="96" t="e">
        <f t="shared" ca="1" si="9"/>
        <v>#DIV/0!</v>
      </c>
      <c r="Z81" s="169" t="e">
        <f t="shared" ca="1" si="10"/>
        <v>#DIV/0!</v>
      </c>
      <c r="AA81" s="265" t="e">
        <f ca="1">SUM(Z80:Z81)</f>
        <v>#DIV/0!</v>
      </c>
      <c r="AB81" s="110" t="e">
        <f t="shared" ca="1" si="23"/>
        <v>#DIV/0!</v>
      </c>
      <c r="AC81" s="188"/>
      <c r="AD81" s="189"/>
      <c r="AE81" s="100" t="s">
        <v>136</v>
      </c>
      <c r="AF81" s="245" t="s">
        <v>77</v>
      </c>
      <c r="AH81" s="130"/>
      <c r="AL81" s="161" t="s">
        <v>136</v>
      </c>
      <c r="AM81" s="102">
        <v>552003</v>
      </c>
      <c r="AN81" s="103" t="s">
        <v>54</v>
      </c>
      <c r="AO81" s="104" t="e">
        <f t="shared" ca="1" si="25"/>
        <v>#DIV/0!</v>
      </c>
      <c r="AP81" s="49"/>
      <c r="AR81" s="112" t="str">
        <f t="shared" si="26"/>
        <v xml:space="preserve"> LINE C/C 2,3</v>
      </c>
      <c r="AS81" s="112" t="str">
        <f t="shared" si="15"/>
        <v>0451-76100</v>
      </c>
      <c r="AU81" s="108" t="e">
        <f t="shared" ca="1" si="27"/>
        <v>#DIV/0!</v>
      </c>
      <c r="AV81" s="7" t="s">
        <v>1</v>
      </c>
      <c r="AW81" s="7" t="s">
        <v>173</v>
      </c>
      <c r="BA81" s="249" t="s">
        <v>345</v>
      </c>
      <c r="BB81" s="249" t="s">
        <v>391</v>
      </c>
      <c r="BC81" s="249"/>
      <c r="BD81" s="249" t="s">
        <v>343</v>
      </c>
      <c r="BE81" s="250" t="e">
        <f t="shared" ca="1" si="21"/>
        <v>#DIV/0!</v>
      </c>
      <c r="BF81" s="250"/>
      <c r="BG81" s="250" t="e">
        <f t="shared" ref="BG81:BH86" ca="1" si="28">Y217</f>
        <v>#DIV/0!</v>
      </c>
      <c r="BH81" s="250" t="e">
        <f t="shared" ca="1" si="28"/>
        <v>#DIV/0!</v>
      </c>
      <c r="BI81" s="250"/>
    </row>
    <row r="82" spans="1:61" ht="15" customHeight="1">
      <c r="A82" s="664" t="s">
        <v>1160</v>
      </c>
      <c r="B82" s="613"/>
      <c r="C82" s="613">
        <v>1</v>
      </c>
      <c r="D82" s="595" t="s">
        <v>47</v>
      </c>
      <c r="E82" s="595"/>
      <c r="F82" s="595" t="s">
        <v>48</v>
      </c>
      <c r="G82" s="595" t="s">
        <v>49</v>
      </c>
      <c r="H82" s="665" cm="1">
        <f t="array" aca="1" ref="H82" ca="1">IFERROR(
    INDIRECT(
        "RawData!" &amp;
        ADDRESS(
            2,
            MATCH(
                TRIM(MID(A82, SEARCH(". ", A82) + 2, LEN(A82))) &amp; ".Import_kWh",
                RawData!$1:$1,
                0
            ),
            4
        )
    ),
    0
)</f>
        <v>0</v>
      </c>
      <c r="I82" s="665" cm="1">
        <f t="array" aca="1" ref="I82" ca="1">IFERROR(
    INDIRECT(
        "RawData!" &amp;
        ADDRESS(
            COUNTA(RawData!A:A),
            MATCH(
                TRIM(MID(A82, SEARCH(". ", A82) + 2, LEN(A82))) &amp; ".Import_kWh",
                RawData!$1:$1,
                0
            ),
            4
        )
    ),
    0
)</f>
        <v>0</v>
      </c>
      <c r="J82" s="666">
        <f ca="1">(I82-H82)*C82</f>
        <v>0</v>
      </c>
      <c r="K82" s="688">
        <f ca="1">J82</f>
        <v>0</v>
      </c>
      <c r="L82" s="312" t="e">
        <f ca="1">K82/J82</f>
        <v>#DIV/0!</v>
      </c>
      <c r="M82" s="688"/>
      <c r="N82" s="727"/>
      <c r="O82" s="727"/>
      <c r="P82" s="664"/>
      <c r="Q82" s="728"/>
      <c r="R82" s="729">
        <f ca="1">J82</f>
        <v>0</v>
      </c>
      <c r="S82" s="114" t="s">
        <v>98</v>
      </c>
      <c r="T82" s="115" t="s">
        <v>108</v>
      </c>
      <c r="U82" s="93" t="s">
        <v>392</v>
      </c>
      <c r="V82" s="208" t="s">
        <v>393</v>
      </c>
      <c r="W82" s="167" t="s">
        <v>77</v>
      </c>
      <c r="X82" s="120" t="e">
        <f ca="1">R107</f>
        <v>#DIV/0!</v>
      </c>
      <c r="Y82" s="120" t="e">
        <f ca="1">(X82/$AI$10)*100</f>
        <v>#DIV/0!</v>
      </c>
      <c r="Z82" s="152" t="e">
        <f ca="1">X82+(Y82*$AI$7)/100</f>
        <v>#DIV/0!</v>
      </c>
      <c r="AA82" s="187" t="e">
        <f ca="1">SUM(Z45:Z82)</f>
        <v>#DIV/0!</v>
      </c>
      <c r="AB82" s="110" t="e">
        <f t="shared" ca="1" si="23"/>
        <v>#DIV/0!</v>
      </c>
      <c r="AC82" s="188"/>
      <c r="AD82" s="189"/>
      <c r="AE82" s="100" t="s">
        <v>136</v>
      </c>
      <c r="AF82" s="245" t="s">
        <v>77</v>
      </c>
      <c r="AL82" s="161" t="s">
        <v>136</v>
      </c>
      <c r="AM82" s="102">
        <v>552003</v>
      </c>
      <c r="AN82" s="103" t="s">
        <v>54</v>
      </c>
      <c r="AO82" s="104" t="e">
        <f t="shared" ca="1" si="25"/>
        <v>#DIV/0!</v>
      </c>
      <c r="AP82" s="49"/>
      <c r="AR82" s="112" t="str">
        <f t="shared" si="26"/>
        <v xml:space="preserve"> LINE CO/ASM/IN NEW LINE</v>
      </c>
      <c r="AS82" s="112" t="str">
        <f t="shared" si="15"/>
        <v>0451-73300</v>
      </c>
      <c r="AU82" s="108" t="e">
        <f t="shared" ca="1" si="27"/>
        <v>#DIV/0!</v>
      </c>
      <c r="AV82" s="7" t="s">
        <v>1</v>
      </c>
      <c r="AW82" s="7" t="s">
        <v>173</v>
      </c>
      <c r="BA82" s="249" t="s">
        <v>345</v>
      </c>
      <c r="BB82" s="249" t="s">
        <v>394</v>
      </c>
      <c r="BC82" s="249"/>
      <c r="BD82" s="249" t="s">
        <v>343</v>
      </c>
      <c r="BE82" s="250" t="e">
        <f t="shared" ca="1" si="21"/>
        <v>#DIV/0!</v>
      </c>
      <c r="BF82" s="250"/>
      <c r="BG82" s="250" t="e">
        <f t="shared" ca="1" si="28"/>
        <v>#DIV/0!</v>
      </c>
      <c r="BH82" s="250" t="e">
        <f t="shared" ca="1" si="28"/>
        <v>#DIV/0!</v>
      </c>
      <c r="BI82" s="250"/>
    </row>
    <row r="83" spans="1:61" ht="15" customHeight="1">
      <c r="A83" s="664"/>
      <c r="B83" s="613"/>
      <c r="C83" s="613"/>
      <c r="D83" s="613"/>
      <c r="E83" s="613"/>
      <c r="F83" s="613"/>
      <c r="G83" s="613"/>
      <c r="H83" s="594"/>
      <c r="I83" s="594"/>
      <c r="J83" s="673"/>
      <c r="K83" s="688"/>
      <c r="L83" s="312"/>
      <c r="M83" s="688"/>
      <c r="N83" s="727"/>
      <c r="O83" s="727"/>
      <c r="P83" s="664"/>
      <c r="Q83" s="728"/>
      <c r="R83" s="729"/>
      <c r="S83" s="69"/>
      <c r="T83" s="159"/>
      <c r="U83" s="138" t="s">
        <v>395</v>
      </c>
      <c r="V83" s="222" t="s">
        <v>396</v>
      </c>
      <c r="W83" s="192" t="s">
        <v>77</v>
      </c>
      <c r="X83" s="223">
        <v>0</v>
      </c>
      <c r="Y83" s="193" t="e">
        <f ca="1">(X83/$AI$10)*100</f>
        <v>#DIV/0!</v>
      </c>
      <c r="Z83" s="266" t="e">
        <f ca="1">X83+(Y83*$AI$7)/100</f>
        <v>#DIV/0!</v>
      </c>
      <c r="AA83" s="195" t="e">
        <f ca="1">SUM(Z82:Z83)</f>
        <v>#DIV/0!</v>
      </c>
      <c r="AB83" s="129" t="e">
        <f t="shared" ca="1" si="23"/>
        <v>#DIV/0!</v>
      </c>
      <c r="AC83" s="144"/>
      <c r="AD83" s="196"/>
      <c r="AE83" s="100" t="s">
        <v>136</v>
      </c>
      <c r="AF83" s="245" t="s">
        <v>77</v>
      </c>
      <c r="AL83" s="161" t="s">
        <v>136</v>
      </c>
      <c r="AM83" s="102">
        <v>552003</v>
      </c>
      <c r="AN83" s="103" t="s">
        <v>54</v>
      </c>
      <c r="AO83" s="104" t="e">
        <f t="shared" ca="1" si="25"/>
        <v>#DIV/0!</v>
      </c>
      <c r="AP83" s="49"/>
      <c r="AR83" s="112" t="str">
        <f t="shared" si="26"/>
        <v xml:space="preserve"> LINE AL CO/FR HONDA</v>
      </c>
      <c r="AS83" s="112" t="str">
        <f t="shared" si="15"/>
        <v>0451-71100</v>
      </c>
      <c r="AU83" s="108" t="e">
        <f t="shared" ca="1" si="27"/>
        <v>#DIV/0!</v>
      </c>
      <c r="AV83" s="7" t="s">
        <v>1</v>
      </c>
      <c r="AW83" s="7" t="s">
        <v>173</v>
      </c>
      <c r="BA83" s="249" t="s">
        <v>345</v>
      </c>
      <c r="BB83" s="249" t="s">
        <v>397</v>
      </c>
      <c r="BC83" s="249"/>
      <c r="BD83" s="249" t="s">
        <v>343</v>
      </c>
      <c r="BE83" s="250" t="e">
        <f t="shared" ca="1" si="21"/>
        <v>#DIV/0!</v>
      </c>
      <c r="BF83" s="250"/>
      <c r="BG83" s="250" t="e">
        <f t="shared" ca="1" si="28"/>
        <v>#DIV/0!</v>
      </c>
      <c r="BH83" s="250" t="e">
        <f t="shared" ca="1" si="28"/>
        <v>#DIV/0!</v>
      </c>
      <c r="BI83" s="250"/>
    </row>
    <row r="84" spans="1:61" ht="15" customHeight="1">
      <c r="A84" s="664" t="s">
        <v>398</v>
      </c>
      <c r="B84" s="613" t="s">
        <v>72</v>
      </c>
      <c r="C84" s="613">
        <v>40</v>
      </c>
      <c r="D84" s="613" t="s">
        <v>335</v>
      </c>
      <c r="E84" s="774" t="s">
        <v>336</v>
      </c>
      <c r="F84" s="613" t="s">
        <v>243</v>
      </c>
      <c r="G84" s="613" t="s">
        <v>49</v>
      </c>
      <c r="H84" s="665" cm="1">
        <f t="array" aca="1" ref="H84" ca="1">IFERROR(
    INDIRECT(
        "RawData!" &amp;
        ADDRESS(
            2,
            MATCH(
                TRIM(MID(A84, SEARCH(". ", A84) + 2, LEN(A84))) &amp; ".Import_kWh",
                RawData!$1:$1,
                0
            ),
            4
        )
    ),
    0
)</f>
        <v>0</v>
      </c>
      <c r="I84" s="665" cm="1">
        <f t="array" aca="1" ref="I84" ca="1">IFERROR(
    INDIRECT(
        "RawData!" &amp;
        ADDRESS(
            COUNTA(RawData!A:A),
            MATCH(
                TRIM(MID(A84, SEARCH(". ", A84) + 2, LEN(A84))) &amp; ".Import_kWh",
                RawData!$1:$1,
                0
            ),
            4
        )
    ),
    0
)</f>
        <v>0</v>
      </c>
      <c r="J84" s="673">
        <f ca="1">(I84-H84)*C84</f>
        <v>0</v>
      </c>
      <c r="K84" s="667">
        <f ca="1">J84</f>
        <v>0</v>
      </c>
      <c r="L84" s="312"/>
      <c r="M84" s="726">
        <f ca="1">R85+R86</f>
        <v>0</v>
      </c>
      <c r="N84" s="727"/>
      <c r="O84" s="727"/>
      <c r="P84" s="664"/>
      <c r="Q84" s="728"/>
      <c r="R84" s="729"/>
      <c r="S84" s="69"/>
      <c r="T84" s="159"/>
      <c r="U84" s="131" t="s">
        <v>399</v>
      </c>
      <c r="V84" s="267" t="s">
        <v>400</v>
      </c>
      <c r="W84" s="268" t="s">
        <v>77</v>
      </c>
      <c r="X84" s="269" t="e">
        <f ca="1">R37</f>
        <v>#DIV/0!</v>
      </c>
      <c r="Y84" s="270" t="e">
        <f ca="1">(X84/$AI$10)*100</f>
        <v>#DIV/0!</v>
      </c>
      <c r="Z84" s="271" t="e">
        <f ca="1">X84+(Y84*$AI$7)/100</f>
        <v>#DIV/0!</v>
      </c>
      <c r="AA84" s="272"/>
      <c r="AB84" s="273" t="e">
        <f t="shared" ca="1" si="23"/>
        <v>#DIV/0!</v>
      </c>
      <c r="AC84" s="274"/>
      <c r="AD84" s="275"/>
      <c r="AE84" s="100" t="s">
        <v>136</v>
      </c>
      <c r="AF84" s="245" t="s">
        <v>77</v>
      </c>
      <c r="AL84" s="161" t="s">
        <v>136</v>
      </c>
      <c r="AM84" s="276">
        <v>552003</v>
      </c>
      <c r="AN84" s="277" t="s">
        <v>54</v>
      </c>
      <c r="AO84" s="278" t="e">
        <f t="shared" ca="1" si="25"/>
        <v>#DIV/0!</v>
      </c>
      <c r="AP84" s="279"/>
      <c r="AQ84" s="280"/>
      <c r="AR84" s="281" t="str">
        <f t="shared" si="26"/>
        <v xml:space="preserve"> LINE TANK INLET</v>
      </c>
      <c r="AS84" s="281" t="s">
        <v>399</v>
      </c>
      <c r="AT84" s="280"/>
      <c r="AU84" s="282" t="e">
        <f t="shared" ca="1" si="27"/>
        <v>#DIV/0!</v>
      </c>
      <c r="AV84" s="280" t="s">
        <v>1</v>
      </c>
      <c r="AW84" s="280" t="s">
        <v>173</v>
      </c>
      <c r="BA84" s="249" t="s">
        <v>401</v>
      </c>
      <c r="BB84" s="249" t="s">
        <v>402</v>
      </c>
      <c r="BC84" s="249"/>
      <c r="BD84" s="249" t="s">
        <v>343</v>
      </c>
      <c r="BE84" s="250">
        <f t="shared" ca="1" si="21"/>
        <v>5000</v>
      </c>
      <c r="BF84" s="250"/>
      <c r="BG84" s="250" t="e">
        <f t="shared" ca="1" si="28"/>
        <v>#DIV/0!</v>
      </c>
      <c r="BH84" s="250" t="e">
        <f t="shared" ca="1" si="28"/>
        <v>#DIV/0!</v>
      </c>
      <c r="BI84" s="250"/>
    </row>
    <row r="85" spans="1:61" ht="15" customHeight="1">
      <c r="A85" s="695" t="s">
        <v>403</v>
      </c>
      <c r="B85" s="736"/>
      <c r="C85" s="736">
        <v>1</v>
      </c>
      <c r="D85" s="736" t="s">
        <v>335</v>
      </c>
      <c r="E85" s="736"/>
      <c r="F85" s="736" t="s">
        <v>243</v>
      </c>
      <c r="G85" s="736" t="s">
        <v>49</v>
      </c>
      <c r="H85" s="737" cm="1">
        <f t="array" aca="1" ref="H85" ca="1">IFERROR(
    INDIRECT(
        "RawData!" &amp;
        ADDRESS(
            2,
            MATCH(
                TRIM(MID(A85, SEARCH(". ", A85) + 2, LEN(A85))) &amp; ".Import_kWh",
                RawData!$1:$1,
                0
            ),
            4
        )
    ),
    0
)</f>
        <v>0</v>
      </c>
      <c r="I85" s="737" cm="1">
        <f t="array" aca="1" ref="I85" ca="1">IFERROR(
    INDIRECT(
        "RawData!" &amp;
        ADDRESS(
            COUNTA(RawData!A:A),
            MATCH(
                TRIM(MID(A85, SEARCH(". ", A85) + 2, LEN(A85))) &amp; ".Import_kWh",
                RawData!$1:$1,
                0
            ),
            4
        )
    ),
    0
)</f>
        <v>0</v>
      </c>
      <c r="J85" s="698">
        <f ca="1">(I85-H85)*C85</f>
        <v>0</v>
      </c>
      <c r="K85" s="743">
        <f ca="1">J85</f>
        <v>0</v>
      </c>
      <c r="L85" s="700" t="e">
        <f ca="1">K85/J85</f>
        <v>#DIV/0!</v>
      </c>
      <c r="M85" s="695"/>
      <c r="N85" s="716"/>
      <c r="O85" s="716"/>
      <c r="P85" s="695"/>
      <c r="Q85" s="784"/>
      <c r="R85" s="740">
        <f ca="1">K85</f>
        <v>0</v>
      </c>
      <c r="S85" s="114" t="s">
        <v>79</v>
      </c>
      <c r="T85" s="115" t="s">
        <v>80</v>
      </c>
      <c r="U85" s="138" t="s">
        <v>404</v>
      </c>
      <c r="V85" s="222" t="s">
        <v>260</v>
      </c>
      <c r="W85" s="192" t="s">
        <v>77</v>
      </c>
      <c r="X85" s="223">
        <f>R105</f>
        <v>0</v>
      </c>
      <c r="Y85" s="193" t="e">
        <f ca="1">(X85/$AI$10)*100</f>
        <v>#DIV/0!</v>
      </c>
      <c r="Z85" s="194" t="e">
        <f ca="1">X85+(Y85*$AI$7)/100</f>
        <v>#DIV/0!</v>
      </c>
      <c r="AA85" s="195"/>
      <c r="AB85" s="129" t="e">
        <f t="shared" ca="1" si="23"/>
        <v>#DIV/0!</v>
      </c>
      <c r="AC85" s="144"/>
      <c r="AD85" s="196"/>
      <c r="AE85" s="100" t="s">
        <v>136</v>
      </c>
      <c r="AF85" s="245" t="s">
        <v>77</v>
      </c>
      <c r="AL85" s="161" t="s">
        <v>136</v>
      </c>
      <c r="AM85" s="276">
        <v>552003</v>
      </c>
      <c r="AN85" s="277" t="s">
        <v>54</v>
      </c>
      <c r="AO85" s="278" t="e">
        <f t="shared" ca="1" si="25"/>
        <v>#DIV/0!</v>
      </c>
      <c r="AP85" s="279"/>
      <c r="AQ85" s="280"/>
      <c r="AR85" s="281" t="str">
        <f t="shared" si="26"/>
        <v xml:space="preserve"> LINE PALLET</v>
      </c>
      <c r="AS85" s="281" t="s">
        <v>404</v>
      </c>
      <c r="AT85" s="280"/>
      <c r="AU85" s="282" t="e">
        <f t="shared" ca="1" si="27"/>
        <v>#DIV/0!</v>
      </c>
      <c r="AV85" s="280" t="s">
        <v>1</v>
      </c>
      <c r="AW85" s="280" t="s">
        <v>173</v>
      </c>
      <c r="BA85" s="249" t="s">
        <v>345</v>
      </c>
      <c r="BB85" s="249" t="s">
        <v>405</v>
      </c>
      <c r="BC85" s="249"/>
      <c r="BD85" s="249" t="s">
        <v>343</v>
      </c>
      <c r="BE85" s="250" t="e">
        <f t="shared" ca="1" si="21"/>
        <v>#DIV/0!</v>
      </c>
      <c r="BF85" s="250"/>
      <c r="BG85" s="250" t="e">
        <f t="shared" ca="1" si="28"/>
        <v>#DIV/0!</v>
      </c>
      <c r="BH85" s="250" t="e">
        <f t="shared" ca="1" si="28"/>
        <v>#DIV/0!</v>
      </c>
      <c r="BI85" s="250"/>
    </row>
    <row r="86" spans="1:61" ht="15" customHeight="1">
      <c r="A86" s="664" t="s">
        <v>406</v>
      </c>
      <c r="B86" s="613"/>
      <c r="C86" s="613"/>
      <c r="D86" s="613"/>
      <c r="E86" s="613"/>
      <c r="F86" s="613"/>
      <c r="G86" s="613"/>
      <c r="H86" s="594"/>
      <c r="I86" s="594"/>
      <c r="J86" s="673"/>
      <c r="K86" s="667">
        <f ca="1">K84-K85</f>
        <v>0</v>
      </c>
      <c r="L86" s="312"/>
      <c r="M86" s="664"/>
      <c r="N86" s="727"/>
      <c r="O86" s="727"/>
      <c r="P86" s="664"/>
      <c r="Q86" s="728"/>
      <c r="R86" s="729">
        <f ca="1">K86</f>
        <v>0</v>
      </c>
      <c r="S86" s="114" t="s">
        <v>85</v>
      </c>
      <c r="T86" s="283" t="s">
        <v>193</v>
      </c>
      <c r="U86" s="1187" t="s">
        <v>407</v>
      </c>
      <c r="V86" s="284" t="s">
        <v>408</v>
      </c>
      <c r="W86" s="214" t="s">
        <v>77</v>
      </c>
      <c r="X86" s="285" t="e">
        <f ca="1">R50+R58</f>
        <v>#DIV/0!</v>
      </c>
      <c r="Y86" s="286" t="e">
        <f ca="1">(X86/$AI$10)*100</f>
        <v>#DIV/0!</v>
      </c>
      <c r="Z86" s="217" t="e">
        <f ca="1">X86+(Y86*$AI$7)/100</f>
        <v>#DIV/0!</v>
      </c>
      <c r="AA86" s="218"/>
      <c r="AB86" s="287" t="e">
        <f t="shared" ca="1" si="23"/>
        <v>#DIV/0!</v>
      </c>
      <c r="AC86" s="219"/>
      <c r="AD86" s="220"/>
      <c r="AE86" s="288" t="s">
        <v>136</v>
      </c>
      <c r="AF86" s="289" t="s">
        <v>77</v>
      </c>
      <c r="AL86" s="161" t="s">
        <v>136</v>
      </c>
      <c r="AM86" s="276">
        <v>552003</v>
      </c>
      <c r="AN86" s="277" t="s">
        <v>54</v>
      </c>
      <c r="AO86" s="278" t="e">
        <f t="shared" ca="1" si="25"/>
        <v>#DIV/0!</v>
      </c>
      <c r="AP86" s="279"/>
      <c r="AQ86" s="280"/>
      <c r="AR86" s="281" t="s">
        <v>408</v>
      </c>
      <c r="AS86" s="290" t="s">
        <v>409</v>
      </c>
      <c r="AT86" s="280"/>
      <c r="AU86" s="282" t="e">
        <f t="shared" ca="1" si="27"/>
        <v>#DIV/0!</v>
      </c>
      <c r="AV86" s="280" t="s">
        <v>1</v>
      </c>
      <c r="AW86" s="280" t="s">
        <v>173</v>
      </c>
      <c r="BA86" s="249" t="s">
        <v>410</v>
      </c>
      <c r="BB86" s="249" t="s">
        <v>411</v>
      </c>
      <c r="BC86" s="249"/>
      <c r="BD86" s="249" t="s">
        <v>343</v>
      </c>
      <c r="BE86" s="250" t="e">
        <f t="shared" ca="1" si="21"/>
        <v>#DIV/0!</v>
      </c>
      <c r="BF86" s="250"/>
      <c r="BG86" s="250" t="e">
        <f t="shared" ca="1" si="28"/>
        <v>#DIV/0!</v>
      </c>
      <c r="BH86" s="250" t="e">
        <f t="shared" ca="1" si="28"/>
        <v>#DIV/0!</v>
      </c>
      <c r="BI86" s="250"/>
    </row>
    <row r="87" spans="1:61" ht="15" customHeight="1">
      <c r="A87" s="664" t="s">
        <v>412</v>
      </c>
      <c r="B87" s="613"/>
      <c r="C87" s="613"/>
      <c r="D87" s="613"/>
      <c r="E87" s="613"/>
      <c r="F87" s="613"/>
      <c r="G87" s="613"/>
      <c r="H87" s="594"/>
      <c r="I87" s="594"/>
      <c r="J87" s="666" t="e">
        <f ca="1">K81-(J82+J84)</f>
        <v>#DIV/0!</v>
      </c>
      <c r="K87" s="688" t="e">
        <f ca="1">J87</f>
        <v>#DIV/0!</v>
      </c>
      <c r="L87" s="312"/>
      <c r="M87" s="664"/>
      <c r="N87" s="727"/>
      <c r="O87" s="727"/>
      <c r="P87" s="664"/>
      <c r="Q87" s="728"/>
      <c r="R87" s="729" t="e">
        <f ca="1">K87</f>
        <v>#DIV/0!</v>
      </c>
      <c r="S87" s="231" t="s">
        <v>51</v>
      </c>
      <c r="T87" s="115"/>
      <c r="U87" s="1188"/>
      <c r="V87" s="284" t="s">
        <v>413</v>
      </c>
      <c r="W87" s="214" t="s">
        <v>77</v>
      </c>
      <c r="X87" s="285">
        <f ca="1">R52</f>
        <v>0</v>
      </c>
      <c r="Y87" s="216" t="e">
        <f t="shared" ref="Y87:Y88" ca="1" si="29">(X87/$AI$10)*100</f>
        <v>#DIV/0!</v>
      </c>
      <c r="Z87" s="216" t="e">
        <f t="shared" ref="Z87:Z88" ca="1" si="30">X87+(Y87*$AI$7)/100</f>
        <v>#DIV/0!</v>
      </c>
      <c r="AA87" s="218"/>
      <c r="AB87" s="287" t="e">
        <f t="shared" ca="1" si="23"/>
        <v>#DIV/0!</v>
      </c>
      <c r="AC87" s="219"/>
      <c r="AD87" s="220"/>
      <c r="AE87" s="288" t="s">
        <v>136</v>
      </c>
      <c r="AF87" s="289" t="s">
        <v>77</v>
      </c>
      <c r="AL87" s="161" t="s">
        <v>136</v>
      </c>
      <c r="AM87" s="276">
        <v>552003</v>
      </c>
      <c r="AN87" s="277" t="s">
        <v>54</v>
      </c>
      <c r="AO87" s="278" t="e">
        <f t="shared" ca="1" si="25"/>
        <v>#DIV/0!</v>
      </c>
      <c r="AP87" s="279"/>
      <c r="AQ87" s="280"/>
      <c r="AR87" s="281" t="s">
        <v>413</v>
      </c>
      <c r="AS87" s="290" t="s">
        <v>414</v>
      </c>
      <c r="AT87" s="280"/>
      <c r="AU87" s="282" t="e">
        <f t="shared" ca="1" si="27"/>
        <v>#DIV/0!</v>
      </c>
      <c r="AV87" s="280" t="s">
        <v>1</v>
      </c>
      <c r="AW87" s="280" t="s">
        <v>173</v>
      </c>
      <c r="BA87" s="48" t="s">
        <v>415</v>
      </c>
      <c r="BB87" s="48" t="s">
        <v>416</v>
      </c>
      <c r="BC87" s="48"/>
      <c r="BD87" s="48" t="s">
        <v>343</v>
      </c>
      <c r="BE87" s="113">
        <v>0</v>
      </c>
      <c r="BF87" s="113"/>
      <c r="BG87" s="113">
        <v>0</v>
      </c>
      <c r="BH87" s="113">
        <v>0</v>
      </c>
      <c r="BI87" s="113"/>
    </row>
    <row r="88" spans="1:61" ht="15" customHeight="1">
      <c r="A88" s="664"/>
      <c r="B88" s="613"/>
      <c r="C88" s="613"/>
      <c r="D88" s="613"/>
      <c r="E88" s="613"/>
      <c r="F88" s="613"/>
      <c r="G88" s="613"/>
      <c r="H88" s="594"/>
      <c r="I88" s="594"/>
      <c r="J88" s="673"/>
      <c r="K88" s="568"/>
      <c r="L88" s="312"/>
      <c r="M88" s="760"/>
      <c r="N88" s="669"/>
      <c r="O88" s="669"/>
      <c r="P88" s="732"/>
      <c r="Q88" s="728"/>
      <c r="R88" s="729"/>
      <c r="S88" s="114" t="s">
        <v>157</v>
      </c>
      <c r="T88" s="115" t="s">
        <v>158</v>
      </c>
      <c r="U88" s="1189"/>
      <c r="V88" s="284" t="s">
        <v>417</v>
      </c>
      <c r="W88" s="214" t="s">
        <v>77</v>
      </c>
      <c r="X88" s="285">
        <f ca="1">R53</f>
        <v>0</v>
      </c>
      <c r="Y88" s="216" t="e">
        <f t="shared" ca="1" si="29"/>
        <v>#DIV/0!</v>
      </c>
      <c r="Z88" s="291" t="e">
        <f t="shared" ca="1" si="30"/>
        <v>#DIV/0!</v>
      </c>
      <c r="AA88" s="218"/>
      <c r="AB88" s="292" t="e">
        <f t="shared" ca="1" si="23"/>
        <v>#DIV/0!</v>
      </c>
      <c r="AC88" s="219"/>
      <c r="AD88" s="220"/>
      <c r="AE88" s="288" t="s">
        <v>136</v>
      </c>
      <c r="AF88" s="289" t="s">
        <v>77</v>
      </c>
      <c r="AL88" s="161" t="s">
        <v>136</v>
      </c>
      <c r="AM88" s="276">
        <v>552003</v>
      </c>
      <c r="AN88" s="277" t="s">
        <v>54</v>
      </c>
      <c r="AO88" s="278" t="e">
        <f t="shared" ca="1" si="25"/>
        <v>#DIV/0!</v>
      </c>
      <c r="AP88" s="279"/>
      <c r="AQ88" s="280"/>
      <c r="AR88" s="281" t="s">
        <v>417</v>
      </c>
      <c r="AS88" s="290" t="s">
        <v>418</v>
      </c>
      <c r="AT88" s="280"/>
      <c r="AU88" s="282" t="e">
        <f t="shared" ca="1" si="27"/>
        <v>#DIV/0!</v>
      </c>
      <c r="AV88" s="280" t="s">
        <v>1</v>
      </c>
      <c r="AW88" s="280" t="s">
        <v>173</v>
      </c>
      <c r="BA88" s="1190"/>
      <c r="BB88" s="1191"/>
      <c r="BC88" s="1191"/>
      <c r="BD88" s="1191"/>
      <c r="BE88" s="1191"/>
      <c r="BF88" s="1191"/>
      <c r="BG88" s="1192"/>
      <c r="BH88" s="293" t="e">
        <f ca="1">SUM(BH65:BH86)</f>
        <v>#DIV/0!</v>
      </c>
      <c r="BI88" s="294"/>
    </row>
    <row r="89" spans="1:61" ht="15" customHeight="1">
      <c r="A89" s="763" t="s">
        <v>419</v>
      </c>
      <c r="B89" s="764" t="s">
        <v>46</v>
      </c>
      <c r="C89" s="764">
        <v>1</v>
      </c>
      <c r="D89" s="785" t="s">
        <v>47</v>
      </c>
      <c r="E89" s="786"/>
      <c r="F89" s="785" t="s">
        <v>48</v>
      </c>
      <c r="G89" s="786" t="s">
        <v>49</v>
      </c>
      <c r="H89" s="766" cm="1">
        <f t="array" aca="1" ref="H89" ca="1">IFERROR(
    INDIRECT(
        "RawData!" &amp;
        ADDRESS(
            2,
            MATCH(
                TRIM(MID(A89, SEARCH(". ", A89) + 2, LEN(A89))) &amp; ".Import_kWh",
                RawData!$1:$1,
                0
            ),
            4
        )
    ),
    0
)</f>
        <v>0</v>
      </c>
      <c r="I89" s="766" cm="1">
        <f t="array" aca="1" ref="I89" ca="1">IFERROR(
    INDIRECT(
        "RawData!" &amp;
        ADDRESS(
            COUNTA(RawData!A:A),
            MATCH(
                TRIM(MID(A89, SEARCH(". ", A89) + 2, LEN(A89))) &amp; ".Import_kWh",
                RawData!$1:$1,
                0
            ),
            4
        )
    ),
    0
)</f>
        <v>0</v>
      </c>
      <c r="J89" s="783">
        <f ca="1">(I89-H89)*C89</f>
        <v>0</v>
      </c>
      <c r="K89" s="647" t="e">
        <f ca="1">J89*J$777/(J$5+J$65+J$72+J$81+J$89+J$138+J$212+J$285+J$306+J$373+J$388+J$396+J$397+J$450+J$463+J$471+J$513+J$564+J$603+J$646)</f>
        <v>#DIV/0!</v>
      </c>
      <c r="L89" s="768" t="e">
        <f ca="1">K89/J89</f>
        <v>#DIV/0!</v>
      </c>
      <c r="M89" s="787" t="e">
        <f ca="1">SUM(R92:R136)</f>
        <v>#DIV/0!</v>
      </c>
      <c r="N89" s="788"/>
      <c r="O89" s="788"/>
      <c r="P89" s="771">
        <f ca="1">J90+J98+J111+J117+J133+J136</f>
        <v>0</v>
      </c>
      <c r="Q89" s="772"/>
      <c r="R89" s="773"/>
      <c r="S89" s="69"/>
      <c r="T89" s="159"/>
      <c r="U89" s="295" t="s">
        <v>420</v>
      </c>
      <c r="V89" s="296" t="s">
        <v>421</v>
      </c>
      <c r="W89" s="297" t="s">
        <v>114</v>
      </c>
      <c r="X89" s="298" t="e">
        <f ca="1">R159</f>
        <v>#DIV/0!</v>
      </c>
      <c r="Y89" s="299"/>
      <c r="Z89" s="300" t="e">
        <f ca="1">X89</f>
        <v>#DIV/0!</v>
      </c>
      <c r="AA89" s="301"/>
      <c r="AB89" s="302" t="e">
        <f t="shared" ca="1" si="23"/>
        <v>#DIV/0!</v>
      </c>
      <c r="AC89" s="303"/>
      <c r="AD89" s="304"/>
      <c r="AE89" s="100" t="s">
        <v>136</v>
      </c>
      <c r="AF89" s="245" t="s">
        <v>114</v>
      </c>
      <c r="AL89" s="161" t="s">
        <v>136</v>
      </c>
      <c r="AM89" s="102">
        <v>552003</v>
      </c>
      <c r="AN89" s="103" t="s">
        <v>54</v>
      </c>
      <c r="AO89" s="104" t="e">
        <f t="shared" ca="1" si="25"/>
        <v>#DIV/0!</v>
      </c>
      <c r="AP89" s="49"/>
      <c r="AR89" s="112" t="str">
        <f t="shared" ref="AR89:AR99" si="31">V89</f>
        <v xml:space="preserve"> ห้อง Set tool</v>
      </c>
      <c r="AS89" s="112" t="str">
        <f t="shared" ref="AS89:AS152" si="32">U89</f>
        <v>0451-35100</v>
      </c>
      <c r="AU89" s="108" t="e">
        <f t="shared" ca="1" si="27"/>
        <v>#DIV/0!</v>
      </c>
      <c r="AV89" s="7" t="s">
        <v>1</v>
      </c>
      <c r="AW89" s="7" t="s">
        <v>173</v>
      </c>
      <c r="BA89" s="305" t="s">
        <v>422</v>
      </c>
      <c r="BB89" s="305" t="s">
        <v>423</v>
      </c>
      <c r="BC89" s="305"/>
      <c r="BD89" s="305" t="s">
        <v>67</v>
      </c>
      <c r="BE89" s="306" t="e">
        <f ca="1">X127</f>
        <v>#DIV/0!</v>
      </c>
      <c r="BF89" s="306"/>
      <c r="BG89" s="306" t="e">
        <f ca="1">Y127</f>
        <v>#DIV/0!</v>
      </c>
      <c r="BH89" s="202" t="e">
        <f ca="1">Z127</f>
        <v>#DIV/0!</v>
      </c>
      <c r="BI89" s="306"/>
    </row>
    <row r="90" spans="1:61" ht="15" customHeight="1">
      <c r="A90" s="653" t="s">
        <v>424</v>
      </c>
      <c r="B90" s="757" t="s">
        <v>101</v>
      </c>
      <c r="C90" s="757">
        <v>1</v>
      </c>
      <c r="D90" s="654" t="s">
        <v>47</v>
      </c>
      <c r="E90" s="654"/>
      <c r="F90" s="654" t="s">
        <v>48</v>
      </c>
      <c r="G90" s="654" t="s">
        <v>49</v>
      </c>
      <c r="H90" s="655" cm="1">
        <f t="array" aca="1" ref="H90" ca="1">IFERROR(
    INDIRECT(
        "RawData!" &amp;
        ADDRESS(
            2,
            MATCH(
                TRIM(MID(A90, SEARCH(". ", A90) + 2, LEN(A90))) &amp; ".Import_kWh",
                RawData!$1:$1,
                0
            ),
            4
        )
    ),
    0
)</f>
        <v>0</v>
      </c>
      <c r="I90" s="655" cm="1">
        <f t="array" aca="1" ref="I90" ca="1">IFERROR(
    INDIRECT(
        "RawData!" &amp;
        ADDRESS(
            COUNTA(RawData!A:A),
            MATCH(
                TRIM(MID(A90, SEARCH(". ", A90) + 2, LEN(A90))) &amp; ".Import_kWh",
                RawData!$1:$1,
                0
            ),
            4
        )
    ),
    0
)</f>
        <v>0</v>
      </c>
      <c r="J90" s="656">
        <f ca="1">(I90-H90)*C90</f>
        <v>0</v>
      </c>
      <c r="K90" s="657" t="e">
        <f ca="1">J90*K$89/(J$90+J$98+J$111+J$117+J$133+J$136)</f>
        <v>#DIV/0!</v>
      </c>
      <c r="L90" s="658" t="e">
        <f ca="1">K90/J90</f>
        <v>#DIV/0!</v>
      </c>
      <c r="M90" s="789" t="e">
        <f ca="1">R92+R93+R95+R96</f>
        <v>#DIV/0!</v>
      </c>
      <c r="N90" s="790"/>
      <c r="O90" s="790"/>
      <c r="P90" s="791"/>
      <c r="Q90" s="792"/>
      <c r="R90" s="793"/>
      <c r="S90" s="69"/>
      <c r="T90" s="159"/>
      <c r="U90" s="178" t="s">
        <v>223</v>
      </c>
      <c r="V90" s="156" t="s">
        <v>425</v>
      </c>
      <c r="W90" s="307" t="s">
        <v>75</v>
      </c>
      <c r="X90" s="199">
        <f ca="1">R491+R492</f>
        <v>0</v>
      </c>
      <c r="Y90" s="199"/>
      <c r="Z90" s="199">
        <f t="shared" ref="Z90:Z119" ca="1" si="33">X90</f>
        <v>0</v>
      </c>
      <c r="AA90" s="180"/>
      <c r="AB90" s="110" t="e">
        <f t="shared" ca="1" si="23"/>
        <v>#DIV/0!</v>
      </c>
      <c r="AC90" s="181"/>
      <c r="AD90" s="308"/>
      <c r="AE90" s="100" t="s">
        <v>76</v>
      </c>
      <c r="AF90" s="309" t="s">
        <v>135</v>
      </c>
      <c r="AL90" s="161" t="s">
        <v>76</v>
      </c>
      <c r="AM90" s="102">
        <v>552003</v>
      </c>
      <c r="AN90" s="103" t="s">
        <v>54</v>
      </c>
      <c r="AO90" s="104" t="e">
        <f t="shared" ca="1" si="25"/>
        <v>#DIV/0!</v>
      </c>
      <c r="AP90" s="49"/>
      <c r="AR90" s="112" t="str">
        <f t="shared" si="31"/>
        <v xml:space="preserve"> Cooling tower zone 9,10 อาคาร DC1</v>
      </c>
      <c r="AS90" s="112" t="str">
        <f t="shared" si="32"/>
        <v>0451-03100</v>
      </c>
      <c r="AU90" s="108">
        <f t="shared" ca="1" si="27"/>
        <v>0</v>
      </c>
      <c r="AV90" s="7" t="s">
        <v>1</v>
      </c>
      <c r="AW90" s="7" t="s">
        <v>173</v>
      </c>
      <c r="BA90" s="48" t="s">
        <v>426</v>
      </c>
      <c r="BB90" s="310" t="s">
        <v>427</v>
      </c>
      <c r="BC90" s="310"/>
      <c r="BD90" s="310" t="s">
        <v>75</v>
      </c>
      <c r="BE90" s="113" t="e">
        <f ca="1">X96</f>
        <v>#DIV/0!</v>
      </c>
      <c r="BF90" s="113"/>
      <c r="BG90" s="113"/>
      <c r="BH90" s="113" t="e">
        <f ca="1">Z96</f>
        <v>#DIV/0!</v>
      </c>
      <c r="BI90" s="113"/>
    </row>
    <row r="91" spans="1:61" ht="15" customHeight="1">
      <c r="A91" s="664" t="s">
        <v>1247</v>
      </c>
      <c r="B91" s="794" t="s">
        <v>382</v>
      </c>
      <c r="C91" s="613">
        <v>1</v>
      </c>
      <c r="D91" s="595" t="s">
        <v>47</v>
      </c>
      <c r="E91" s="595"/>
      <c r="F91" s="595" t="s">
        <v>48</v>
      </c>
      <c r="G91" s="595" t="s">
        <v>49</v>
      </c>
      <c r="H91" s="665" cm="1">
        <f t="array" aca="1" ref="H91" ca="1">IFERROR(
    INDIRECT(
        "RawData!" &amp;
        ADDRESS(
            2,
            MATCH(
                TRIM(MID(A91, SEARCH(". ", A91) + 2, LEN(A91))) &amp; ".Import_kWh",
                RawData!$1:$1,
                0
            ),
            4
        )
    ),
    0
)</f>
        <v>0</v>
      </c>
      <c r="I91" s="665" cm="1">
        <f t="array" aca="1" ref="I91" ca="1">IFERROR(
    INDIRECT(
        "RawData!" &amp;
        ADDRESS(
            COUNTA(RawData!A:A),
            MATCH(
                TRIM(MID(A91, SEARCH(". ", A91) + 2, LEN(A91))) &amp; ".Import_kWh",
                RawData!$1:$1,
                0
            ),
            4
        )
    ),
    0
)</f>
        <v>0</v>
      </c>
      <c r="J91" s="666">
        <f ca="1">(I91-H91)*C91</f>
        <v>0</v>
      </c>
      <c r="K91" s="667">
        <f ca="1">J91</f>
        <v>0</v>
      </c>
      <c r="L91" s="312" t="e">
        <f ca="1">K91/J91</f>
        <v>#DIV/0!</v>
      </c>
      <c r="M91" s="795">
        <f ca="1">R92+R93</f>
        <v>0</v>
      </c>
      <c r="N91" s="727"/>
      <c r="O91" s="727"/>
      <c r="P91" s="732"/>
      <c r="Q91" s="733"/>
      <c r="R91" s="729"/>
      <c r="S91" s="69"/>
      <c r="T91" s="159"/>
      <c r="U91" s="178" t="s">
        <v>426</v>
      </c>
      <c r="V91" s="156" t="s">
        <v>428</v>
      </c>
      <c r="W91" s="307" t="s">
        <v>75</v>
      </c>
      <c r="X91" s="199">
        <f ca="1">(R553+R555)*53%</f>
        <v>0</v>
      </c>
      <c r="Y91" s="199"/>
      <c r="Z91" s="199">
        <f t="shared" ca="1" si="33"/>
        <v>0</v>
      </c>
      <c r="AA91" s="180"/>
      <c r="AB91" s="311" t="e">
        <f t="shared" ca="1" si="23"/>
        <v>#DIV/0!</v>
      </c>
      <c r="AC91" s="181"/>
      <c r="AD91" s="308"/>
      <c r="AE91" s="100" t="s">
        <v>76</v>
      </c>
      <c r="AF91" s="309" t="s">
        <v>429</v>
      </c>
      <c r="AL91" s="161" t="s">
        <v>76</v>
      </c>
      <c r="AM91" s="102">
        <v>552003</v>
      </c>
      <c r="AN91" s="103" t="s">
        <v>54</v>
      </c>
      <c r="AO91" s="104" t="e">
        <f t="shared" ca="1" si="25"/>
        <v>#DIV/0!</v>
      </c>
      <c r="AP91" s="49"/>
      <c r="AR91" s="112" t="str">
        <f t="shared" si="31"/>
        <v xml:space="preserve"> Cooling tower zone DC3 Zone เครื่องใหญ่</v>
      </c>
      <c r="AS91" s="112" t="str">
        <f t="shared" si="32"/>
        <v>0451-03200</v>
      </c>
      <c r="AU91" s="108">
        <f t="shared" ca="1" si="27"/>
        <v>0</v>
      </c>
      <c r="AV91" s="7" t="s">
        <v>1</v>
      </c>
      <c r="AW91" s="7" t="s">
        <v>173</v>
      </c>
      <c r="BA91" s="48" t="s">
        <v>426</v>
      </c>
      <c r="BB91" s="310" t="s">
        <v>430</v>
      </c>
      <c r="BC91" s="310"/>
      <c r="BD91" s="310" t="s">
        <v>75</v>
      </c>
      <c r="BE91" s="113">
        <f ca="1">X97</f>
        <v>0</v>
      </c>
      <c r="BF91" s="113"/>
      <c r="BG91" s="113"/>
      <c r="BH91" s="113">
        <f ca="1">Z97</f>
        <v>0</v>
      </c>
      <c r="BI91" s="113"/>
    </row>
    <row r="92" spans="1:61" ht="15" customHeight="1">
      <c r="A92" s="664" t="s">
        <v>431</v>
      </c>
      <c r="B92" s="690"/>
      <c r="C92" s="613"/>
      <c r="D92" s="613"/>
      <c r="E92" s="613"/>
      <c r="F92" s="613"/>
      <c r="G92" s="613"/>
      <c r="H92" s="594"/>
      <c r="I92" s="594"/>
      <c r="J92" s="673"/>
      <c r="K92" s="568">
        <f>J92/3</f>
        <v>0</v>
      </c>
      <c r="L92" s="312" t="s">
        <v>432</v>
      </c>
      <c r="M92" s="688">
        <v>58</v>
      </c>
      <c r="N92" s="727"/>
      <c r="O92" s="727"/>
      <c r="P92" s="732"/>
      <c r="Q92" s="733">
        <f>M92/(M$92+M$93)</f>
        <v>0.72499999999999998</v>
      </c>
      <c r="R92" s="729">
        <f ca="1">K$91*Q92</f>
        <v>0</v>
      </c>
      <c r="S92" s="114" t="s">
        <v>73</v>
      </c>
      <c r="T92" s="115" t="s">
        <v>94</v>
      </c>
      <c r="U92" s="178" t="s">
        <v>223</v>
      </c>
      <c r="V92" s="156" t="s">
        <v>251</v>
      </c>
      <c r="W92" s="307" t="s">
        <v>75</v>
      </c>
      <c r="X92" s="199" t="e">
        <f ca="1">R499+R515+R501+R549+R502</f>
        <v>#DIV/0!</v>
      </c>
      <c r="Y92" s="199"/>
      <c r="Z92" s="199" t="e">
        <f t="shared" ca="1" si="33"/>
        <v>#DIV/0!</v>
      </c>
      <c r="AA92" s="180"/>
      <c r="AB92" s="110" t="e">
        <f t="shared" ca="1" si="23"/>
        <v>#DIV/0!</v>
      </c>
      <c r="AC92" s="170"/>
      <c r="AD92" s="308"/>
      <c r="AE92" s="100" t="s">
        <v>76</v>
      </c>
      <c r="AF92" s="309" t="s">
        <v>135</v>
      </c>
      <c r="AL92" s="161" t="s">
        <v>76</v>
      </c>
      <c r="AM92" s="102">
        <v>552003</v>
      </c>
      <c r="AN92" s="103" t="s">
        <v>54</v>
      </c>
      <c r="AO92" s="104" t="e">
        <f t="shared" ca="1" si="25"/>
        <v>#DIV/0!</v>
      </c>
      <c r="AP92" s="49"/>
      <c r="AR92" s="112" t="str">
        <f t="shared" si="31"/>
        <v xml:space="preserve"> ระบบไฟฟ้าอาคาร DC1 ฝั่ง DC</v>
      </c>
      <c r="AS92" s="112" t="str">
        <f t="shared" si="32"/>
        <v>0451-03100</v>
      </c>
      <c r="AU92" s="108" t="e">
        <f t="shared" ca="1" si="27"/>
        <v>#DIV/0!</v>
      </c>
      <c r="AV92" s="7" t="s">
        <v>1</v>
      </c>
      <c r="AW92" s="7" t="s">
        <v>173</v>
      </c>
      <c r="BA92" s="313" t="s">
        <v>223</v>
      </c>
      <c r="BB92" s="313" t="s">
        <v>425</v>
      </c>
      <c r="BC92" s="313"/>
      <c r="BD92" s="313" t="s">
        <v>75</v>
      </c>
      <c r="BE92" s="314">
        <f ca="1">X90</f>
        <v>0</v>
      </c>
      <c r="BF92" s="314"/>
      <c r="BG92" s="314"/>
      <c r="BH92" s="314">
        <f ca="1">Z90</f>
        <v>0</v>
      </c>
      <c r="BI92" s="314"/>
    </row>
    <row r="93" spans="1:61" ht="15" customHeight="1">
      <c r="A93" s="664" t="s">
        <v>433</v>
      </c>
      <c r="B93" s="794"/>
      <c r="C93" s="613"/>
      <c r="D93" s="613"/>
      <c r="E93" s="613"/>
      <c r="F93" s="613"/>
      <c r="G93" s="613"/>
      <c r="H93" s="796"/>
      <c r="I93" s="796"/>
      <c r="J93" s="797"/>
      <c r="K93" s="568"/>
      <c r="L93" s="312" t="s">
        <v>432</v>
      </c>
      <c r="M93" s="688">
        <v>22</v>
      </c>
      <c r="N93" s="727"/>
      <c r="O93" s="727"/>
      <c r="P93" s="732"/>
      <c r="Q93" s="733">
        <f>M93/(M$92+M$93)</f>
        <v>0.27500000000000002</v>
      </c>
      <c r="R93" s="729">
        <f ca="1">K$91*Q93</f>
        <v>0</v>
      </c>
      <c r="S93" s="114" t="s">
        <v>98</v>
      </c>
      <c r="T93" s="115" t="s">
        <v>434</v>
      </c>
      <c r="U93" s="178" t="s">
        <v>223</v>
      </c>
      <c r="V93" s="166" t="s">
        <v>262</v>
      </c>
      <c r="W93" s="307" t="s">
        <v>75</v>
      </c>
      <c r="X93" s="199">
        <f ca="1">R500+R533+R508</f>
        <v>0</v>
      </c>
      <c r="Y93" s="199"/>
      <c r="Z93" s="199">
        <f t="shared" ca="1" si="33"/>
        <v>0</v>
      </c>
      <c r="AA93" s="180"/>
      <c r="AB93" s="110" t="e">
        <f t="shared" ca="1" si="23"/>
        <v>#DIV/0!</v>
      </c>
      <c r="AC93" s="188"/>
      <c r="AD93" s="308"/>
      <c r="AE93" s="100" t="s">
        <v>76</v>
      </c>
      <c r="AF93" s="309" t="s">
        <v>135</v>
      </c>
      <c r="AL93" s="161" t="s">
        <v>76</v>
      </c>
      <c r="AM93" s="102">
        <v>552003</v>
      </c>
      <c r="AN93" s="103" t="s">
        <v>54</v>
      </c>
      <c r="AO93" s="104" t="e">
        <f t="shared" ca="1" si="25"/>
        <v>#DIV/0!</v>
      </c>
      <c r="AP93" s="49"/>
      <c r="AR93" s="112" t="str">
        <f t="shared" si="31"/>
        <v xml:space="preserve"> ออฟฟิศอาคาร DC1</v>
      </c>
      <c r="AS93" s="112" t="str">
        <f t="shared" si="32"/>
        <v>0451-03100</v>
      </c>
      <c r="AU93" s="108">
        <f t="shared" ca="1" si="27"/>
        <v>0</v>
      </c>
      <c r="AV93" s="7" t="s">
        <v>1</v>
      </c>
      <c r="AW93" s="7" t="s">
        <v>173</v>
      </c>
      <c r="BA93" s="48" t="s">
        <v>426</v>
      </c>
      <c r="BB93" s="310" t="s">
        <v>428</v>
      </c>
      <c r="BC93" s="310"/>
      <c r="BD93" s="310" t="s">
        <v>75</v>
      </c>
      <c r="BE93" s="113">
        <f ca="1">X91</f>
        <v>0</v>
      </c>
      <c r="BF93" s="113"/>
      <c r="BG93" s="113"/>
      <c r="BH93" s="113">
        <f ca="1">Z91</f>
        <v>0</v>
      </c>
      <c r="BI93" s="113"/>
    </row>
    <row r="94" spans="1:61" ht="15" customHeight="1">
      <c r="A94" s="798" t="s">
        <v>435</v>
      </c>
      <c r="B94" s="794"/>
      <c r="C94" s="613"/>
      <c r="D94" s="613"/>
      <c r="E94" s="613"/>
      <c r="F94" s="613"/>
      <c r="G94" s="613"/>
      <c r="H94" s="796"/>
      <c r="I94" s="796"/>
      <c r="J94" s="797"/>
      <c r="K94" s="568"/>
      <c r="L94" s="312"/>
      <c r="M94" s="732"/>
      <c r="N94" s="727"/>
      <c r="O94" s="727"/>
      <c r="P94" s="732"/>
      <c r="Q94" s="733"/>
      <c r="R94" s="729"/>
      <c r="S94" s="69"/>
      <c r="T94" s="159"/>
      <c r="U94" s="236" t="s">
        <v>426</v>
      </c>
      <c r="V94" s="254" t="s">
        <v>436</v>
      </c>
      <c r="W94" s="315" t="s">
        <v>75</v>
      </c>
      <c r="X94" s="238" t="e">
        <f ca="1">R610*67%</f>
        <v>#DIV/0!</v>
      </c>
      <c r="Y94" s="238"/>
      <c r="Z94" s="238" t="e">
        <f t="shared" ca="1" si="33"/>
        <v>#DIV/0!</v>
      </c>
      <c r="AA94" s="241" t="e">
        <f ca="1">SUM(Z90:Z94)</f>
        <v>#DIV/0!</v>
      </c>
      <c r="AB94" s="129" t="e">
        <f t="shared" ca="1" si="23"/>
        <v>#DIV/0!</v>
      </c>
      <c r="AC94" s="144" t="e">
        <f ca="1">SUM(AB90:AB94)</f>
        <v>#DIV/0!</v>
      </c>
      <c r="AD94" s="316"/>
      <c r="AE94" s="100" t="s">
        <v>76</v>
      </c>
      <c r="AF94" s="309" t="s">
        <v>429</v>
      </c>
      <c r="AL94" s="161" t="s">
        <v>76</v>
      </c>
      <c r="AM94" s="102">
        <v>552003</v>
      </c>
      <c r="AN94" s="103" t="s">
        <v>54</v>
      </c>
      <c r="AO94" s="104" t="e">
        <f t="shared" ca="1" si="25"/>
        <v>#DIV/0!</v>
      </c>
      <c r="AP94" s="49"/>
      <c r="AR94" s="112" t="str">
        <f t="shared" si="31"/>
        <v xml:space="preserve"> ระบบไฟฟ้าอาคาร DC3</v>
      </c>
      <c r="AS94" s="112" t="str">
        <f t="shared" si="32"/>
        <v>0451-03200</v>
      </c>
      <c r="AU94" s="108" t="e">
        <f t="shared" ca="1" si="27"/>
        <v>#DIV/0!</v>
      </c>
      <c r="AV94" s="7" t="s">
        <v>1</v>
      </c>
      <c r="AW94" s="7" t="s">
        <v>173</v>
      </c>
      <c r="BA94" s="48" t="s">
        <v>117</v>
      </c>
      <c r="BB94" s="310" t="s">
        <v>437</v>
      </c>
      <c r="BC94" s="310"/>
      <c r="BD94" s="310" t="s">
        <v>75</v>
      </c>
      <c r="BE94" s="113">
        <v>0</v>
      </c>
      <c r="BF94" s="113"/>
      <c r="BG94" s="113"/>
      <c r="BH94" s="113">
        <v>0</v>
      </c>
      <c r="BI94" s="113"/>
    </row>
    <row r="95" spans="1:61" ht="15" customHeight="1">
      <c r="A95" s="664" t="s">
        <v>438</v>
      </c>
      <c r="B95" s="794" t="s">
        <v>382</v>
      </c>
      <c r="C95" s="613">
        <v>20</v>
      </c>
      <c r="D95" s="613" t="s">
        <v>335</v>
      </c>
      <c r="E95" s="774" t="s">
        <v>336</v>
      </c>
      <c r="F95" s="613" t="s">
        <v>243</v>
      </c>
      <c r="G95" s="613" t="s">
        <v>49</v>
      </c>
      <c r="H95" s="665" cm="1">
        <f t="array" aca="1" ref="H95" ca="1">IFERROR(
    INDIRECT(
        "RawData!" &amp;
        ADDRESS(
            2,
            MATCH(
                TRIM(MID(A95, SEARCH(". ", A95) + 2, LEN(A95))) &amp; ".Import_kWh",
                RawData!$1:$1,
                0
            ),
            4
        )
    ),
    0
)</f>
        <v>0</v>
      </c>
      <c r="I95" s="665" cm="1">
        <f t="array" aca="1" ref="I95" ca="1">IFERROR(
    INDIRECT(
        "RawData!" &amp;
        ADDRESS(
            COUNTA(RawData!A:A),
            MATCH(
                TRIM(MID(A95, SEARCH(". ", A95) + 2, LEN(A95))) &amp; ".Import_kWh",
                RawData!$1:$1,
                0
            ),
            4
        )
    ),
    0
)</f>
        <v>0</v>
      </c>
      <c r="J95" s="673">
        <f ca="1">(I95-H95)*C95</f>
        <v>0</v>
      </c>
      <c r="K95" s="667">
        <f ca="1">J95</f>
        <v>0</v>
      </c>
      <c r="L95" s="312" t="e">
        <f ca="1">K95/J95</f>
        <v>#DIV/0!</v>
      </c>
      <c r="M95" s="760"/>
      <c r="N95" s="727"/>
      <c r="O95" s="727"/>
      <c r="P95" s="732"/>
      <c r="Q95" s="733"/>
      <c r="R95" s="729">
        <f ca="1">K95</f>
        <v>0</v>
      </c>
      <c r="S95" s="114" t="s">
        <v>73</v>
      </c>
      <c r="T95" s="115" t="s">
        <v>74</v>
      </c>
      <c r="U95" s="178" t="s">
        <v>426</v>
      </c>
      <c r="V95" s="156" t="s">
        <v>439</v>
      </c>
      <c r="W95" s="307" t="s">
        <v>75</v>
      </c>
      <c r="X95" s="199">
        <f ca="1">R324</f>
        <v>0</v>
      </c>
      <c r="Y95" s="199"/>
      <c r="Z95" s="199">
        <f t="shared" ca="1" si="33"/>
        <v>0</v>
      </c>
      <c r="AA95" s="180"/>
      <c r="AB95" s="110" t="e">
        <f t="shared" ca="1" si="23"/>
        <v>#DIV/0!</v>
      </c>
      <c r="AC95" s="188"/>
      <c r="AD95" s="308"/>
      <c r="AE95" s="100" t="s">
        <v>76</v>
      </c>
      <c r="AF95" s="309" t="s">
        <v>440</v>
      </c>
      <c r="AL95" s="161" t="s">
        <v>76</v>
      </c>
      <c r="AM95" s="102">
        <v>552003</v>
      </c>
      <c r="AN95" s="103" t="s">
        <v>54</v>
      </c>
      <c r="AO95" s="104" t="e">
        <f t="shared" ca="1" si="25"/>
        <v>#DIV/0!</v>
      </c>
      <c r="AP95" s="49"/>
      <c r="AR95" s="112" t="str">
        <f t="shared" si="31"/>
        <v xml:space="preserve"> ออฟฟิศ DC2</v>
      </c>
      <c r="AS95" s="112" t="str">
        <f t="shared" si="32"/>
        <v>0451-03200</v>
      </c>
      <c r="AU95" s="108">
        <f t="shared" ca="1" si="27"/>
        <v>0</v>
      </c>
      <c r="AV95" s="7" t="s">
        <v>1</v>
      </c>
      <c r="AW95" s="7" t="s">
        <v>173</v>
      </c>
      <c r="BA95" s="48" t="s">
        <v>117</v>
      </c>
      <c r="BB95" s="310" t="s">
        <v>441</v>
      </c>
      <c r="BC95" s="310"/>
      <c r="BD95" s="310" t="s">
        <v>75</v>
      </c>
      <c r="BE95" s="113" t="e">
        <f ca="1">X104</f>
        <v>#DIV/0!</v>
      </c>
      <c r="BF95" s="113"/>
      <c r="BG95" s="113"/>
      <c r="BH95" s="113" t="e">
        <f ca="1">Z104</f>
        <v>#DIV/0!</v>
      </c>
      <c r="BI95" s="113"/>
    </row>
    <row r="96" spans="1:61" ht="15" customHeight="1">
      <c r="A96" s="664" t="s">
        <v>442</v>
      </c>
      <c r="B96" s="794"/>
      <c r="C96" s="613"/>
      <c r="D96" s="613"/>
      <c r="E96" s="613"/>
      <c r="F96" s="613"/>
      <c r="G96" s="613"/>
      <c r="H96" s="594"/>
      <c r="I96" s="594"/>
      <c r="J96" s="673"/>
      <c r="K96" s="667" t="e">
        <f ca="1">K90-(K91+K95)</f>
        <v>#DIV/0!</v>
      </c>
      <c r="L96" s="799"/>
      <c r="M96" s="664"/>
      <c r="N96" s="727"/>
      <c r="O96" s="727"/>
      <c r="P96" s="732"/>
      <c r="Q96" s="733"/>
      <c r="R96" s="729" t="e">
        <f ca="1">K96</f>
        <v>#DIV/0!</v>
      </c>
      <c r="S96" s="114" t="s">
        <v>73</v>
      </c>
      <c r="T96" s="115" t="s">
        <v>112</v>
      </c>
      <c r="U96" s="178" t="s">
        <v>426</v>
      </c>
      <c r="V96" s="156" t="s">
        <v>427</v>
      </c>
      <c r="W96" s="307" t="s">
        <v>75</v>
      </c>
      <c r="X96" s="199" t="e">
        <f ca="1">R356+R357</f>
        <v>#DIV/0!</v>
      </c>
      <c r="Y96" s="199"/>
      <c r="Z96" s="199" t="e">
        <f t="shared" ca="1" si="33"/>
        <v>#DIV/0!</v>
      </c>
      <c r="AA96" s="180"/>
      <c r="AB96" s="110" t="e">
        <f t="shared" ca="1" si="23"/>
        <v>#DIV/0!</v>
      </c>
      <c r="AC96" s="181"/>
      <c r="AD96" s="182"/>
      <c r="AE96" s="100" t="s">
        <v>76</v>
      </c>
      <c r="AF96" s="245" t="s">
        <v>440</v>
      </c>
      <c r="AL96" s="161" t="s">
        <v>76</v>
      </c>
      <c r="AM96" s="102">
        <v>552003</v>
      </c>
      <c r="AN96" s="103" t="s">
        <v>54</v>
      </c>
      <c r="AO96" s="104" t="e">
        <f t="shared" ca="1" si="25"/>
        <v>#DIV/0!</v>
      </c>
      <c r="AP96" s="49"/>
      <c r="AR96" s="112" t="str">
        <f t="shared" si="31"/>
        <v xml:space="preserve"> Cooling tower อาคาร DC2</v>
      </c>
      <c r="AS96" s="112" t="str">
        <f t="shared" si="32"/>
        <v>0451-03200</v>
      </c>
      <c r="AU96" s="108" t="e">
        <f t="shared" ca="1" si="27"/>
        <v>#DIV/0!</v>
      </c>
      <c r="AV96" s="7" t="s">
        <v>1</v>
      </c>
      <c r="AW96" s="7" t="s">
        <v>173</v>
      </c>
      <c r="BA96" s="1195"/>
      <c r="BB96" s="1196"/>
      <c r="BC96" s="1196"/>
      <c r="BD96" s="1196"/>
      <c r="BE96" s="1196"/>
      <c r="BF96" s="1196"/>
      <c r="BG96" s="1197"/>
      <c r="BH96" s="202" t="e">
        <f ca="1">SUM(BH90:BH95)</f>
        <v>#DIV/0!</v>
      </c>
      <c r="BI96" s="203"/>
    </row>
    <row r="97" spans="1:61" ht="15" customHeight="1">
      <c r="A97" s="664"/>
      <c r="B97" s="794"/>
      <c r="C97" s="613"/>
      <c r="D97" s="613"/>
      <c r="E97" s="613"/>
      <c r="F97" s="613"/>
      <c r="G97" s="613"/>
      <c r="H97" s="594"/>
      <c r="I97" s="594"/>
      <c r="J97" s="673"/>
      <c r="K97" s="568"/>
      <c r="L97" s="312"/>
      <c r="M97" s="664"/>
      <c r="N97" s="727"/>
      <c r="O97" s="727"/>
      <c r="P97" s="732"/>
      <c r="Q97" s="733"/>
      <c r="R97" s="729"/>
      <c r="S97" s="69"/>
      <c r="T97" s="159"/>
      <c r="U97" s="178" t="s">
        <v>426</v>
      </c>
      <c r="V97" s="156" t="s">
        <v>443</v>
      </c>
      <c r="W97" s="307" t="s">
        <v>75</v>
      </c>
      <c r="X97" s="199">
        <f ca="1">(R553+R555)*47%</f>
        <v>0</v>
      </c>
      <c r="Y97" s="199"/>
      <c r="Z97" s="199">
        <f t="shared" ca="1" si="33"/>
        <v>0</v>
      </c>
      <c r="AA97" s="180"/>
      <c r="AB97" s="110" t="e">
        <f t="shared" ca="1" si="23"/>
        <v>#DIV/0!</v>
      </c>
      <c r="AC97" s="181"/>
      <c r="AD97" s="182"/>
      <c r="AE97" s="100" t="s">
        <v>76</v>
      </c>
      <c r="AF97" s="245" t="s">
        <v>429</v>
      </c>
      <c r="AL97" s="161" t="s">
        <v>76</v>
      </c>
      <c r="AM97" s="102">
        <v>552003</v>
      </c>
      <c r="AN97" s="103" t="s">
        <v>54</v>
      </c>
      <c r="AO97" s="104" t="e">
        <f t="shared" ca="1" si="25"/>
        <v>#DIV/0!</v>
      </c>
      <c r="AP97" s="49"/>
      <c r="AR97" s="112" t="str">
        <f t="shared" si="31"/>
        <v xml:space="preserve"> Cooling tower zone DC3 Zone เครื่องเล็ก</v>
      </c>
      <c r="AS97" s="112" t="str">
        <f t="shared" si="32"/>
        <v>0451-03200</v>
      </c>
      <c r="AU97" s="108">
        <f t="shared" ca="1" si="27"/>
        <v>0</v>
      </c>
      <c r="AV97" s="7" t="s">
        <v>1</v>
      </c>
      <c r="AW97" s="7" t="s">
        <v>173</v>
      </c>
      <c r="BA97" s="48" t="s">
        <v>228</v>
      </c>
      <c r="BB97" s="317" t="s">
        <v>444</v>
      </c>
      <c r="BC97" s="317"/>
      <c r="BD97" s="317" t="s">
        <v>230</v>
      </c>
      <c r="BE97" s="113" t="e">
        <f ca="1">X116</f>
        <v>#DIV/0!</v>
      </c>
      <c r="BF97" s="113"/>
      <c r="BG97" s="113" t="e">
        <f t="shared" ref="BG97:BH99" ca="1" si="34">Y116</f>
        <v>#DIV/0!</v>
      </c>
      <c r="BH97" s="113" t="e">
        <f t="shared" ca="1" si="34"/>
        <v>#DIV/0!</v>
      </c>
      <c r="BI97" s="113"/>
    </row>
    <row r="98" spans="1:61" ht="15" customHeight="1">
      <c r="A98" s="653" t="s">
        <v>1161</v>
      </c>
      <c r="B98" s="757" t="s">
        <v>64</v>
      </c>
      <c r="C98" s="757">
        <v>1</v>
      </c>
      <c r="D98" s="654" t="s">
        <v>47</v>
      </c>
      <c r="E98" s="654"/>
      <c r="F98" s="654" t="s">
        <v>48</v>
      </c>
      <c r="G98" s="654" t="s">
        <v>49</v>
      </c>
      <c r="H98" s="655" cm="1">
        <f t="array" aca="1" ref="H98" ca="1">IFERROR(
    INDIRECT(
        "RawData!" &amp;
        ADDRESS(
            2,
            MATCH(
                TRIM(MID(A98, SEARCH(". ", A98) + 2, LEN(A98))) &amp; ".Import_kWh",
                RawData!$1:$1,
                0
            ),
            4
        )
    ),
    0
)</f>
        <v>0</v>
      </c>
      <c r="I98" s="655" cm="1">
        <f t="array" aca="1" ref="I98" ca="1">IFERROR(
    INDIRECT(
        "RawData!" &amp;
        ADDRESS(
            COUNTA(RawData!A:A),
            MATCH(
                TRIM(MID(A98, SEARCH(". ", A98) + 2, LEN(A98))) &amp; ".Import_kWh",
                RawData!$1:$1,
                0
            ),
            4
        )
    ),
    0
)</f>
        <v>0</v>
      </c>
      <c r="J98" s="656">
        <f ca="1">(I98-H98)*C98</f>
        <v>0</v>
      </c>
      <c r="K98" s="657" t="e">
        <f ca="1">J98*K$89/(J$90+J$98+J$111+J$117+J$133+J$136)</f>
        <v>#DIV/0!</v>
      </c>
      <c r="L98" s="658" t="e">
        <f ca="1">K98/J98</f>
        <v>#DIV/0!</v>
      </c>
      <c r="M98" s="789" t="e">
        <f ca="1">R100+R101+R104+R107+R110+R105+R102</f>
        <v>#DIV/0!</v>
      </c>
      <c r="N98" s="790"/>
      <c r="O98" s="790"/>
      <c r="P98" s="791"/>
      <c r="Q98" s="792"/>
      <c r="R98" s="793"/>
      <c r="S98" s="159"/>
      <c r="T98" s="159"/>
      <c r="U98" s="178" t="s">
        <v>426</v>
      </c>
      <c r="V98" s="166" t="s">
        <v>436</v>
      </c>
      <c r="W98" s="307" t="s">
        <v>75</v>
      </c>
      <c r="X98" s="199" t="e">
        <f ca="1">(R600+R631)+R610*33%</f>
        <v>#DIV/0!</v>
      </c>
      <c r="Y98" s="199"/>
      <c r="Z98" s="199" t="e">
        <f t="shared" ca="1" si="33"/>
        <v>#DIV/0!</v>
      </c>
      <c r="AA98" s="180"/>
      <c r="AB98" s="110" t="e">
        <f t="shared" ca="1" si="23"/>
        <v>#DIV/0!</v>
      </c>
      <c r="AC98" s="181"/>
      <c r="AD98" s="182"/>
      <c r="AE98" s="100" t="s">
        <v>76</v>
      </c>
      <c r="AF98" s="245" t="s">
        <v>429</v>
      </c>
      <c r="AL98" s="161" t="s">
        <v>76</v>
      </c>
      <c r="AM98" s="102">
        <v>552003</v>
      </c>
      <c r="AN98" s="103" t="s">
        <v>54</v>
      </c>
      <c r="AO98" s="104" t="e">
        <f t="shared" ca="1" si="25"/>
        <v>#DIV/0!</v>
      </c>
      <c r="AP98" s="49"/>
      <c r="AR98" s="112" t="str">
        <f t="shared" si="31"/>
        <v xml:space="preserve"> ระบบไฟฟ้าอาคาร DC3</v>
      </c>
      <c r="AS98" s="112" t="str">
        <f t="shared" si="32"/>
        <v>0451-03200</v>
      </c>
      <c r="AU98" s="108" t="e">
        <f t="shared" ca="1" si="27"/>
        <v>#DIV/0!</v>
      </c>
      <c r="AV98" s="7" t="s">
        <v>1</v>
      </c>
      <c r="AW98" s="7" t="s">
        <v>173</v>
      </c>
      <c r="BA98" s="48" t="s">
        <v>240</v>
      </c>
      <c r="BB98" s="317" t="s">
        <v>445</v>
      </c>
      <c r="BC98" s="317"/>
      <c r="BD98" s="317" t="s">
        <v>230</v>
      </c>
      <c r="BE98" s="113" t="e">
        <f ca="1">X117</f>
        <v>#DIV/0!</v>
      </c>
      <c r="BF98" s="113"/>
      <c r="BG98" s="113" t="e">
        <f t="shared" ca="1" si="34"/>
        <v>#DIV/0!</v>
      </c>
      <c r="BH98" s="113" t="e">
        <f t="shared" ca="1" si="34"/>
        <v>#DIV/0!</v>
      </c>
      <c r="BI98" s="113"/>
    </row>
    <row r="99" spans="1:61" ht="15" customHeight="1">
      <c r="A99" s="664" t="s">
        <v>446</v>
      </c>
      <c r="B99" s="613" t="s">
        <v>447</v>
      </c>
      <c r="C99" s="613">
        <v>1</v>
      </c>
      <c r="D99" s="595" t="s">
        <v>47</v>
      </c>
      <c r="E99" s="595"/>
      <c r="F99" s="595" t="s">
        <v>48</v>
      </c>
      <c r="G99" s="595" t="s">
        <v>49</v>
      </c>
      <c r="H99" s="665" cm="1">
        <f t="array" aca="1" ref="H99" ca="1">IFERROR(
    INDIRECT(
        "RawData!" &amp;
        ADDRESS(
            2,
            MATCH(
                TRIM(MID(A99, SEARCH(". ", A99) + 2, LEN(A99))) &amp; ".Import_kWh",
                RawData!$1:$1,
                0
            ),
            4
        )
    ),
    0
)</f>
        <v>0</v>
      </c>
      <c r="I99" s="665" cm="1">
        <f t="array" aca="1" ref="I99" ca="1">IFERROR(
    INDIRECT(
        "RawData!" &amp;
        ADDRESS(
            COUNTA(RawData!A:A),
            MATCH(
                TRIM(MID(A99, SEARCH(". ", A99) + 2, LEN(A99))) &amp; ".Import_kWh",
                RawData!$1:$1,
                0
            ),
            4
        )
    ),
    0
)</f>
        <v>0</v>
      </c>
      <c r="J99" s="666">
        <f ca="1">(I99-H99)*C99</f>
        <v>0</v>
      </c>
      <c r="K99" s="667" t="e">
        <f ca="1">J99*K$98/(J$99+J$103+J$106+J$109)</f>
        <v>#DIV/0!</v>
      </c>
      <c r="L99" s="312" t="e">
        <f ca="1">K99/J99</f>
        <v>#DIV/0!</v>
      </c>
      <c r="M99" s="726" t="e">
        <f ca="1">R100+R101+R102</f>
        <v>#DIV/0!</v>
      </c>
      <c r="N99" s="727"/>
      <c r="O99" s="727"/>
      <c r="P99" s="732"/>
      <c r="Q99" s="728"/>
      <c r="R99" s="729"/>
      <c r="S99" s="69"/>
      <c r="T99" s="159"/>
      <c r="U99" s="178" t="s">
        <v>426</v>
      </c>
      <c r="V99" s="156" t="s">
        <v>448</v>
      </c>
      <c r="W99" s="307" t="s">
        <v>75</v>
      </c>
      <c r="X99" s="199" t="e">
        <f ca="1">R402+R431+(R327+R367+R316)*54%</f>
        <v>#DIV/0!</v>
      </c>
      <c r="Y99" s="199"/>
      <c r="Z99" s="199" t="e">
        <f ca="1">X99</f>
        <v>#DIV/0!</v>
      </c>
      <c r="AA99" s="180"/>
      <c r="AB99" s="110" t="e">
        <f t="shared" ca="1" si="23"/>
        <v>#DIV/0!</v>
      </c>
      <c r="AC99" s="181"/>
      <c r="AD99" s="182"/>
      <c r="AE99" s="100" t="s">
        <v>76</v>
      </c>
      <c r="AF99" s="245" t="s">
        <v>440</v>
      </c>
      <c r="AL99" s="161" t="s">
        <v>76</v>
      </c>
      <c r="AM99" s="102">
        <v>552003</v>
      </c>
      <c r="AN99" s="103" t="s">
        <v>54</v>
      </c>
      <c r="AO99" s="104" t="e">
        <f t="shared" ca="1" si="25"/>
        <v>#DIV/0!</v>
      </c>
      <c r="AP99" s="49"/>
      <c r="AR99" s="112" t="str">
        <f t="shared" si="31"/>
        <v xml:space="preserve"> ระบบไฟฟ้าอาคาร DC 2 zone DC</v>
      </c>
      <c r="AS99" s="112" t="str">
        <f t="shared" si="32"/>
        <v>0451-03200</v>
      </c>
      <c r="AU99" s="108" t="e">
        <f t="shared" ca="1" si="27"/>
        <v>#DIV/0!</v>
      </c>
      <c r="AV99" s="7" t="s">
        <v>1</v>
      </c>
      <c r="AW99" s="7" t="s">
        <v>173</v>
      </c>
      <c r="BA99" s="48" t="s">
        <v>236</v>
      </c>
      <c r="BB99" s="317" t="s">
        <v>449</v>
      </c>
      <c r="BC99" s="317"/>
      <c r="BD99" s="317" t="s">
        <v>230</v>
      </c>
      <c r="BE99" s="113" t="e">
        <f ca="1">X118</f>
        <v>#DIV/0!</v>
      </c>
      <c r="BF99" s="113"/>
      <c r="BG99" s="113" t="e">
        <f t="shared" ca="1" si="34"/>
        <v>#DIV/0!</v>
      </c>
      <c r="BH99" s="113" t="e">
        <f t="shared" ca="1" si="34"/>
        <v>#DIV/0!</v>
      </c>
      <c r="BI99" s="113"/>
    </row>
    <row r="100" spans="1:61" ht="15" customHeight="1">
      <c r="A100" s="555" t="s">
        <v>450</v>
      </c>
      <c r="B100" s="800"/>
      <c r="C100" s="800"/>
      <c r="D100" s="800"/>
      <c r="E100" s="800"/>
      <c r="F100" s="800"/>
      <c r="G100" s="800"/>
      <c r="H100" s="594"/>
      <c r="I100" s="594"/>
      <c r="J100" s="666"/>
      <c r="K100" s="688"/>
      <c r="L100" s="801"/>
      <c r="M100" s="802">
        <f>28.64+28.64+1.76+28.64</f>
        <v>87.68</v>
      </c>
      <c r="N100" s="687">
        <v>33</v>
      </c>
      <c r="O100" s="687">
        <v>46</v>
      </c>
      <c r="P100" s="689">
        <f>M100*O100</f>
        <v>4033.28</v>
      </c>
      <c r="Q100" s="733">
        <f>P100/(P$100+P$101+P$102)</f>
        <v>1</v>
      </c>
      <c r="R100" s="729" t="e">
        <f ca="1">Q100*K$99</f>
        <v>#DIV/0!</v>
      </c>
      <c r="S100" s="114" t="s">
        <v>373</v>
      </c>
      <c r="T100" s="115" t="s">
        <v>374</v>
      </c>
      <c r="U100" s="318" t="s">
        <v>451</v>
      </c>
      <c r="V100" s="319" t="s">
        <v>452</v>
      </c>
      <c r="W100" s="320" t="s">
        <v>440</v>
      </c>
      <c r="X100" s="321">
        <f ca="1">R403</f>
        <v>0</v>
      </c>
      <c r="Y100" s="321"/>
      <c r="Z100" s="321">
        <f ca="1">X100</f>
        <v>0</v>
      </c>
      <c r="AA100" s="322"/>
      <c r="AB100" s="323" t="e">
        <f t="shared" ca="1" si="23"/>
        <v>#DIV/0!</v>
      </c>
      <c r="AC100" s="324"/>
      <c r="AD100" s="325"/>
      <c r="AE100" s="100"/>
      <c r="AF100" s="245"/>
      <c r="AL100" s="161"/>
      <c r="AM100" s="102">
        <v>552003</v>
      </c>
      <c r="AN100" s="103" t="s">
        <v>54</v>
      </c>
      <c r="AO100" s="104" t="e">
        <f t="shared" ca="1" si="25"/>
        <v>#DIV/0!</v>
      </c>
      <c r="AP100" s="49"/>
      <c r="AR100" s="112" t="s">
        <v>452</v>
      </c>
      <c r="AS100" s="112" t="str">
        <f t="shared" si="32"/>
        <v>0451-14100</v>
      </c>
      <c r="AU100" s="108">
        <f t="shared" ca="1" si="27"/>
        <v>0</v>
      </c>
      <c r="AV100" s="7" t="s">
        <v>1</v>
      </c>
      <c r="BA100" s="48" t="s">
        <v>345</v>
      </c>
      <c r="BB100" s="317" t="s">
        <v>453</v>
      </c>
      <c r="BC100" s="317"/>
      <c r="BD100" s="317" t="s">
        <v>343</v>
      </c>
      <c r="BE100" s="113" t="e">
        <f ca="1">X114</f>
        <v>#DIV/0!</v>
      </c>
      <c r="BF100" s="113"/>
      <c r="BG100" s="113" t="e">
        <f ca="1">Y114</f>
        <v>#DIV/0!</v>
      </c>
      <c r="BH100" s="113" t="e">
        <f ca="1">Z114</f>
        <v>#DIV/0!</v>
      </c>
      <c r="BI100" s="113"/>
    </row>
    <row r="101" spans="1:61" ht="15" customHeight="1">
      <c r="A101" s="664" t="s">
        <v>454</v>
      </c>
      <c r="B101" s="613"/>
      <c r="C101" s="595"/>
      <c r="D101" s="595"/>
      <c r="E101" s="595"/>
      <c r="F101" s="595"/>
      <c r="G101" s="595"/>
      <c r="H101" s="803"/>
      <c r="I101" s="803"/>
      <c r="J101" s="666"/>
      <c r="K101" s="667"/>
      <c r="L101" s="312"/>
      <c r="M101" s="778">
        <f>28+3.7+20+5.6</f>
        <v>57.300000000000004</v>
      </c>
      <c r="N101" s="727">
        <v>5</v>
      </c>
      <c r="O101" s="727">
        <v>0</v>
      </c>
      <c r="P101" s="689">
        <f>M101*O101</f>
        <v>0</v>
      </c>
      <c r="Q101" s="733">
        <f>P101/(P$100+P$101+P$102)</f>
        <v>0</v>
      </c>
      <c r="R101" s="729" t="e">
        <f ca="1">Q101*K$99</f>
        <v>#DIV/0!</v>
      </c>
      <c r="S101" s="114" t="s">
        <v>352</v>
      </c>
      <c r="T101" s="115" t="s">
        <v>353</v>
      </c>
      <c r="U101" s="236" t="s">
        <v>455</v>
      </c>
      <c r="V101" s="237" t="s">
        <v>456</v>
      </c>
      <c r="W101" s="315" t="s">
        <v>440</v>
      </c>
      <c r="X101" s="238">
        <f>R343</f>
        <v>1400</v>
      </c>
      <c r="Y101" s="238" t="e">
        <f ca="1">(X101/$AI$10)*100</f>
        <v>#DIV/0!</v>
      </c>
      <c r="Z101" s="240" t="e">
        <f ca="1">X101+(Y101*$AI$7)/100</f>
        <v>#DIV/0!</v>
      </c>
      <c r="AA101" s="241"/>
      <c r="AB101" s="129" t="e">
        <f t="shared" ca="1" si="23"/>
        <v>#DIV/0!</v>
      </c>
      <c r="AC101" s="242"/>
      <c r="AD101" s="243"/>
      <c r="AE101" s="245" t="s">
        <v>136</v>
      </c>
      <c r="AF101" s="245" t="s">
        <v>457</v>
      </c>
      <c r="AL101" s="161" t="s">
        <v>136</v>
      </c>
      <c r="AM101" s="102">
        <v>552003</v>
      </c>
      <c r="AN101" s="103" t="s">
        <v>54</v>
      </c>
      <c r="AO101" s="104" t="e">
        <f t="shared" ca="1" si="25"/>
        <v>#DIV/0!</v>
      </c>
      <c r="AP101" s="49"/>
      <c r="AR101" s="112" t="str">
        <f t="shared" ref="AR101:AR164" si="35">V101</f>
        <v xml:space="preserve"> ระบบไฟฟ้า ผ. Die Maintenance (Small Parts)</v>
      </c>
      <c r="AS101" s="112" t="str">
        <f t="shared" si="32"/>
        <v>0451-32300</v>
      </c>
      <c r="AU101" s="108" t="e">
        <f t="shared" ca="1" si="27"/>
        <v>#DIV/0!</v>
      </c>
      <c r="AV101" s="7" t="s">
        <v>1</v>
      </c>
      <c r="AW101" s="7" t="s">
        <v>173</v>
      </c>
      <c r="BA101" s="48" t="s">
        <v>410</v>
      </c>
      <c r="BB101" s="48" t="s">
        <v>458</v>
      </c>
      <c r="BC101" s="48"/>
      <c r="BD101" s="48" t="s">
        <v>343</v>
      </c>
      <c r="BE101" s="113" t="e">
        <f ca="1">X113</f>
        <v>#DIV/0!</v>
      </c>
      <c r="BF101" s="113"/>
      <c r="BG101" s="113"/>
      <c r="BH101" s="113" t="e">
        <f ca="1">Z113</f>
        <v>#DIV/0!</v>
      </c>
      <c r="BI101" s="113"/>
    </row>
    <row r="102" spans="1:61" ht="15" customHeight="1">
      <c r="A102" s="664" t="s">
        <v>459</v>
      </c>
      <c r="B102" s="613"/>
      <c r="C102" s="595"/>
      <c r="D102" s="595"/>
      <c r="E102" s="595"/>
      <c r="F102" s="595"/>
      <c r="G102" s="595"/>
      <c r="H102" s="803"/>
      <c r="I102" s="803"/>
      <c r="J102" s="666"/>
      <c r="K102" s="667"/>
      <c r="L102" s="312"/>
      <c r="M102" s="688">
        <f>9.6+20+2.4+2.4</f>
        <v>34.4</v>
      </c>
      <c r="N102" s="727">
        <v>0</v>
      </c>
      <c r="O102" s="727">
        <v>0</v>
      </c>
      <c r="P102" s="689">
        <f>M102*O102</f>
        <v>0</v>
      </c>
      <c r="Q102" s="733">
        <f>P102/(P$100+P$101+P$102)</f>
        <v>0</v>
      </c>
      <c r="R102" s="729" t="e">
        <f ca="1">Q102*K$99</f>
        <v>#DIV/0!</v>
      </c>
      <c r="S102" s="114" t="s">
        <v>352</v>
      </c>
      <c r="T102" s="115" t="s">
        <v>353</v>
      </c>
      <c r="U102" s="178" t="s">
        <v>117</v>
      </c>
      <c r="V102" s="156" t="s">
        <v>147</v>
      </c>
      <c r="W102" s="307" t="s">
        <v>75</v>
      </c>
      <c r="X102" s="199">
        <v>0</v>
      </c>
      <c r="Y102" s="199"/>
      <c r="Z102" s="199">
        <f t="shared" si="33"/>
        <v>0</v>
      </c>
      <c r="AA102" s="180"/>
      <c r="AB102" s="110" t="e">
        <f t="shared" ca="1" si="23"/>
        <v>#DIV/0!</v>
      </c>
      <c r="AC102" s="181"/>
      <c r="AD102" s="182"/>
      <c r="AE102" s="100" t="s">
        <v>76</v>
      </c>
      <c r="AF102" s="245" t="s">
        <v>150</v>
      </c>
      <c r="AL102" s="161" t="s">
        <v>76</v>
      </c>
      <c r="AM102" s="102">
        <v>552003</v>
      </c>
      <c r="AN102" s="103" t="s">
        <v>54</v>
      </c>
      <c r="AO102" s="104" t="e">
        <f t="shared" ca="1" si="25"/>
        <v>#DIV/0!</v>
      </c>
      <c r="AP102" s="49"/>
      <c r="AR102" s="102" t="str">
        <f t="shared" si="35"/>
        <v xml:space="preserve"> ออฟฟิศ GC1</v>
      </c>
      <c r="AS102" s="112" t="str">
        <f t="shared" si="32"/>
        <v>0451-03400</v>
      </c>
      <c r="AU102" s="108">
        <f t="shared" si="27"/>
        <v>0</v>
      </c>
      <c r="AV102" s="7" t="s">
        <v>1</v>
      </c>
      <c r="AW102" s="7" t="s">
        <v>173</v>
      </c>
      <c r="BA102" s="48" t="s">
        <v>228</v>
      </c>
      <c r="BB102" s="317" t="s">
        <v>460</v>
      </c>
      <c r="BC102" s="317"/>
      <c r="BD102" s="317" t="s">
        <v>230</v>
      </c>
      <c r="BE102" s="113">
        <f ca="1">X109</f>
        <v>0</v>
      </c>
      <c r="BF102" s="113"/>
      <c r="BG102" s="113"/>
      <c r="BH102" s="113">
        <f ca="1">Z109</f>
        <v>0</v>
      </c>
      <c r="BI102" s="113"/>
    </row>
    <row r="103" spans="1:61" ht="15" customHeight="1">
      <c r="A103" s="664" t="s">
        <v>461</v>
      </c>
      <c r="B103" s="613" t="s">
        <v>185</v>
      </c>
      <c r="C103" s="613">
        <v>1</v>
      </c>
      <c r="D103" s="595" t="s">
        <v>47</v>
      </c>
      <c r="E103" s="595"/>
      <c r="F103" s="595" t="s">
        <v>48</v>
      </c>
      <c r="G103" s="595" t="s">
        <v>49</v>
      </c>
      <c r="H103" s="665" cm="1">
        <f t="array" aca="1" ref="H103" ca="1">IFERROR(
    INDIRECT(
        "RawData!" &amp;
        ADDRESS(
            2,
            MATCH(
                TRIM(MID(A103, SEARCH(". ", A103) + 2, LEN(A103))) &amp; ".Import_kWh",
                RawData!$1:$1,
                0
            ),
            4
        )
    ),
    0
)</f>
        <v>0</v>
      </c>
      <c r="I103" s="665" cm="1">
        <f t="array" aca="1" ref="I103" ca="1">IFERROR(
    INDIRECT(
        "RawData!" &amp;
        ADDRESS(
            COUNTA(RawData!A:A),
            MATCH(
                TRIM(MID(A103, SEARCH(". ", A103) + 2, LEN(A103))) &amp; ".Import_kWh",
                RawData!$1:$1,
                0
            ),
            4
        )
    ),
    0
)</f>
        <v>0</v>
      </c>
      <c r="J103" s="666">
        <f ca="1">(I103-H103)*C103</f>
        <v>0</v>
      </c>
      <c r="K103" s="667" t="e">
        <f ca="1">J103*K$98/(J$99+J$103+J$106+J$109)</f>
        <v>#DIV/0!</v>
      </c>
      <c r="L103" s="312" t="e">
        <f ca="1">K103/J103</f>
        <v>#DIV/0!</v>
      </c>
      <c r="M103" s="726" t="e">
        <f ca="1">R104+R105</f>
        <v>#DIV/0!</v>
      </c>
      <c r="N103" s="727"/>
      <c r="O103" s="727"/>
      <c r="P103" s="613"/>
      <c r="Q103" s="728"/>
      <c r="R103" s="729"/>
      <c r="S103" s="159"/>
      <c r="T103" s="159"/>
      <c r="U103" s="178" t="s">
        <v>117</v>
      </c>
      <c r="V103" s="156" t="s">
        <v>437</v>
      </c>
      <c r="W103" s="307" t="s">
        <v>75</v>
      </c>
      <c r="X103" s="199">
        <v>0</v>
      </c>
      <c r="Y103" s="151"/>
      <c r="Z103" s="120">
        <f t="shared" si="33"/>
        <v>0</v>
      </c>
      <c r="AA103" s="180"/>
      <c r="AB103" s="110" t="e">
        <f t="shared" ca="1" si="23"/>
        <v>#DIV/0!</v>
      </c>
      <c r="AC103" s="188"/>
      <c r="AD103" s="182"/>
      <c r="AE103" s="100" t="s">
        <v>76</v>
      </c>
      <c r="AF103" s="245" t="s">
        <v>150</v>
      </c>
      <c r="AL103" s="161" t="s">
        <v>76</v>
      </c>
      <c r="AM103" s="102">
        <v>552003</v>
      </c>
      <c r="AN103" s="103" t="s">
        <v>54</v>
      </c>
      <c r="AO103" s="104" t="e">
        <f t="shared" ca="1" si="25"/>
        <v>#DIV/0!</v>
      </c>
      <c r="AP103" s="49"/>
      <c r="AR103" s="112" t="str">
        <f t="shared" si="35"/>
        <v xml:space="preserve"> Cooling tower GC 1</v>
      </c>
      <c r="AS103" s="112" t="str">
        <f t="shared" si="32"/>
        <v>0451-03400</v>
      </c>
      <c r="AU103" s="108">
        <f t="shared" si="27"/>
        <v>0</v>
      </c>
      <c r="AV103" s="7" t="s">
        <v>1</v>
      </c>
      <c r="AW103" s="7" t="s">
        <v>173</v>
      </c>
      <c r="BA103" s="1194"/>
      <c r="BB103" s="1194"/>
      <c r="BC103" s="1194"/>
      <c r="BD103" s="1194"/>
      <c r="BE103" s="1194"/>
      <c r="BF103" s="1194"/>
      <c r="BG103" s="1194"/>
      <c r="BH103" s="203" t="e">
        <f ca="1">SUM(BH97:BH102)</f>
        <v>#DIV/0!</v>
      </c>
      <c r="BI103" s="203"/>
    </row>
    <row r="104" spans="1:61" ht="15" customHeight="1">
      <c r="A104" s="804" t="s">
        <v>462</v>
      </c>
      <c r="B104" s="730"/>
      <c r="C104" s="613"/>
      <c r="D104" s="613"/>
      <c r="E104" s="613"/>
      <c r="F104" s="613"/>
      <c r="G104" s="613"/>
      <c r="H104" s="594"/>
      <c r="I104" s="594"/>
      <c r="J104" s="666"/>
      <c r="K104" s="688"/>
      <c r="L104" s="312"/>
      <c r="M104" s="688">
        <f>24+15.7</f>
        <v>39.700000000000003</v>
      </c>
      <c r="N104" s="805">
        <v>33</v>
      </c>
      <c r="O104" s="805">
        <v>46</v>
      </c>
      <c r="P104" s="689">
        <f>M104*O104</f>
        <v>1826.2</v>
      </c>
      <c r="Q104" s="733">
        <f>P104/(P$104+P$105)</f>
        <v>1</v>
      </c>
      <c r="R104" s="740" t="e">
        <f ca="1">K103</f>
        <v>#DIV/0!</v>
      </c>
      <c r="S104" s="114" t="s">
        <v>373</v>
      </c>
      <c r="T104" s="115" t="s">
        <v>374</v>
      </c>
      <c r="U104" s="178" t="s">
        <v>117</v>
      </c>
      <c r="V104" s="156" t="s">
        <v>441</v>
      </c>
      <c r="W104" s="307" t="s">
        <v>75</v>
      </c>
      <c r="X104" s="199" t="e">
        <f ca="1">R708</f>
        <v>#DIV/0!</v>
      </c>
      <c r="Y104" s="151"/>
      <c r="Z104" s="120" t="e">
        <f t="shared" ca="1" si="33"/>
        <v>#DIV/0!</v>
      </c>
      <c r="AA104" s="180"/>
      <c r="AB104" s="110" t="e">
        <f t="shared" ca="1" si="23"/>
        <v>#DIV/0!</v>
      </c>
      <c r="AC104" s="188"/>
      <c r="AD104" s="182"/>
      <c r="AE104" s="100" t="s">
        <v>76</v>
      </c>
      <c r="AF104" s="245" t="s">
        <v>463</v>
      </c>
      <c r="AL104" s="161" t="s">
        <v>76</v>
      </c>
      <c r="AM104" s="102">
        <v>552003</v>
      </c>
      <c r="AN104" s="103" t="s">
        <v>54</v>
      </c>
      <c r="AO104" s="104" t="e">
        <f t="shared" ca="1" si="25"/>
        <v>#DIV/0!</v>
      </c>
      <c r="AP104" s="49"/>
      <c r="AR104" s="112" t="str">
        <f t="shared" si="35"/>
        <v xml:space="preserve"> Cooling tower GC 2</v>
      </c>
      <c r="AS104" s="112" t="str">
        <f t="shared" si="32"/>
        <v>0451-03400</v>
      </c>
      <c r="AU104" s="108" t="e">
        <f t="shared" ca="1" si="27"/>
        <v>#DIV/0!</v>
      </c>
      <c r="AV104" s="7" t="s">
        <v>1</v>
      </c>
      <c r="AW104" s="7" t="s">
        <v>173</v>
      </c>
      <c r="BA104" s="326" t="s">
        <v>426</v>
      </c>
      <c r="BB104" s="326" t="s">
        <v>436</v>
      </c>
      <c r="BC104" s="326"/>
      <c r="BD104" s="326" t="s">
        <v>75</v>
      </c>
      <c r="BE104" s="327" t="e">
        <f ca="1">X94</f>
        <v>#DIV/0!</v>
      </c>
      <c r="BF104" s="327"/>
      <c r="BG104" s="327"/>
      <c r="BH104" s="327" t="e">
        <f ca="1">Z94</f>
        <v>#DIV/0!</v>
      </c>
      <c r="BI104" s="327"/>
    </row>
    <row r="105" spans="1:61" ht="15" customHeight="1">
      <c r="A105" s="664"/>
      <c r="B105" s="734"/>
      <c r="C105" s="613"/>
      <c r="D105" s="613"/>
      <c r="E105" s="613"/>
      <c r="F105" s="613"/>
      <c r="G105" s="613"/>
      <c r="H105" s="806"/>
      <c r="I105" s="806"/>
      <c r="J105" s="673"/>
      <c r="K105" s="568"/>
      <c r="L105" s="312"/>
      <c r="M105" s="688"/>
      <c r="N105" s="687"/>
      <c r="O105" s="687"/>
      <c r="P105" s="689"/>
      <c r="Q105" s="733"/>
      <c r="R105" s="729"/>
      <c r="S105" s="114"/>
      <c r="T105" s="115"/>
      <c r="U105" s="178" t="s">
        <v>117</v>
      </c>
      <c r="V105" s="156" t="s">
        <v>118</v>
      </c>
      <c r="W105" s="307" t="s">
        <v>75</v>
      </c>
      <c r="X105" s="199">
        <v>0</v>
      </c>
      <c r="Y105" s="151"/>
      <c r="Z105" s="120">
        <f t="shared" si="33"/>
        <v>0</v>
      </c>
      <c r="AA105" s="180"/>
      <c r="AB105" s="110" t="e">
        <f t="shared" ca="1" si="23"/>
        <v>#DIV/0!</v>
      </c>
      <c r="AC105" s="188"/>
      <c r="AD105" s="182"/>
      <c r="AE105" s="100" t="s">
        <v>76</v>
      </c>
      <c r="AF105" s="245" t="s">
        <v>150</v>
      </c>
      <c r="AL105" s="161" t="s">
        <v>76</v>
      </c>
      <c r="AM105" s="102">
        <v>552003</v>
      </c>
      <c r="AN105" s="103" t="s">
        <v>54</v>
      </c>
      <c r="AO105" s="104" t="e">
        <f t="shared" ca="1" si="25"/>
        <v>#DIV/0!</v>
      </c>
      <c r="AP105" s="49"/>
      <c r="AR105" s="112" t="str">
        <f t="shared" si="35"/>
        <v xml:space="preserve"> ระบบดูดควัน คก.3 (ผ.ทล.2)</v>
      </c>
      <c r="AS105" s="112" t="str">
        <f t="shared" si="32"/>
        <v>0451-03400</v>
      </c>
      <c r="AU105" s="108">
        <f t="shared" si="27"/>
        <v>0</v>
      </c>
      <c r="AV105" s="7" t="s">
        <v>1</v>
      </c>
      <c r="AW105" s="7" t="s">
        <v>173</v>
      </c>
      <c r="BA105" s="326" t="s">
        <v>426</v>
      </c>
      <c r="BB105" s="326" t="s">
        <v>436</v>
      </c>
      <c r="BC105" s="326"/>
      <c r="BD105" s="326" t="s">
        <v>75</v>
      </c>
      <c r="BE105" s="327" t="e">
        <f ca="1">X98</f>
        <v>#DIV/0!</v>
      </c>
      <c r="BF105" s="327"/>
      <c r="BG105" s="327"/>
      <c r="BH105" s="327" t="e">
        <f ca="1">Z98</f>
        <v>#DIV/0!</v>
      </c>
      <c r="BI105" s="327"/>
    </row>
    <row r="106" spans="1:61" ht="15" customHeight="1">
      <c r="A106" s="664" t="s">
        <v>464</v>
      </c>
      <c r="B106" s="613" t="s">
        <v>447</v>
      </c>
      <c r="C106" s="613">
        <v>1</v>
      </c>
      <c r="D106" s="595" t="s">
        <v>47</v>
      </c>
      <c r="E106" s="595"/>
      <c r="F106" s="595" t="s">
        <v>48</v>
      </c>
      <c r="G106" s="595" t="s">
        <v>49</v>
      </c>
      <c r="H106" s="665" cm="1">
        <f t="array" aca="1" ref="H106" ca="1">IFERROR(
    INDIRECT(
        "RawData!" &amp;
        ADDRESS(
            2,
            MATCH(
                TRIM(MID(A106, SEARCH(". ", A106) + 2, LEN(A106))) &amp; ".Import_kWh",
                RawData!$1:$1,
                0
            ),
            4
        )
    ),
    0
)</f>
        <v>0</v>
      </c>
      <c r="I106" s="665" cm="1">
        <f t="array" aca="1" ref="I106" ca="1">IFERROR(
    INDIRECT(
        "RawData!" &amp;
        ADDRESS(
            COUNTA(RawData!A:A),
            MATCH(
                TRIM(MID(A106, SEARCH(". ", A106) + 2, LEN(A106))) &amp; ".Import_kWh",
                RawData!$1:$1,
                0
            ),
            4
        )
    ),
    0
)</f>
        <v>0</v>
      </c>
      <c r="J106" s="666">
        <f ca="1">(I106-H106)*C106</f>
        <v>0</v>
      </c>
      <c r="K106" s="667" t="e">
        <f ca="1">J106*K$98/(J$99+J$103+J$106+J$109)</f>
        <v>#DIV/0!</v>
      </c>
      <c r="L106" s="312" t="e">
        <f ca="1">K106/J106</f>
        <v>#DIV/0!</v>
      </c>
      <c r="M106" s="726"/>
      <c r="N106" s="687"/>
      <c r="O106" s="687"/>
      <c r="P106" s="613"/>
      <c r="Q106" s="733"/>
      <c r="R106" s="729"/>
      <c r="S106" s="159"/>
      <c r="T106" s="159"/>
      <c r="U106" s="178" t="s">
        <v>117</v>
      </c>
      <c r="V106" s="156" t="s">
        <v>124</v>
      </c>
      <c r="W106" s="307" t="s">
        <v>75</v>
      </c>
      <c r="X106" s="199">
        <v>0</v>
      </c>
      <c r="Y106" s="151"/>
      <c r="Z106" s="120">
        <f t="shared" si="33"/>
        <v>0</v>
      </c>
      <c r="AA106" s="180"/>
      <c r="AB106" s="110" t="e">
        <f t="shared" ca="1" si="23"/>
        <v>#DIV/0!</v>
      </c>
      <c r="AC106" s="188"/>
      <c r="AD106" s="182"/>
      <c r="AE106" s="100" t="s">
        <v>76</v>
      </c>
      <c r="AF106" s="245" t="s">
        <v>150</v>
      </c>
      <c r="AL106" s="161" t="s">
        <v>76</v>
      </c>
      <c r="AM106" s="102">
        <v>552003</v>
      </c>
      <c r="AN106" s="103" t="s">
        <v>54</v>
      </c>
      <c r="AO106" s="104" t="e">
        <f t="shared" ca="1" si="25"/>
        <v>#DIV/0!</v>
      </c>
      <c r="AP106" s="49"/>
      <c r="AR106" s="112" t="str">
        <f t="shared" si="35"/>
        <v xml:space="preserve"> ระบบดูดควัน คก.3 (ผ.ทล.1)</v>
      </c>
      <c r="AS106" s="112" t="str">
        <f t="shared" si="32"/>
        <v>0451-03400</v>
      </c>
      <c r="AU106" s="108">
        <f t="shared" si="27"/>
        <v>0</v>
      </c>
      <c r="AV106" s="7" t="s">
        <v>1</v>
      </c>
      <c r="AW106" s="7" t="s">
        <v>173</v>
      </c>
      <c r="BA106" s="326" t="s">
        <v>465</v>
      </c>
      <c r="BB106" s="326" t="s">
        <v>466</v>
      </c>
      <c r="BC106" s="326"/>
      <c r="BD106" s="326" t="s">
        <v>429</v>
      </c>
      <c r="BE106" s="327">
        <v>0</v>
      </c>
      <c r="BF106" s="327"/>
      <c r="BG106" s="327">
        <v>0</v>
      </c>
      <c r="BH106" s="327">
        <v>0</v>
      </c>
      <c r="BI106" s="327"/>
    </row>
    <row r="107" spans="1:61" ht="15" customHeight="1">
      <c r="A107" s="664" t="s">
        <v>467</v>
      </c>
      <c r="B107" s="595"/>
      <c r="C107" s="595"/>
      <c r="D107" s="595"/>
      <c r="E107" s="595"/>
      <c r="F107" s="595"/>
      <c r="G107" s="595"/>
      <c r="H107" s="672"/>
      <c r="I107" s="672"/>
      <c r="J107" s="666"/>
      <c r="K107" s="778"/>
      <c r="L107" s="312"/>
      <c r="M107" s="759"/>
      <c r="N107" s="687">
        <v>2</v>
      </c>
      <c r="O107" s="687">
        <v>5</v>
      </c>
      <c r="P107" s="613"/>
      <c r="Q107" s="733"/>
      <c r="R107" s="729" t="e">
        <f ca="1">K106</f>
        <v>#DIV/0!</v>
      </c>
      <c r="S107" s="114" t="s">
        <v>392</v>
      </c>
      <c r="T107" s="115" t="s">
        <v>393</v>
      </c>
      <c r="U107" s="178" t="s">
        <v>117</v>
      </c>
      <c r="V107" s="156" t="s">
        <v>156</v>
      </c>
      <c r="W107" s="307" t="s">
        <v>75</v>
      </c>
      <c r="X107" s="199">
        <f>R380</f>
        <v>0</v>
      </c>
      <c r="Y107" s="151"/>
      <c r="Z107" s="120">
        <f t="shared" si="33"/>
        <v>0</v>
      </c>
      <c r="AA107" s="180"/>
      <c r="AB107" s="110" t="e">
        <f t="shared" ca="1" si="23"/>
        <v>#DIV/0!</v>
      </c>
      <c r="AC107" s="188"/>
      <c r="AD107" s="182"/>
      <c r="AE107" s="100" t="s">
        <v>76</v>
      </c>
      <c r="AF107" s="245" t="s">
        <v>150</v>
      </c>
      <c r="AH107" s="200"/>
      <c r="AL107" s="161" t="s">
        <v>76</v>
      </c>
      <c r="AM107" s="102">
        <v>552003</v>
      </c>
      <c r="AN107" s="103" t="s">
        <v>54</v>
      </c>
      <c r="AO107" s="104" t="e">
        <f t="shared" ca="1" si="25"/>
        <v>#DIV/0!</v>
      </c>
      <c r="AP107" s="49"/>
      <c r="AR107" s="112" t="str">
        <f t="shared" si="35"/>
        <v xml:space="preserve"> พัดลมระบายอากาศหลังคาอาคาร GC1</v>
      </c>
      <c r="AS107" s="112" t="str">
        <f t="shared" si="32"/>
        <v>0451-03400</v>
      </c>
      <c r="AU107" s="108">
        <f t="shared" si="27"/>
        <v>0</v>
      </c>
      <c r="AV107" s="7" t="s">
        <v>1</v>
      </c>
      <c r="AW107" s="7" t="s">
        <v>173</v>
      </c>
      <c r="BA107" s="326" t="s">
        <v>468</v>
      </c>
      <c r="BB107" s="326" t="s">
        <v>469</v>
      </c>
      <c r="BC107" s="326"/>
      <c r="BD107" s="326" t="s">
        <v>429</v>
      </c>
      <c r="BE107" s="327">
        <f ca="1">X165</f>
        <v>0</v>
      </c>
      <c r="BF107" s="327"/>
      <c r="BG107" s="327" t="e">
        <f ca="1">Y165</f>
        <v>#DIV/0!</v>
      </c>
      <c r="BH107" s="327" t="e">
        <f ca="1">Z165</f>
        <v>#DIV/0!</v>
      </c>
      <c r="BI107" s="327"/>
    </row>
    <row r="108" spans="1:61" ht="15" customHeight="1">
      <c r="A108" s="664"/>
      <c r="B108" s="595"/>
      <c r="C108" s="595"/>
      <c r="D108" s="595"/>
      <c r="E108" s="595"/>
      <c r="F108" s="595"/>
      <c r="G108" s="595"/>
      <c r="H108" s="672"/>
      <c r="I108" s="672"/>
      <c r="J108" s="666"/>
      <c r="K108" s="667"/>
      <c r="L108" s="312"/>
      <c r="M108" s="759"/>
      <c r="N108" s="687"/>
      <c r="O108" s="687"/>
      <c r="P108" s="613"/>
      <c r="Q108" s="733"/>
      <c r="R108" s="729"/>
      <c r="S108" s="69"/>
      <c r="T108" s="159"/>
      <c r="U108" s="178" t="s">
        <v>223</v>
      </c>
      <c r="V108" s="156" t="s">
        <v>224</v>
      </c>
      <c r="W108" s="307" t="s">
        <v>75</v>
      </c>
      <c r="X108" s="199" t="e">
        <f ca="1">R204+R242</f>
        <v>#DIV/0!</v>
      </c>
      <c r="Y108" s="199"/>
      <c r="Z108" s="120" t="e">
        <f t="shared" ca="1" si="33"/>
        <v>#DIV/0!</v>
      </c>
      <c r="AA108" s="180"/>
      <c r="AB108" s="110" t="e">
        <f t="shared" ca="1" si="23"/>
        <v>#DIV/0!</v>
      </c>
      <c r="AC108" s="188"/>
      <c r="AD108" s="182"/>
      <c r="AE108" s="100" t="s">
        <v>76</v>
      </c>
      <c r="AF108" s="245" t="s">
        <v>470</v>
      </c>
      <c r="AH108" s="328"/>
      <c r="AL108" s="161" t="s">
        <v>76</v>
      </c>
      <c r="AM108" s="102">
        <v>552003</v>
      </c>
      <c r="AN108" s="103" t="s">
        <v>54</v>
      </c>
      <c r="AO108" s="104" t="e">
        <f t="shared" ca="1" si="25"/>
        <v>#DIV/0!</v>
      </c>
      <c r="AP108" s="49"/>
      <c r="AR108" s="112" t="str">
        <f t="shared" si="35"/>
        <v xml:space="preserve"> ระบบไฟฟ้าอาคาร MELTING + ออฟฟิศ </v>
      </c>
      <c r="AS108" s="112" t="str">
        <f t="shared" si="32"/>
        <v>0451-03100</v>
      </c>
      <c r="AU108" s="108" t="e">
        <f t="shared" ca="1" si="27"/>
        <v>#DIV/0!</v>
      </c>
      <c r="AV108" s="7" t="s">
        <v>1</v>
      </c>
      <c r="AW108" s="7" t="s">
        <v>173</v>
      </c>
      <c r="BA108" s="326" t="s">
        <v>471</v>
      </c>
      <c r="BB108" s="326" t="s">
        <v>472</v>
      </c>
      <c r="BC108" s="326"/>
      <c r="BD108" s="326" t="s">
        <v>429</v>
      </c>
      <c r="BE108" s="327">
        <v>0</v>
      </c>
      <c r="BF108" s="327"/>
      <c r="BG108" s="327">
        <v>0</v>
      </c>
      <c r="BH108" s="327">
        <v>0</v>
      </c>
      <c r="BI108" s="327"/>
    </row>
    <row r="109" spans="1:61" ht="15" customHeight="1">
      <c r="A109" s="664" t="s">
        <v>473</v>
      </c>
      <c r="B109" s="613" t="s">
        <v>447</v>
      </c>
      <c r="C109" s="613">
        <v>1</v>
      </c>
      <c r="D109" s="595" t="s">
        <v>47</v>
      </c>
      <c r="E109" s="595"/>
      <c r="F109" s="595" t="s">
        <v>48</v>
      </c>
      <c r="G109" s="595" t="s">
        <v>49</v>
      </c>
      <c r="H109" s="665" cm="1">
        <f t="array" aca="1" ref="H109" ca="1">IFERROR(
    INDIRECT(
        "RawData!" &amp;
        ADDRESS(
            2,
            MATCH(
                TRIM(MID(A109, SEARCH(". ", A109) + 2, LEN(A109))) &amp; ".Import_kWh",
                RawData!$1:$1,
                0
            ),
            4
        )
    ),
    0
)</f>
        <v>0</v>
      </c>
      <c r="I109" s="665" cm="1">
        <f t="array" aca="1" ref="I109" ca="1">IFERROR(
    INDIRECT(
        "RawData!" &amp;
        ADDRESS(
            COUNTA(RawData!A:A),
            MATCH(
                TRIM(MID(A109, SEARCH(". ", A109) + 2, LEN(A109))) &amp; ".Import_kWh",
                RawData!$1:$1,
                0
            ),
            4
        )
    ),
    0
)</f>
        <v>0</v>
      </c>
      <c r="J109" s="666">
        <f ca="1">(I109-H109)*C109</f>
        <v>0</v>
      </c>
      <c r="K109" s="667" t="e">
        <f ca="1">J109*K$98/(J$99+J$103+J$106+J$109)</f>
        <v>#DIV/0!</v>
      </c>
      <c r="L109" s="312" t="e">
        <f ca="1">K109/J109</f>
        <v>#DIV/0!</v>
      </c>
      <c r="M109" s="726" t="e">
        <f ca="1">R110</f>
        <v>#DIV/0!</v>
      </c>
      <c r="N109" s="727"/>
      <c r="O109" s="727"/>
      <c r="P109" s="613"/>
      <c r="Q109" s="733"/>
      <c r="R109" s="729"/>
      <c r="S109" s="69"/>
      <c r="T109" s="159"/>
      <c r="U109" s="178" t="s">
        <v>228</v>
      </c>
      <c r="V109" s="156" t="s">
        <v>460</v>
      </c>
      <c r="W109" s="307" t="s">
        <v>230</v>
      </c>
      <c r="X109" s="199">
        <f ca="1">R271</f>
        <v>0</v>
      </c>
      <c r="Y109" s="199"/>
      <c r="Z109" s="169">
        <f t="shared" ca="1" si="33"/>
        <v>0</v>
      </c>
      <c r="AA109" s="180"/>
      <c r="AB109" s="110" t="e">
        <f t="shared" ca="1" si="23"/>
        <v>#DIV/0!</v>
      </c>
      <c r="AC109" s="188"/>
      <c r="AD109" s="182"/>
      <c r="AE109" s="245" t="s">
        <v>136</v>
      </c>
      <c r="AF109" s="245" t="s">
        <v>470</v>
      </c>
      <c r="AG109" s="329"/>
      <c r="AL109" s="161" t="s">
        <v>136</v>
      </c>
      <c r="AM109" s="102">
        <v>552003</v>
      </c>
      <c r="AN109" s="103" t="s">
        <v>54</v>
      </c>
      <c r="AO109" s="104" t="e">
        <f t="shared" ca="1" si="25"/>
        <v>#DIV/0!</v>
      </c>
      <c r="AP109" s="49"/>
      <c r="AR109" s="112" t="str">
        <f t="shared" si="35"/>
        <v xml:space="preserve"> WET SCREBBER MEL M</v>
      </c>
      <c r="AS109" s="112" t="str">
        <f t="shared" si="32"/>
        <v>0451-61000</v>
      </c>
      <c r="AU109" s="108">
        <f t="shared" ca="1" si="27"/>
        <v>0</v>
      </c>
      <c r="AV109" s="7" t="s">
        <v>1</v>
      </c>
      <c r="AW109" s="7" t="s">
        <v>173</v>
      </c>
      <c r="BA109" s="326" t="s">
        <v>471</v>
      </c>
      <c r="BB109" s="326" t="s">
        <v>474</v>
      </c>
      <c r="BC109" s="326"/>
      <c r="BD109" s="326" t="s">
        <v>429</v>
      </c>
      <c r="BE109" s="327">
        <v>0</v>
      </c>
      <c r="BF109" s="327"/>
      <c r="BG109" s="327">
        <v>0</v>
      </c>
      <c r="BH109" s="327">
        <v>0</v>
      </c>
      <c r="BI109" s="327"/>
    </row>
    <row r="110" spans="1:61" ht="15" customHeight="1">
      <c r="A110" s="664" t="s">
        <v>475</v>
      </c>
      <c r="B110" s="730"/>
      <c r="C110" s="613"/>
      <c r="D110" s="613"/>
      <c r="E110" s="613"/>
      <c r="F110" s="613"/>
      <c r="G110" s="613"/>
      <c r="H110" s="594"/>
      <c r="I110" s="594"/>
      <c r="J110" s="673"/>
      <c r="K110" s="688"/>
      <c r="L110" s="689"/>
      <c r="M110" s="664">
        <f>11.2+8.8+12+9.6+11.4</f>
        <v>53</v>
      </c>
      <c r="N110" s="687"/>
      <c r="O110" s="687"/>
      <c r="P110" s="689">
        <f>M27*O110</f>
        <v>0</v>
      </c>
      <c r="Q110" s="733">
        <v>0</v>
      </c>
      <c r="R110" s="729" t="e">
        <f ca="1">K109</f>
        <v>#DIV/0!</v>
      </c>
      <c r="S110" s="114" t="s">
        <v>386</v>
      </c>
      <c r="T110" s="115" t="s">
        <v>387</v>
      </c>
      <c r="U110" s="178" t="s">
        <v>117</v>
      </c>
      <c r="V110" s="156" t="s">
        <v>152</v>
      </c>
      <c r="W110" s="307" t="s">
        <v>75</v>
      </c>
      <c r="X110" s="199" t="e">
        <f ca="1">R384</f>
        <v>#DIV/0!</v>
      </c>
      <c r="Y110" s="199"/>
      <c r="Z110" s="120" t="e">
        <f t="shared" ca="1" si="33"/>
        <v>#DIV/0!</v>
      </c>
      <c r="AA110" s="180"/>
      <c r="AB110" s="110" t="e">
        <f t="shared" ca="1" si="23"/>
        <v>#DIV/0!</v>
      </c>
      <c r="AC110" s="188"/>
      <c r="AD110" s="182"/>
      <c r="AE110" s="100" t="s">
        <v>76</v>
      </c>
      <c r="AF110" s="245" t="s">
        <v>150</v>
      </c>
      <c r="AG110" s="329"/>
      <c r="AL110" s="161" t="s">
        <v>76</v>
      </c>
      <c r="AM110" s="102">
        <v>552003</v>
      </c>
      <c r="AN110" s="103" t="s">
        <v>54</v>
      </c>
      <c r="AO110" s="104" t="e">
        <f t="shared" ca="1" si="25"/>
        <v>#DIV/0!</v>
      </c>
      <c r="AP110" s="49"/>
      <c r="AR110" s="112" t="str">
        <f t="shared" si="35"/>
        <v xml:space="preserve"> ระบบไฟฟ้าอาคาร GC 1</v>
      </c>
      <c r="AS110" s="112" t="str">
        <f t="shared" si="32"/>
        <v>0451-03400</v>
      </c>
      <c r="AU110" s="108" t="e">
        <f t="shared" ca="1" si="27"/>
        <v>#DIV/0!</v>
      </c>
      <c r="AV110" s="7" t="s">
        <v>1</v>
      </c>
      <c r="AW110" s="7" t="s">
        <v>173</v>
      </c>
      <c r="BA110" s="326" t="s">
        <v>476</v>
      </c>
      <c r="BB110" s="326" t="s">
        <v>477</v>
      </c>
      <c r="BC110" s="326"/>
      <c r="BD110" s="326" t="s">
        <v>429</v>
      </c>
      <c r="BE110" s="327">
        <f ca="1">X143</f>
        <v>0</v>
      </c>
      <c r="BF110" s="327"/>
      <c r="BG110" s="327" t="e">
        <f ca="1">Y143</f>
        <v>#DIV/0!</v>
      </c>
      <c r="BH110" s="327" t="e">
        <f ca="1">Z143</f>
        <v>#DIV/0!</v>
      </c>
      <c r="BI110" s="327"/>
    </row>
    <row r="111" spans="1:61" ht="15" customHeight="1">
      <c r="A111" s="653" t="s">
        <v>478</v>
      </c>
      <c r="B111" s="757" t="s">
        <v>185</v>
      </c>
      <c r="C111" s="757">
        <v>1</v>
      </c>
      <c r="D111" s="654" t="s">
        <v>47</v>
      </c>
      <c r="E111" s="757"/>
      <c r="F111" s="757" t="s">
        <v>243</v>
      </c>
      <c r="G111" s="654" t="s">
        <v>49</v>
      </c>
      <c r="H111" s="655" cm="1">
        <f t="array" aca="1" ref="H111" ca="1">IFERROR(
    INDIRECT(
        "RawData!" &amp;
        ADDRESS(
            2,
            MATCH(
                TRIM(MID(A111, SEARCH(". ", A111) + 2, LEN(A111))) &amp; ".Import_kWh",
                RawData!$1:$1,
                0
            ),
            4
        )
    ),
    0
)</f>
        <v>0</v>
      </c>
      <c r="I111" s="655" cm="1">
        <f t="array" aca="1" ref="I111" ca="1">IFERROR(
    INDIRECT(
        "RawData!" &amp;
        ADDRESS(
            COUNTA(RawData!A:A),
            MATCH(
                TRIM(MID(A111, SEARCH(". ", A111) + 2, LEN(A111))) &amp; ".Import_kWh",
                RawData!$1:$1,
                0
            ),
            4
        )
    ),
    0
)</f>
        <v>0</v>
      </c>
      <c r="J111" s="656">
        <f ca="1">(I111-H111)*C111</f>
        <v>0</v>
      </c>
      <c r="K111" s="657" t="e">
        <f ca="1">J111*K$89/(J$90+J$98+J$111+J$117+J$133+J$136)</f>
        <v>#DIV/0!</v>
      </c>
      <c r="L111" s="658" t="e">
        <f ca="1">K111/J111</f>
        <v>#DIV/0!</v>
      </c>
      <c r="M111" s="807" t="e">
        <f ca="1">R112+R115+R116</f>
        <v>#DIV/0!</v>
      </c>
      <c r="N111" s="790"/>
      <c r="O111" s="790"/>
      <c r="P111" s="808"/>
      <c r="Q111" s="792"/>
      <c r="R111" s="793"/>
      <c r="S111" s="69"/>
      <c r="T111" s="159"/>
      <c r="U111" s="178" t="s">
        <v>117</v>
      </c>
      <c r="V111" s="156" t="s">
        <v>337</v>
      </c>
      <c r="W111" s="307" t="s">
        <v>75</v>
      </c>
      <c r="X111" s="199" t="e">
        <f ca="1">R596+R686+R744+R746+R660</f>
        <v>#DIV/0!</v>
      </c>
      <c r="Y111" s="199"/>
      <c r="Z111" s="120" t="e">
        <f t="shared" ca="1" si="33"/>
        <v>#DIV/0!</v>
      </c>
      <c r="AA111" s="330"/>
      <c r="AB111" s="110" t="e">
        <f t="shared" ca="1" si="23"/>
        <v>#DIV/0!</v>
      </c>
      <c r="AC111" s="170"/>
      <c r="AD111" s="182"/>
      <c r="AE111" s="100" t="s">
        <v>76</v>
      </c>
      <c r="AF111" s="245" t="s">
        <v>463</v>
      </c>
      <c r="AG111" s="79"/>
      <c r="AL111" s="161" t="s">
        <v>76</v>
      </c>
      <c r="AM111" s="102">
        <v>552003</v>
      </c>
      <c r="AN111" s="103" t="s">
        <v>54</v>
      </c>
      <c r="AO111" s="104" t="e">
        <f t="shared" ca="1" si="25"/>
        <v>#DIV/0!</v>
      </c>
      <c r="AP111" s="49"/>
      <c r="AR111" s="112" t="str">
        <f t="shared" si="35"/>
        <v xml:space="preserve"> ระบบไฟฟ้าอาคาร GC 2</v>
      </c>
      <c r="AS111" s="112" t="str">
        <f t="shared" si="32"/>
        <v>0451-03400</v>
      </c>
      <c r="AU111" s="108" t="e">
        <f t="shared" ca="1" si="27"/>
        <v>#DIV/0!</v>
      </c>
      <c r="AV111" s="7" t="s">
        <v>1</v>
      </c>
      <c r="AW111" s="7" t="s">
        <v>173</v>
      </c>
      <c r="BA111" s="326" t="s">
        <v>476</v>
      </c>
      <c r="BB111" s="326" t="s">
        <v>479</v>
      </c>
      <c r="BC111" s="326"/>
      <c r="BD111" s="326" t="s">
        <v>429</v>
      </c>
      <c r="BE111" s="327" t="e">
        <f t="shared" ref="BE111:BE113" ca="1" si="36">X144</f>
        <v>#DIV/0!</v>
      </c>
      <c r="BF111" s="327"/>
      <c r="BG111" s="327" t="e">
        <f t="shared" ref="BG111:BH113" ca="1" si="37">Y144</f>
        <v>#DIV/0!</v>
      </c>
      <c r="BH111" s="327" t="e">
        <f t="shared" ca="1" si="37"/>
        <v>#DIV/0!</v>
      </c>
      <c r="BI111" s="327"/>
    </row>
    <row r="112" spans="1:61" ht="15" customHeight="1">
      <c r="A112" s="664" t="s">
        <v>480</v>
      </c>
      <c r="B112" s="613"/>
      <c r="C112" s="613"/>
      <c r="D112" s="613"/>
      <c r="E112" s="613"/>
      <c r="F112" s="613"/>
      <c r="G112" s="613"/>
      <c r="H112" s="762"/>
      <c r="I112" s="762"/>
      <c r="J112" s="673"/>
      <c r="K112" s="568"/>
      <c r="L112" s="312"/>
      <c r="M112" s="741"/>
      <c r="N112" s="613"/>
      <c r="O112" s="613"/>
      <c r="P112" s="664"/>
      <c r="Q112" s="728"/>
      <c r="R112" s="729" t="e">
        <f ca="1">K111-K114</f>
        <v>#DIV/0!</v>
      </c>
      <c r="S112" s="114" t="s">
        <v>85</v>
      </c>
      <c r="T112" s="283" t="s">
        <v>193</v>
      </c>
      <c r="U112" s="178" t="s">
        <v>117</v>
      </c>
      <c r="V112" s="156" t="s">
        <v>339</v>
      </c>
      <c r="W112" s="307" t="s">
        <v>75</v>
      </c>
      <c r="X112" s="199">
        <f ca="1">R700</f>
        <v>0</v>
      </c>
      <c r="Y112" s="199"/>
      <c r="Z112" s="120">
        <f t="shared" ca="1" si="33"/>
        <v>0</v>
      </c>
      <c r="AA112" s="330"/>
      <c r="AB112" s="110" t="e">
        <f t="shared" ca="1" si="23"/>
        <v>#DIV/0!</v>
      </c>
      <c r="AC112" s="170"/>
      <c r="AD112" s="182"/>
      <c r="AE112" s="100" t="s">
        <v>76</v>
      </c>
      <c r="AF112" s="245" t="s">
        <v>463</v>
      </c>
      <c r="AG112" s="79"/>
      <c r="AL112" s="161" t="s">
        <v>76</v>
      </c>
      <c r="AM112" s="102">
        <v>552003</v>
      </c>
      <c r="AN112" s="103" t="s">
        <v>54</v>
      </c>
      <c r="AO112" s="104" t="e">
        <f t="shared" ca="1" si="25"/>
        <v>#DIV/0!</v>
      </c>
      <c r="AP112" s="49"/>
      <c r="AR112" s="112" t="str">
        <f t="shared" si="35"/>
        <v xml:space="preserve"> ออฟฟิศ GC 2</v>
      </c>
      <c r="AS112" s="112" t="str">
        <f t="shared" si="32"/>
        <v>0451-03400</v>
      </c>
      <c r="AU112" s="108">
        <f t="shared" ca="1" si="27"/>
        <v>0</v>
      </c>
      <c r="AV112" s="7" t="s">
        <v>1</v>
      </c>
      <c r="AW112" s="7" t="s">
        <v>173</v>
      </c>
      <c r="BA112" s="326" t="s">
        <v>476</v>
      </c>
      <c r="BB112" s="326" t="s">
        <v>481</v>
      </c>
      <c r="BC112" s="326"/>
      <c r="BD112" s="326" t="s">
        <v>429</v>
      </c>
      <c r="BE112" s="327" t="e">
        <f t="shared" ca="1" si="36"/>
        <v>#DIV/0!</v>
      </c>
      <c r="BF112" s="327"/>
      <c r="BG112" s="327" t="e">
        <f t="shared" ca="1" si="37"/>
        <v>#DIV/0!</v>
      </c>
      <c r="BH112" s="327" t="e">
        <f t="shared" ca="1" si="37"/>
        <v>#DIV/0!</v>
      </c>
      <c r="BI112" s="327"/>
    </row>
    <row r="113" spans="1:61" ht="15" customHeight="1">
      <c r="A113" s="664" t="s">
        <v>482</v>
      </c>
      <c r="B113" s="613"/>
      <c r="C113" s="613"/>
      <c r="D113" s="613"/>
      <c r="E113" s="613"/>
      <c r="F113" s="613"/>
      <c r="G113" s="613"/>
      <c r="H113" s="762"/>
      <c r="I113" s="762"/>
      <c r="J113" s="673"/>
      <c r="K113" s="568"/>
      <c r="L113" s="312"/>
      <c r="M113" s="741"/>
      <c r="N113" s="613"/>
      <c r="O113" s="613"/>
      <c r="P113" s="732"/>
      <c r="Q113" s="728"/>
      <c r="R113" s="729"/>
      <c r="S113" s="69"/>
      <c r="T113" s="159"/>
      <c r="U113" s="178" t="s">
        <v>410</v>
      </c>
      <c r="V113" s="156" t="s">
        <v>458</v>
      </c>
      <c r="W113" s="307" t="s">
        <v>343</v>
      </c>
      <c r="X113" s="199" t="e">
        <f ca="1">R709+R710</f>
        <v>#DIV/0!</v>
      </c>
      <c r="Y113" s="199"/>
      <c r="Z113" s="169" t="e">
        <f t="shared" ca="1" si="33"/>
        <v>#DIV/0!</v>
      </c>
      <c r="AA113" s="180"/>
      <c r="AB113" s="110" t="e">
        <f t="shared" ca="1" si="23"/>
        <v>#DIV/0!</v>
      </c>
      <c r="AC113" s="188"/>
      <c r="AD113" s="182"/>
      <c r="AE113" s="245" t="s">
        <v>136</v>
      </c>
      <c r="AF113" s="245" t="s">
        <v>463</v>
      </c>
      <c r="AL113" s="7" t="s">
        <v>136</v>
      </c>
      <c r="AM113" s="102">
        <v>552003</v>
      </c>
      <c r="AN113" s="103" t="s">
        <v>54</v>
      </c>
      <c r="AO113" s="104" t="e">
        <f t="shared" ca="1" si="25"/>
        <v>#DIV/0!</v>
      </c>
      <c r="AP113" s="49"/>
      <c r="AR113" s="112" t="str">
        <f t="shared" si="35"/>
        <v xml:space="preserve"> เครื่องดูดควัน Shell core (GC2)</v>
      </c>
      <c r="AS113" s="112" t="str">
        <f t="shared" si="32"/>
        <v>0451-670S0</v>
      </c>
      <c r="AU113" s="108" t="e">
        <f t="shared" ca="1" si="27"/>
        <v>#DIV/0!</v>
      </c>
      <c r="AV113" s="7" t="s">
        <v>1</v>
      </c>
      <c r="AW113" s="7" t="s">
        <v>173</v>
      </c>
      <c r="BA113" s="326" t="s">
        <v>476</v>
      </c>
      <c r="BB113" s="326" t="s">
        <v>483</v>
      </c>
      <c r="BC113" s="326"/>
      <c r="BD113" s="326" t="s">
        <v>429</v>
      </c>
      <c r="BE113" s="327">
        <f t="shared" ca="1" si="36"/>
        <v>0</v>
      </c>
      <c r="BF113" s="327"/>
      <c r="BG113" s="327" t="e">
        <f t="shared" ca="1" si="37"/>
        <v>#DIV/0!</v>
      </c>
      <c r="BH113" s="327" t="e">
        <f t="shared" ca="1" si="37"/>
        <v>#DIV/0!</v>
      </c>
      <c r="BI113" s="327"/>
    </row>
    <row r="114" spans="1:61" ht="15" customHeight="1">
      <c r="A114" s="664" t="s">
        <v>484</v>
      </c>
      <c r="B114" s="613"/>
      <c r="C114" s="613">
        <v>1</v>
      </c>
      <c r="D114" s="613" t="s">
        <v>335</v>
      </c>
      <c r="E114" s="613"/>
      <c r="F114" s="613" t="s">
        <v>243</v>
      </c>
      <c r="G114" s="595" t="s">
        <v>49</v>
      </c>
      <c r="H114" s="665" cm="1">
        <f t="array" aca="1" ref="H114" ca="1">IFERROR(
    INDIRECT(
        "RawData!" &amp;
        ADDRESS(
            2,
            MATCH(
                TRIM(MID(A114, SEARCH(". ", A114) + 2, LEN(A114))) &amp; ".Import_kWh",
                RawData!$1:$1,
                0
            ),
            4
        )
    ),
    0
)</f>
        <v>0</v>
      </c>
      <c r="I114" s="665" cm="1">
        <f t="array" aca="1" ref="I114" ca="1">IFERROR(
    INDIRECT(
        "RawData!" &amp;
        ADDRESS(
            COUNTA(RawData!A:A),
            MATCH(
                TRIM(MID(A114, SEARCH(". ", A114) + 2, LEN(A114))) &amp; ".Import_kWh",
                RawData!$1:$1,
                0
            ),
            4
        )
    ),
    0
)</f>
        <v>0</v>
      </c>
      <c r="J114" s="666">
        <f ca="1">(I114-H114)*C114</f>
        <v>0</v>
      </c>
      <c r="K114" s="568">
        <f ca="1">J114</f>
        <v>0</v>
      </c>
      <c r="L114" s="312"/>
      <c r="M114" s="741"/>
      <c r="N114" s="613"/>
      <c r="O114" s="613"/>
      <c r="P114" s="664"/>
      <c r="Q114" s="728"/>
      <c r="R114" s="729"/>
      <c r="S114" s="114"/>
      <c r="T114" s="115"/>
      <c r="U114" s="178" t="s">
        <v>345</v>
      </c>
      <c r="V114" s="156" t="s">
        <v>453</v>
      </c>
      <c r="W114" s="167" t="s">
        <v>343</v>
      </c>
      <c r="X114" s="199" t="e">
        <f ca="1">R747</f>
        <v>#DIV/0!</v>
      </c>
      <c r="Y114" s="151" t="e">
        <f ca="1">(X114/$AI$10)*100</f>
        <v>#DIV/0!</v>
      </c>
      <c r="Z114" s="169" t="e">
        <f t="shared" ref="Z114:Z118" ca="1" si="38">X114+(Y114*$AI$7)/100</f>
        <v>#DIV/0!</v>
      </c>
      <c r="AA114" s="180" t="e">
        <f ca="1">SUM(Z102:Z115)</f>
        <v>#DIV/0!</v>
      </c>
      <c r="AB114" s="110" t="e">
        <f t="shared" ca="1" si="23"/>
        <v>#DIV/0!</v>
      </c>
      <c r="AC114" s="188" t="e">
        <f ca="1">SUM(AB102:AB115)</f>
        <v>#DIV/0!</v>
      </c>
      <c r="AD114" s="182"/>
      <c r="AE114" s="245" t="s">
        <v>136</v>
      </c>
      <c r="AF114" s="245" t="s">
        <v>463</v>
      </c>
      <c r="AL114" s="161" t="s">
        <v>136</v>
      </c>
      <c r="AM114" s="102">
        <v>552003</v>
      </c>
      <c r="AN114" s="103" t="s">
        <v>54</v>
      </c>
      <c r="AO114" s="104" t="e">
        <f t="shared" ca="1" si="25"/>
        <v>#DIV/0!</v>
      </c>
      <c r="AP114" s="49"/>
      <c r="AR114" s="112" t="str">
        <f t="shared" si="35"/>
        <v xml:space="preserve"> BAG FILTER FOR Gravity line (GC2)</v>
      </c>
      <c r="AS114" s="112" t="str">
        <f t="shared" si="32"/>
        <v>0451-67000</v>
      </c>
      <c r="AU114" s="108" t="e">
        <f t="shared" ca="1" si="27"/>
        <v>#DIV/0!</v>
      </c>
      <c r="AV114" s="7" t="s">
        <v>1</v>
      </c>
      <c r="AW114" s="7" t="s">
        <v>173</v>
      </c>
      <c r="BA114" s="326" t="s">
        <v>485</v>
      </c>
      <c r="BB114" s="326" t="s">
        <v>486</v>
      </c>
      <c r="BC114" s="326"/>
      <c r="BD114" s="326" t="s">
        <v>429</v>
      </c>
      <c r="BE114" s="327">
        <f ca="1">X167</f>
        <v>0</v>
      </c>
      <c r="BF114" s="327"/>
      <c r="BG114" s="327" t="e">
        <f ca="1">Y167</f>
        <v>#DIV/0!</v>
      </c>
      <c r="BH114" s="327" t="e">
        <f ca="1">Z167</f>
        <v>#DIV/0!</v>
      </c>
      <c r="BI114" s="327"/>
    </row>
    <row r="115" spans="1:61" ht="15" customHeight="1">
      <c r="A115" s="664" t="s">
        <v>487</v>
      </c>
      <c r="B115" s="613"/>
      <c r="C115" s="613"/>
      <c r="D115" s="613"/>
      <c r="E115" s="613"/>
      <c r="F115" s="613"/>
      <c r="G115" s="613"/>
      <c r="H115" s="762"/>
      <c r="I115" s="762"/>
      <c r="J115" s="673"/>
      <c r="K115" s="568">
        <v>85</v>
      </c>
      <c r="L115" s="799" t="s">
        <v>488</v>
      </c>
      <c r="M115" s="811" t="s">
        <v>489</v>
      </c>
      <c r="N115" s="613"/>
      <c r="O115" s="613"/>
      <c r="P115" s="664"/>
      <c r="Q115" s="728"/>
      <c r="R115" s="729">
        <f>K115</f>
        <v>85</v>
      </c>
      <c r="S115" s="114" t="s">
        <v>79</v>
      </c>
      <c r="T115" s="115" t="s">
        <v>90</v>
      </c>
      <c r="U115" s="236" t="s">
        <v>341</v>
      </c>
      <c r="V115" s="237" t="s">
        <v>342</v>
      </c>
      <c r="W115" s="315" t="s">
        <v>343</v>
      </c>
      <c r="X115" s="238">
        <f ca="1">R688</f>
        <v>0</v>
      </c>
      <c r="Y115" s="238"/>
      <c r="Z115" s="240" t="e">
        <f t="shared" ca="1" si="38"/>
        <v>#DIV/0!</v>
      </c>
      <c r="AA115" s="241"/>
      <c r="AB115" s="129" t="e">
        <f t="shared" ca="1" si="23"/>
        <v>#DIV/0!</v>
      </c>
      <c r="AC115" s="144"/>
      <c r="AD115" s="243"/>
      <c r="AE115" s="245" t="s">
        <v>136</v>
      </c>
      <c r="AF115" s="245" t="s">
        <v>463</v>
      </c>
      <c r="AL115" s="161" t="s">
        <v>136</v>
      </c>
      <c r="AM115" s="102">
        <v>552003</v>
      </c>
      <c r="AN115" s="103" t="s">
        <v>54</v>
      </c>
      <c r="AO115" s="104" t="e">
        <f t="shared" ca="1" si="25"/>
        <v>#DIV/0!</v>
      </c>
      <c r="AP115" s="49"/>
      <c r="AR115" s="112" t="str">
        <f t="shared" si="35"/>
        <v xml:space="preserve"> DIE MAINTENANCE GC2</v>
      </c>
      <c r="AS115" s="112" t="str">
        <f t="shared" si="32"/>
        <v>0451-670D0</v>
      </c>
      <c r="AU115" s="108" t="e">
        <f t="shared" ca="1" si="27"/>
        <v>#DIV/0!</v>
      </c>
      <c r="AV115" s="7" t="s">
        <v>1</v>
      </c>
      <c r="AW115" s="7" t="s">
        <v>173</v>
      </c>
      <c r="BA115" s="326" t="s">
        <v>485</v>
      </c>
      <c r="BB115" s="326" t="s">
        <v>490</v>
      </c>
      <c r="BC115" s="326"/>
      <c r="BD115" s="326" t="s">
        <v>429</v>
      </c>
      <c r="BE115" s="327" t="e">
        <f ca="1">X171</f>
        <v>#DIV/0!</v>
      </c>
      <c r="BF115" s="327"/>
      <c r="BG115" s="327" t="e">
        <f ca="1">Y171</f>
        <v>#DIV/0!</v>
      </c>
      <c r="BH115" s="327" t="e">
        <f ca="1">Z171</f>
        <v>#DIV/0!</v>
      </c>
      <c r="BI115" s="327"/>
    </row>
    <row r="116" spans="1:61" ht="15" customHeight="1">
      <c r="A116" s="664" t="s">
        <v>491</v>
      </c>
      <c r="B116" s="613"/>
      <c r="C116" s="613"/>
      <c r="D116" s="613"/>
      <c r="E116" s="613"/>
      <c r="F116" s="613"/>
      <c r="G116" s="613"/>
      <c r="H116" s="762"/>
      <c r="I116" s="762"/>
      <c r="J116" s="673"/>
      <c r="K116" s="568">
        <f ca="1">K114-K115</f>
        <v>-85</v>
      </c>
      <c r="L116" s="312"/>
      <c r="M116" s="617"/>
      <c r="N116" s="613"/>
      <c r="O116" s="613"/>
      <c r="P116" s="664"/>
      <c r="Q116" s="728"/>
      <c r="R116" s="729">
        <f ca="1">K116</f>
        <v>-85</v>
      </c>
      <c r="S116" s="69"/>
      <c r="T116" s="159"/>
      <c r="U116" s="178" t="s">
        <v>228</v>
      </c>
      <c r="V116" s="156" t="s">
        <v>444</v>
      </c>
      <c r="W116" s="307" t="s">
        <v>230</v>
      </c>
      <c r="X116" s="199" t="e">
        <f ca="1">R279+R283</f>
        <v>#DIV/0!</v>
      </c>
      <c r="Y116" s="199" t="e">
        <f ca="1">(X116/$AI$10)*100</f>
        <v>#DIV/0!</v>
      </c>
      <c r="Z116" s="169" t="e">
        <f t="shared" ca="1" si="38"/>
        <v>#DIV/0!</v>
      </c>
      <c r="AA116" s="180"/>
      <c r="AB116" s="110" t="e">
        <f t="shared" ca="1" si="23"/>
        <v>#DIV/0!</v>
      </c>
      <c r="AC116" s="188"/>
      <c r="AD116" s="182"/>
      <c r="AE116" s="245" t="s">
        <v>136</v>
      </c>
      <c r="AF116" s="245" t="s">
        <v>470</v>
      </c>
      <c r="AL116" s="161" t="s">
        <v>136</v>
      </c>
      <c r="AM116" s="102">
        <v>552003</v>
      </c>
      <c r="AN116" s="103" t="s">
        <v>54</v>
      </c>
      <c r="AO116" s="104" t="e">
        <f t="shared" ca="1" si="25"/>
        <v>#DIV/0!</v>
      </c>
      <c r="AP116" s="49"/>
      <c r="AR116" s="112" t="str">
        <f t="shared" si="35"/>
        <v xml:space="preserve"> BAG FILTER MEL C, D, F, G, H, J, K, L</v>
      </c>
      <c r="AS116" s="112" t="str">
        <f t="shared" si="32"/>
        <v>0451-61000</v>
      </c>
      <c r="AU116" s="108" t="e">
        <f t="shared" ca="1" si="27"/>
        <v>#DIV/0!</v>
      </c>
      <c r="AV116" s="7" t="s">
        <v>1</v>
      </c>
      <c r="AW116" s="7" t="s">
        <v>173</v>
      </c>
      <c r="BA116" s="326" t="s">
        <v>492</v>
      </c>
      <c r="BB116" s="326" t="s">
        <v>493</v>
      </c>
      <c r="BC116" s="326"/>
      <c r="BD116" s="326" t="s">
        <v>429</v>
      </c>
      <c r="BE116" s="327">
        <f ca="1">X173</f>
        <v>0</v>
      </c>
      <c r="BF116" s="327"/>
      <c r="BG116" s="327" t="e">
        <f t="shared" ref="BG116:BH118" ca="1" si="39">Y173</f>
        <v>#DIV/0!</v>
      </c>
      <c r="BH116" s="327" t="e">
        <f t="shared" ca="1" si="39"/>
        <v>#DIV/0!</v>
      </c>
      <c r="BI116" s="327"/>
    </row>
    <row r="117" spans="1:61" ht="15.75" customHeight="1">
      <c r="A117" s="653" t="s">
        <v>494</v>
      </c>
      <c r="B117" s="757" t="s">
        <v>101</v>
      </c>
      <c r="C117" s="757">
        <v>1</v>
      </c>
      <c r="D117" s="654" t="s">
        <v>47</v>
      </c>
      <c r="E117" s="654"/>
      <c r="F117" s="654" t="s">
        <v>48</v>
      </c>
      <c r="G117" s="654" t="s">
        <v>49</v>
      </c>
      <c r="H117" s="655" cm="1">
        <f t="array" aca="1" ref="H117" ca="1">IFERROR(
    INDIRECT(
        "RawData!" &amp;
        ADDRESS(
            2,
            MATCH(
                TRIM(MID(A117, SEARCH(". ", A117) + 2, LEN(A117))) &amp; ".Import_kWh",
                RawData!$1:$1,
                0
            ),
            4
        )
    ),
    0
)</f>
        <v>0</v>
      </c>
      <c r="I117" s="655" cm="1">
        <f t="array" aca="1" ref="I117" ca="1">IFERROR(
    INDIRECT(
        "RawData!" &amp;
        ADDRESS(
            COUNTA(RawData!A:A),
            MATCH(
                TRIM(MID(A117, SEARCH(". ", A117) + 2, LEN(A117))) &amp; ".Import_kWh",
                RawData!$1:$1,
                0
            ),
            4
        )
    ),
    0
)</f>
        <v>0</v>
      </c>
      <c r="J117" s="656">
        <f ca="1">(I117-H117)*C117</f>
        <v>0</v>
      </c>
      <c r="K117" s="657" t="e">
        <f ca="1">J117*K$89/(J$90+J$98+J$111+J$117+J$133+J$136)</f>
        <v>#DIV/0!</v>
      </c>
      <c r="L117" s="658" t="e">
        <f ca="1">K117/J117</f>
        <v>#DIV/0!</v>
      </c>
      <c r="M117" s="789" t="e">
        <f ca="1">R120+R125+R126+R127+R128+R119+R129+R130+R131</f>
        <v>#DIV/0!</v>
      </c>
      <c r="N117" s="790"/>
      <c r="O117" s="790"/>
      <c r="P117" s="791"/>
      <c r="Q117" s="792"/>
      <c r="R117" s="793"/>
      <c r="S117" s="69"/>
      <c r="T117" s="159"/>
      <c r="U117" s="178" t="s">
        <v>240</v>
      </c>
      <c r="V117" s="156" t="s">
        <v>445</v>
      </c>
      <c r="W117" s="307" t="s">
        <v>230</v>
      </c>
      <c r="X117" s="199" t="e">
        <f ca="1">R277</f>
        <v>#DIV/0!</v>
      </c>
      <c r="Y117" s="199" t="e">
        <f t="shared" ref="Y117" ca="1" si="40">(X117/$AI$10)*100</f>
        <v>#DIV/0!</v>
      </c>
      <c r="Z117" s="169" t="e">
        <f t="shared" ca="1" si="38"/>
        <v>#DIV/0!</v>
      </c>
      <c r="AA117" s="180"/>
      <c r="AB117" s="110" t="e">
        <f t="shared" ca="1" si="23"/>
        <v>#DIV/0!</v>
      </c>
      <c r="AC117" s="188"/>
      <c r="AD117" s="182"/>
      <c r="AE117" s="245" t="s">
        <v>136</v>
      </c>
      <c r="AF117" s="245" t="s">
        <v>470</v>
      </c>
      <c r="AL117" s="161" t="s">
        <v>136</v>
      </c>
      <c r="AM117" s="102">
        <v>552003</v>
      </c>
      <c r="AN117" s="103" t="s">
        <v>54</v>
      </c>
      <c r="AO117" s="104" t="e">
        <f t="shared" ca="1" si="25"/>
        <v>#DIV/0!</v>
      </c>
      <c r="AP117" s="49"/>
      <c r="AR117" s="112" t="str">
        <f t="shared" si="35"/>
        <v xml:space="preserve"> BAG FILTER MEL I</v>
      </c>
      <c r="AS117" s="112" t="str">
        <f t="shared" si="32"/>
        <v>0451-61100</v>
      </c>
      <c r="AU117" s="108" t="e">
        <f t="shared" ca="1" si="27"/>
        <v>#DIV/0!</v>
      </c>
      <c r="AV117" s="7" t="s">
        <v>1</v>
      </c>
      <c r="AW117" s="7" t="s">
        <v>70</v>
      </c>
      <c r="BA117" s="326" t="s">
        <v>485</v>
      </c>
      <c r="BB117" s="326" t="s">
        <v>495</v>
      </c>
      <c r="BC117" s="326"/>
      <c r="BD117" s="326" t="s">
        <v>429</v>
      </c>
      <c r="BE117" s="327">
        <f ca="1">X174</f>
        <v>0</v>
      </c>
      <c r="BF117" s="327"/>
      <c r="BG117" s="327" t="e">
        <f t="shared" ca="1" si="39"/>
        <v>#DIV/0!</v>
      </c>
      <c r="BH117" s="327" t="e">
        <f t="shared" ca="1" si="39"/>
        <v>#DIV/0!</v>
      </c>
      <c r="BI117" s="327"/>
    </row>
    <row r="118" spans="1:61" ht="15" customHeight="1">
      <c r="A118" s="664" t="s">
        <v>1148</v>
      </c>
      <c r="B118" s="613" t="s">
        <v>72</v>
      </c>
      <c r="C118" s="613">
        <v>1</v>
      </c>
      <c r="D118" s="595" t="s">
        <v>47</v>
      </c>
      <c r="E118" s="595"/>
      <c r="F118" s="595" t="s">
        <v>48</v>
      </c>
      <c r="G118" s="595" t="s">
        <v>49</v>
      </c>
      <c r="H118" s="665" cm="1">
        <f t="array" aca="1" ref="H118" ca="1">IFERROR(
    INDIRECT(
        "RawData!" &amp;
        ADDRESS(
            2,
            MATCH(
                TRIM(MID(A118, SEARCH(". ", A118) + 2, LEN(A118))) &amp; ".Import_kWh",
                RawData!$1:$1,
                0
            ),
            4
        )
    ),
    0
)</f>
        <v>0</v>
      </c>
      <c r="I118" s="665" cm="1">
        <f t="array" aca="1" ref="I118" ca="1">IFERROR(
    INDIRECT(
        "RawData!" &amp;
        ADDRESS(
            COUNTA(RawData!A:A),
            MATCH(
                TRIM(MID(A118, SEARCH(". ", A118) + 2, LEN(A118))) &amp; ".Import_kWh",
                RawData!$1:$1,
                0
            ),
            4
        )
    ),
    0
)</f>
        <v>0</v>
      </c>
      <c r="J118" s="666">
        <f ca="1">(I118-H118)*C118</f>
        <v>0</v>
      </c>
      <c r="K118" s="688" t="e">
        <f ca="1">J118*K$117/(J$118+J$120+J$124+J$127+J$128)</f>
        <v>#DIV/0!</v>
      </c>
      <c r="L118" s="312" t="e">
        <f ca="1">K118/J118</f>
        <v>#DIV/0!</v>
      </c>
      <c r="M118" s="726" t="e">
        <f ca="1">R119</f>
        <v>#DIV/0!</v>
      </c>
      <c r="N118" s="727"/>
      <c r="O118" s="727"/>
      <c r="P118" s="732"/>
      <c r="Q118" s="728"/>
      <c r="R118" s="729"/>
      <c r="S118" s="69"/>
      <c r="T118" s="159"/>
      <c r="U118" s="178" t="s">
        <v>236</v>
      </c>
      <c r="V118" s="156" t="s">
        <v>449</v>
      </c>
      <c r="W118" s="307" t="s">
        <v>230</v>
      </c>
      <c r="X118" s="199" t="e">
        <f ca="1">R278</f>
        <v>#DIV/0!</v>
      </c>
      <c r="Y118" s="199" t="e">
        <f ca="1">(X118/$AI$10)*100</f>
        <v>#DIV/0!</v>
      </c>
      <c r="Z118" s="240" t="e">
        <f t="shared" ca="1" si="38"/>
        <v>#DIV/0!</v>
      </c>
      <c r="AA118" s="180"/>
      <c r="AB118" s="129" t="e">
        <f t="shared" ca="1" si="23"/>
        <v>#DIV/0!</v>
      </c>
      <c r="AC118" s="188"/>
      <c r="AD118" s="182"/>
      <c r="AE118" s="245" t="s">
        <v>136</v>
      </c>
      <c r="AF118" s="245" t="s">
        <v>470</v>
      </c>
      <c r="AL118" s="7" t="s">
        <v>136</v>
      </c>
      <c r="AM118" s="102">
        <v>552003</v>
      </c>
      <c r="AN118" s="103" t="s">
        <v>54</v>
      </c>
      <c r="AO118" s="104" t="e">
        <f t="shared" ca="1" si="25"/>
        <v>#DIV/0!</v>
      </c>
      <c r="AP118" s="49"/>
      <c r="AR118" s="112" t="str">
        <f t="shared" si="35"/>
        <v xml:space="preserve"> BAG FILTER MEL E</v>
      </c>
      <c r="AS118" s="112" t="str">
        <f t="shared" si="32"/>
        <v>0451-61500</v>
      </c>
      <c r="AU118" s="108" t="e">
        <f t="shared" ca="1" si="27"/>
        <v>#DIV/0!</v>
      </c>
      <c r="AV118" s="7" t="s">
        <v>1</v>
      </c>
      <c r="AW118" s="7" t="s">
        <v>173</v>
      </c>
      <c r="BA118" s="326" t="s">
        <v>485</v>
      </c>
      <c r="BB118" s="326" t="s">
        <v>496</v>
      </c>
      <c r="BC118" s="326"/>
      <c r="BD118" s="326" t="s">
        <v>429</v>
      </c>
      <c r="BE118" s="327" t="e">
        <f ca="1">X175</f>
        <v>#DIV/0!</v>
      </c>
      <c r="BF118" s="327"/>
      <c r="BG118" s="327" t="e">
        <f t="shared" ca="1" si="39"/>
        <v>#DIV/0!</v>
      </c>
      <c r="BH118" s="327" t="e">
        <f t="shared" ca="1" si="39"/>
        <v>#DIV/0!</v>
      </c>
      <c r="BI118" s="327"/>
    </row>
    <row r="119" spans="1:61" ht="15" customHeight="1">
      <c r="A119" s="664" t="s">
        <v>497</v>
      </c>
      <c r="B119" s="613"/>
      <c r="C119" s="595"/>
      <c r="D119" s="595"/>
      <c r="E119" s="595"/>
      <c r="F119" s="595"/>
      <c r="G119" s="595"/>
      <c r="H119" s="672"/>
      <c r="I119" s="672"/>
      <c r="J119" s="673"/>
      <c r="K119" s="688"/>
      <c r="L119" s="689"/>
      <c r="M119" s="688">
        <f>20+20+20+20+20+7.2+11.9+4+16+16+0.16+20</f>
        <v>175.26000000000002</v>
      </c>
      <c r="N119" s="687">
        <v>13</v>
      </c>
      <c r="O119" s="687">
        <v>17</v>
      </c>
      <c r="P119" s="689">
        <f>M119*O119</f>
        <v>2979.4200000000005</v>
      </c>
      <c r="Q119" s="733">
        <f>P119/(P$119)</f>
        <v>1</v>
      </c>
      <c r="R119" s="729" t="e">
        <f ca="1">Q119*K$118</f>
        <v>#DIV/0!</v>
      </c>
      <c r="S119" s="114" t="s">
        <v>348</v>
      </c>
      <c r="T119" s="115" t="s">
        <v>349</v>
      </c>
      <c r="U119" s="318" t="s">
        <v>120</v>
      </c>
      <c r="V119" s="319" t="s">
        <v>498</v>
      </c>
      <c r="W119" s="320" t="s">
        <v>75</v>
      </c>
      <c r="X119" s="321" t="e">
        <f ca="1">R457+R459</f>
        <v>#DIV/0!</v>
      </c>
      <c r="Y119" s="321"/>
      <c r="Z119" s="321" t="e">
        <f t="shared" ca="1" si="33"/>
        <v>#DIV/0!</v>
      </c>
      <c r="AA119" s="322"/>
      <c r="AB119" s="110" t="e">
        <f t="shared" ca="1" si="23"/>
        <v>#DIV/0!</v>
      </c>
      <c r="AC119" s="324"/>
      <c r="AD119" s="331"/>
      <c r="AE119" s="100" t="s">
        <v>76</v>
      </c>
      <c r="AF119" s="245" t="s">
        <v>457</v>
      </c>
      <c r="AH119" s="79"/>
      <c r="AL119" s="161" t="s">
        <v>76</v>
      </c>
      <c r="AM119" s="102">
        <v>552003</v>
      </c>
      <c r="AN119" s="103" t="s">
        <v>54</v>
      </c>
      <c r="AO119" s="104" t="e">
        <f t="shared" ca="1" si="25"/>
        <v>#DIV/0!</v>
      </c>
      <c r="AP119" s="49"/>
      <c r="AR119" s="112" t="str">
        <f t="shared" si="35"/>
        <v xml:space="preserve"> ระบบไฟฟ้า DIE PM</v>
      </c>
      <c r="AS119" s="112" t="str">
        <f t="shared" si="32"/>
        <v>0451-02300</v>
      </c>
      <c r="AU119" s="108" t="e">
        <f t="shared" ca="1" si="27"/>
        <v>#DIV/0!</v>
      </c>
      <c r="AV119" s="7" t="s">
        <v>1</v>
      </c>
      <c r="AW119" s="7" t="s">
        <v>173</v>
      </c>
      <c r="BA119" s="326" t="s">
        <v>492</v>
      </c>
      <c r="BB119" s="326" t="s">
        <v>499</v>
      </c>
      <c r="BC119" s="326"/>
      <c r="BD119" s="326" t="s">
        <v>429</v>
      </c>
      <c r="BE119" s="327">
        <f ca="1">X179</f>
        <v>0</v>
      </c>
      <c r="BF119" s="327"/>
      <c r="BG119" s="327"/>
      <c r="BH119" s="327" t="e">
        <f ca="1">Z179</f>
        <v>#DIV/0!</v>
      </c>
      <c r="BI119" s="327"/>
    </row>
    <row r="120" spans="1:61" ht="15" customHeight="1">
      <c r="A120" s="664" t="s">
        <v>500</v>
      </c>
      <c r="B120" s="613"/>
      <c r="C120" s="595">
        <v>1</v>
      </c>
      <c r="D120" s="595" t="s">
        <v>47</v>
      </c>
      <c r="E120" s="595"/>
      <c r="F120" s="595" t="s">
        <v>48</v>
      </c>
      <c r="G120" s="595" t="s">
        <v>49</v>
      </c>
      <c r="H120" s="665" cm="1">
        <f t="array" aca="1" ref="H120" ca="1">IFERROR(
    INDIRECT(
        "RawData!" &amp;
        ADDRESS(
            2,
            MATCH(
                TRIM(MID(A120, SEARCH(". ", A120) + 2, LEN(A120))) &amp; ".Import_kWh",
                RawData!$1:$1,
                0
            ),
            4
        )
    ),
    0
)</f>
        <v>0</v>
      </c>
      <c r="I120" s="665" cm="1">
        <f t="array" aca="1" ref="I120" ca="1">IFERROR(
    INDIRECT(
        "RawData!" &amp;
        ADDRESS(
            COUNTA(RawData!A:A),
            MATCH(
                TRIM(MID(A120, SEARCH(". ", A120) + 2, LEN(A120))) &amp; ".Import_kWh",
                RawData!$1:$1,
                0
            ),
            4
        )
    ),
    0
)</f>
        <v>0</v>
      </c>
      <c r="J120" s="666">
        <f ca="1">(I120-H120)*C120</f>
        <v>0</v>
      </c>
      <c r="K120" s="688" t="e">
        <f ca="1">J120*K$117/(J$118+J$120+J$124+J$127+J$128)</f>
        <v>#DIV/0!</v>
      </c>
      <c r="L120" s="312" t="e">
        <f ca="1">K120/J120</f>
        <v>#DIV/0!</v>
      </c>
      <c r="M120" s="778"/>
      <c r="N120" s="727"/>
      <c r="O120" s="727"/>
      <c r="P120" s="664"/>
      <c r="Q120" s="733"/>
      <c r="R120" s="729" t="e">
        <f ca="1">K120</f>
        <v>#DIV/0!</v>
      </c>
      <c r="S120" s="114" t="s">
        <v>98</v>
      </c>
      <c r="T120" s="115" t="s">
        <v>103</v>
      </c>
      <c r="U120" s="178" t="s">
        <v>120</v>
      </c>
      <c r="V120" s="254" t="s">
        <v>501</v>
      </c>
      <c r="W120" s="315" t="s">
        <v>75</v>
      </c>
      <c r="X120" s="238" t="e">
        <f ca="1">R453</f>
        <v>#DIV/0!</v>
      </c>
      <c r="Y120" s="238" t="e">
        <f ca="1">(X120/$AI$10)*100</f>
        <v>#DIV/0!</v>
      </c>
      <c r="Z120" s="193" t="e">
        <f ca="1">X120+(Y120*$AI$7)/100</f>
        <v>#DIV/0!</v>
      </c>
      <c r="AA120" s="241" t="e">
        <f ca="1">SUM(Z119:Z120)</f>
        <v>#DIV/0!</v>
      </c>
      <c r="AB120" s="129" t="e">
        <f t="shared" ca="1" si="23"/>
        <v>#DIV/0!</v>
      </c>
      <c r="AC120" s="242" t="e">
        <f ca="1">SUM(AB119:AB120)</f>
        <v>#DIV/0!</v>
      </c>
      <c r="AD120" s="243"/>
      <c r="AE120" s="100" t="s">
        <v>76</v>
      </c>
      <c r="AF120" s="309" t="s">
        <v>457</v>
      </c>
      <c r="AL120" s="13" t="s">
        <v>76</v>
      </c>
      <c r="AM120" s="102">
        <v>552003</v>
      </c>
      <c r="AN120" s="103" t="s">
        <v>54</v>
      </c>
      <c r="AO120" s="104" t="e">
        <f t="shared" ca="1" si="25"/>
        <v>#DIV/0!</v>
      </c>
      <c r="AP120" s="49"/>
      <c r="AR120" s="112" t="str">
        <f t="shared" si="35"/>
        <v xml:space="preserve"> ผ.ซ่อมบำรุงแม่พิมพ์</v>
      </c>
      <c r="AS120" s="112" t="str">
        <f t="shared" si="32"/>
        <v>0451-02300</v>
      </c>
      <c r="AU120" s="108" t="e">
        <f t="shared" ca="1" si="27"/>
        <v>#DIV/0!</v>
      </c>
      <c r="AV120" s="7" t="s">
        <v>1</v>
      </c>
      <c r="AW120" s="7" t="s">
        <v>70</v>
      </c>
      <c r="BA120" s="326" t="s">
        <v>468</v>
      </c>
      <c r="BB120" s="326" t="s">
        <v>502</v>
      </c>
      <c r="BC120" s="326"/>
      <c r="BD120" s="326" t="s">
        <v>429</v>
      </c>
      <c r="BE120" s="327">
        <f t="shared" ref="BE120:BE125" ca="1" si="41">X181</f>
        <v>0</v>
      </c>
      <c r="BF120" s="327"/>
      <c r="BG120" s="327"/>
      <c r="BH120" s="327" t="e">
        <f t="shared" ref="BH120:BH125" ca="1" si="42">Z181</f>
        <v>#DIV/0!</v>
      </c>
      <c r="BI120" s="327"/>
    </row>
    <row r="121" spans="1:61" ht="15" customHeight="1">
      <c r="A121" s="664" t="s">
        <v>503</v>
      </c>
      <c r="B121" s="690"/>
      <c r="C121" s="595"/>
      <c r="D121" s="595"/>
      <c r="E121" s="595"/>
      <c r="F121" s="595"/>
      <c r="G121" s="595"/>
      <c r="H121" s="803"/>
      <c r="I121" s="803"/>
      <c r="J121" s="673"/>
      <c r="K121" s="667"/>
      <c r="L121" s="312"/>
      <c r="M121" s="778"/>
      <c r="N121" s="727"/>
      <c r="O121" s="727"/>
      <c r="P121" s="664"/>
      <c r="Q121" s="733"/>
      <c r="R121" s="729"/>
      <c r="S121" s="69"/>
      <c r="T121" s="159"/>
      <c r="U121" s="332" t="s">
        <v>98</v>
      </c>
      <c r="V121" s="319" t="s">
        <v>253</v>
      </c>
      <c r="W121" s="320" t="s">
        <v>75</v>
      </c>
      <c r="X121" s="321" t="e">
        <f ca="1">R557</f>
        <v>#DIV/0!</v>
      </c>
      <c r="Y121" s="321"/>
      <c r="Z121" s="321" t="e">
        <f t="shared" ref="Z121:Z126" ca="1" si="43">X121</f>
        <v>#DIV/0!</v>
      </c>
      <c r="AA121" s="322"/>
      <c r="AB121" s="110" t="e">
        <f t="shared" ca="1" si="23"/>
        <v>#DIV/0!</v>
      </c>
      <c r="AC121" s="333"/>
      <c r="AD121" s="334"/>
      <c r="AE121" s="100" t="s">
        <v>76</v>
      </c>
      <c r="AF121" s="309" t="s">
        <v>140</v>
      </c>
      <c r="AL121" s="13" t="s">
        <v>76</v>
      </c>
      <c r="AM121" s="102">
        <v>552003</v>
      </c>
      <c r="AN121" s="103" t="s">
        <v>54</v>
      </c>
      <c r="AO121" s="104" t="e">
        <f t="shared" ca="1" si="25"/>
        <v>#DIV/0!</v>
      </c>
      <c r="AP121" s="49"/>
      <c r="AR121" s="112" t="str">
        <f t="shared" si="35"/>
        <v xml:space="preserve"> ระบบไฟฟ้าอาคาร DC1 ฝั่ง PC STORE</v>
      </c>
      <c r="AS121" s="112" t="str">
        <f t="shared" si="32"/>
        <v>0451-01200</v>
      </c>
      <c r="AU121" s="108" t="e">
        <f t="shared" ca="1" si="27"/>
        <v>#DIV/0!</v>
      </c>
      <c r="AV121" s="7" t="s">
        <v>1</v>
      </c>
      <c r="AW121" s="7" t="s">
        <v>70</v>
      </c>
      <c r="BA121" s="326" t="s">
        <v>485</v>
      </c>
      <c r="BB121" s="326" t="s">
        <v>504</v>
      </c>
      <c r="BC121" s="326"/>
      <c r="BD121" s="326" t="s">
        <v>429</v>
      </c>
      <c r="BE121" s="327">
        <f t="shared" ca="1" si="41"/>
        <v>0</v>
      </c>
      <c r="BF121" s="327"/>
      <c r="BG121" s="327"/>
      <c r="BH121" s="327" t="e">
        <f t="shared" ca="1" si="42"/>
        <v>#DIV/0!</v>
      </c>
      <c r="BI121" s="327"/>
    </row>
    <row r="122" spans="1:61" ht="15" customHeight="1">
      <c r="A122" s="664" t="s">
        <v>505</v>
      </c>
      <c r="B122" s="613"/>
      <c r="C122" s="595"/>
      <c r="D122" s="595"/>
      <c r="E122" s="595"/>
      <c r="F122" s="595"/>
      <c r="G122" s="595"/>
      <c r="H122" s="803"/>
      <c r="I122" s="803"/>
      <c r="J122" s="673"/>
      <c r="K122" s="667"/>
      <c r="L122" s="312"/>
      <c r="M122" s="778"/>
      <c r="N122" s="727"/>
      <c r="O122" s="727"/>
      <c r="P122" s="664"/>
      <c r="Q122" s="733"/>
      <c r="R122" s="729"/>
      <c r="S122" s="69"/>
      <c r="T122" s="159"/>
      <c r="U122" s="116" t="s">
        <v>98</v>
      </c>
      <c r="V122" s="166" t="s">
        <v>506</v>
      </c>
      <c r="W122" s="307" t="s">
        <v>75</v>
      </c>
      <c r="X122" s="199" t="e">
        <f ca="1">(R316+R327+R367)*35%+R353</f>
        <v>#DIV/0!</v>
      </c>
      <c r="Y122" s="199"/>
      <c r="Z122" s="151" t="e">
        <f t="shared" ca="1" si="43"/>
        <v>#DIV/0!</v>
      </c>
      <c r="AA122" s="180"/>
      <c r="AB122" s="110" t="e">
        <f t="shared" ca="1" si="23"/>
        <v>#DIV/0!</v>
      </c>
      <c r="AC122" s="170"/>
      <c r="AD122" s="308"/>
      <c r="AE122" s="100" t="s">
        <v>76</v>
      </c>
      <c r="AF122" s="309" t="s">
        <v>140</v>
      </c>
      <c r="AL122" s="13" t="s">
        <v>76</v>
      </c>
      <c r="AM122" s="102">
        <v>552003</v>
      </c>
      <c r="AN122" s="103" t="s">
        <v>54</v>
      </c>
      <c r="AO122" s="104" t="e">
        <f t="shared" ca="1" si="25"/>
        <v>#DIV/0!</v>
      </c>
      <c r="AP122" s="49"/>
      <c r="AR122" s="112" t="str">
        <f t="shared" si="35"/>
        <v xml:space="preserve"> ระบบไฟฟ้าอาคาร DC2 ฝั่ง PC STORE</v>
      </c>
      <c r="AS122" s="112" t="str">
        <f t="shared" si="32"/>
        <v>0451-01200</v>
      </c>
      <c r="AU122" s="108" t="e">
        <f t="shared" ca="1" si="27"/>
        <v>#DIV/0!</v>
      </c>
      <c r="AV122" s="7" t="s">
        <v>1</v>
      </c>
      <c r="AW122" s="7" t="s">
        <v>507</v>
      </c>
      <c r="BA122" s="326" t="s">
        <v>485</v>
      </c>
      <c r="BB122" s="326" t="s">
        <v>508</v>
      </c>
      <c r="BC122" s="326"/>
      <c r="BD122" s="326" t="s">
        <v>429</v>
      </c>
      <c r="BE122" s="327">
        <f t="shared" ca="1" si="41"/>
        <v>0</v>
      </c>
      <c r="BF122" s="327"/>
      <c r="BG122" s="327"/>
      <c r="BH122" s="327" t="e">
        <f t="shared" ca="1" si="42"/>
        <v>#DIV/0!</v>
      </c>
      <c r="BI122" s="327"/>
    </row>
    <row r="123" spans="1:61" ht="15" customHeight="1">
      <c r="A123" s="664" t="s">
        <v>509</v>
      </c>
      <c r="B123" s="613"/>
      <c r="C123" s="595"/>
      <c r="D123" s="595"/>
      <c r="E123" s="595"/>
      <c r="F123" s="595"/>
      <c r="G123" s="595"/>
      <c r="H123" s="803"/>
      <c r="I123" s="803"/>
      <c r="J123" s="673"/>
      <c r="K123" s="667"/>
      <c r="L123" s="312"/>
      <c r="M123" s="778"/>
      <c r="N123" s="727"/>
      <c r="O123" s="727"/>
      <c r="P123" s="664"/>
      <c r="Q123" s="733"/>
      <c r="R123" s="729"/>
      <c r="S123" s="69"/>
      <c r="T123" s="159"/>
      <c r="U123" s="116" t="s">
        <v>98</v>
      </c>
      <c r="V123" s="166" t="s">
        <v>434</v>
      </c>
      <c r="W123" s="307" t="s">
        <v>75</v>
      </c>
      <c r="X123" s="199">
        <f ca="1">R93</f>
        <v>0</v>
      </c>
      <c r="Y123" s="199"/>
      <c r="Z123" s="151">
        <f t="shared" ca="1" si="43"/>
        <v>0</v>
      </c>
      <c r="AA123" s="180"/>
      <c r="AB123" s="110" t="e">
        <f t="shared" ca="1" si="23"/>
        <v>#DIV/0!</v>
      </c>
      <c r="AC123" s="170"/>
      <c r="AD123" s="308"/>
      <c r="AE123" s="100" t="s">
        <v>76</v>
      </c>
      <c r="AF123" s="309" t="s">
        <v>140</v>
      </c>
      <c r="AL123" s="13" t="s">
        <v>76</v>
      </c>
      <c r="AM123" s="102">
        <v>552003</v>
      </c>
      <c r="AN123" s="103" t="s">
        <v>54</v>
      </c>
      <c r="AO123" s="104" t="e">
        <f t="shared" ca="1" si="25"/>
        <v>#DIV/0!</v>
      </c>
      <c r="AP123" s="49"/>
      <c r="AR123" s="112" t="str">
        <f t="shared" si="35"/>
        <v xml:space="preserve"> ระบบไฟฟ้าอาคาร MC1 ฝั่ง PC STORE</v>
      </c>
      <c r="AS123" s="112" t="str">
        <f t="shared" si="32"/>
        <v>0451-01200</v>
      </c>
      <c r="AU123" s="108">
        <f t="shared" ca="1" si="27"/>
        <v>0</v>
      </c>
      <c r="AV123" s="7" t="s">
        <v>1</v>
      </c>
      <c r="AW123" s="7" t="s">
        <v>70</v>
      </c>
      <c r="BA123" s="326"/>
      <c r="BB123" s="326" t="s">
        <v>510</v>
      </c>
      <c r="BC123" s="326"/>
      <c r="BD123" s="326" t="s">
        <v>429</v>
      </c>
      <c r="BE123" s="327">
        <f t="shared" ca="1" si="41"/>
        <v>0</v>
      </c>
      <c r="BF123" s="327"/>
      <c r="BG123" s="327"/>
      <c r="BH123" s="327" t="e">
        <f ca="1">Z184</f>
        <v>#DIV/0!</v>
      </c>
      <c r="BI123" s="327"/>
    </row>
    <row r="124" spans="1:61" ht="15" customHeight="1">
      <c r="A124" s="664" t="s">
        <v>511</v>
      </c>
      <c r="B124" s="613" t="s">
        <v>512</v>
      </c>
      <c r="C124" s="595">
        <v>1</v>
      </c>
      <c r="D124" s="595" t="s">
        <v>47</v>
      </c>
      <c r="E124" s="595"/>
      <c r="F124" s="595" t="s">
        <v>48</v>
      </c>
      <c r="G124" s="595" t="s">
        <v>49</v>
      </c>
      <c r="H124" s="665" cm="1">
        <f t="array" aca="1" ref="H124" ca="1">IFERROR(
    INDIRECT(
        "RawData!" &amp;
        ADDRESS(
            2,
            MATCH(
                TRIM(MID(A124, SEARCH(". ", A124) + 2, LEN(A124))) &amp; ".Import_kWh",
                RawData!$1:$1,
                0
            ),
            4
        )
    ),
    0
)</f>
        <v>0</v>
      </c>
      <c r="I124" s="665" cm="1">
        <f t="array" aca="1" ref="I124" ca="1">IFERROR(
    INDIRECT(
        "RawData!" &amp;
        ADDRESS(
            COUNTA(RawData!A:A),
            MATCH(
                TRIM(MID(A124, SEARCH(". ", A124) + 2, LEN(A124))) &amp; ".Import_kWh",
                RawData!$1:$1,
                0
            ),
            4
        )
    ),
    0
)</f>
        <v>0</v>
      </c>
      <c r="J124" s="666">
        <f ca="1">(I124-H124)*C124</f>
        <v>0</v>
      </c>
      <c r="K124" s="688" t="e">
        <f ca="1">J124*K$117/(J$118+J$120+J$124+J$127+J$128)</f>
        <v>#DIV/0!</v>
      </c>
      <c r="L124" s="312" t="e">
        <f ca="1">K124/J124</f>
        <v>#DIV/0!</v>
      </c>
      <c r="M124" s="812" t="e">
        <f ca="1">R125</f>
        <v>#DIV/0!</v>
      </c>
      <c r="N124" s="727"/>
      <c r="O124" s="727"/>
      <c r="P124" s="664"/>
      <c r="Q124" s="733"/>
      <c r="R124" s="729"/>
      <c r="S124" s="159"/>
      <c r="T124" s="159"/>
      <c r="U124" s="116" t="s">
        <v>98</v>
      </c>
      <c r="V124" s="166" t="s">
        <v>513</v>
      </c>
      <c r="W124" s="307" t="s">
        <v>75</v>
      </c>
      <c r="X124" s="199" t="e">
        <f ca="1">R185</f>
        <v>#DIV/0!</v>
      </c>
      <c r="Y124" s="199"/>
      <c r="Z124" s="151" t="e">
        <f t="shared" ca="1" si="43"/>
        <v>#DIV/0!</v>
      </c>
      <c r="AA124" s="180"/>
      <c r="AB124" s="110" t="e">
        <f t="shared" ca="1" si="23"/>
        <v>#DIV/0!</v>
      </c>
      <c r="AC124" s="170"/>
      <c r="AD124" s="308"/>
      <c r="AE124" s="100" t="s">
        <v>76</v>
      </c>
      <c r="AF124" s="309" t="s">
        <v>140</v>
      </c>
      <c r="AL124" s="13" t="s">
        <v>76</v>
      </c>
      <c r="AM124" s="102">
        <v>552003</v>
      </c>
      <c r="AN124" s="103" t="s">
        <v>54</v>
      </c>
      <c r="AO124" s="104" t="e">
        <f t="shared" ca="1" si="25"/>
        <v>#DIV/0!</v>
      </c>
      <c r="AP124" s="49"/>
      <c r="AR124" s="112" t="str">
        <f t="shared" si="35"/>
        <v xml:space="preserve"> ระบบไฟฟ้าอาคาร MC2 ฝั่ง PC STORE</v>
      </c>
      <c r="AS124" s="112" t="str">
        <f t="shared" si="32"/>
        <v>0451-01200</v>
      </c>
      <c r="AU124" s="108" t="e">
        <f t="shared" ca="1" si="27"/>
        <v>#DIV/0!</v>
      </c>
      <c r="AV124" s="7" t="s">
        <v>1</v>
      </c>
      <c r="AW124" s="7" t="s">
        <v>70</v>
      </c>
      <c r="BA124" s="326" t="s">
        <v>514</v>
      </c>
      <c r="BB124" s="326" t="s">
        <v>515</v>
      </c>
      <c r="BC124" s="326"/>
      <c r="BD124" s="326" t="s">
        <v>429</v>
      </c>
      <c r="BE124" s="327" t="e">
        <f t="shared" ca="1" si="41"/>
        <v>#DIV/0!</v>
      </c>
      <c r="BF124" s="327"/>
      <c r="BG124" s="327" t="e">
        <f ca="1">Y185</f>
        <v>#DIV/0!</v>
      </c>
      <c r="BH124" s="327" t="e">
        <f t="shared" ca="1" si="42"/>
        <v>#DIV/0!</v>
      </c>
      <c r="BI124" s="327"/>
    </row>
    <row r="125" spans="1:61" ht="15" customHeight="1">
      <c r="A125" s="664" t="s">
        <v>516</v>
      </c>
      <c r="B125" s="690"/>
      <c r="C125" s="595"/>
      <c r="D125" s="595"/>
      <c r="E125" s="595"/>
      <c r="F125" s="595"/>
      <c r="G125" s="595"/>
      <c r="H125" s="803"/>
      <c r="I125" s="803"/>
      <c r="J125" s="673"/>
      <c r="K125" s="568"/>
      <c r="L125" s="312"/>
      <c r="M125" s="778">
        <f>28+7.65+3.7</f>
        <v>39.35</v>
      </c>
      <c r="N125" s="727">
        <v>1</v>
      </c>
      <c r="O125" s="727">
        <v>1</v>
      </c>
      <c r="P125" s="732">
        <f>M125*O125</f>
        <v>39.35</v>
      </c>
      <c r="Q125" s="733">
        <f>O125/(O$125)</f>
        <v>1</v>
      </c>
      <c r="R125" s="729" t="e">
        <f ca="1">Q125*K$124</f>
        <v>#DIV/0!</v>
      </c>
      <c r="S125" s="114" t="s">
        <v>73</v>
      </c>
      <c r="T125" s="115" t="s">
        <v>112</v>
      </c>
      <c r="U125" s="335" t="s">
        <v>98</v>
      </c>
      <c r="V125" s="166" t="s">
        <v>144</v>
      </c>
      <c r="W125" s="307" t="s">
        <v>75</v>
      </c>
      <c r="X125" s="199" t="e">
        <f ca="1">R468+R379+R375+R382+R465</f>
        <v>#DIV/0!</v>
      </c>
      <c r="Y125" s="199"/>
      <c r="Z125" s="151" t="e">
        <f t="shared" ca="1" si="43"/>
        <v>#DIV/0!</v>
      </c>
      <c r="AA125" s="180"/>
      <c r="AB125" s="110" t="e">
        <f t="shared" ca="1" si="23"/>
        <v>#DIV/0!</v>
      </c>
      <c r="AC125" s="170"/>
      <c r="AD125" s="308"/>
      <c r="AE125" s="100" t="s">
        <v>76</v>
      </c>
      <c r="AF125" s="245" t="s">
        <v>140</v>
      </c>
      <c r="AL125" s="13" t="s">
        <v>76</v>
      </c>
      <c r="AM125" s="102">
        <v>552003</v>
      </c>
      <c r="AN125" s="103" t="s">
        <v>54</v>
      </c>
      <c r="AO125" s="104" t="e">
        <f t="shared" ca="1" si="25"/>
        <v>#DIV/0!</v>
      </c>
      <c r="AP125" s="49"/>
      <c r="AR125" s="112" t="str">
        <f t="shared" si="35"/>
        <v xml:space="preserve"> ระบบไฟฟ้าอาคาร GC1 ฝั่ง PC STORE</v>
      </c>
      <c r="AS125" s="112" t="str">
        <f t="shared" si="32"/>
        <v>0451-01200</v>
      </c>
      <c r="AU125" s="108" t="e">
        <f t="shared" ca="1" si="27"/>
        <v>#DIV/0!</v>
      </c>
      <c r="AV125" s="7" t="s">
        <v>1</v>
      </c>
      <c r="AW125" s="7" t="s">
        <v>70</v>
      </c>
      <c r="BA125" s="326" t="s">
        <v>514</v>
      </c>
      <c r="BB125" s="326" t="s">
        <v>517</v>
      </c>
      <c r="BC125" s="326"/>
      <c r="BD125" s="326" t="s">
        <v>429</v>
      </c>
      <c r="BE125" s="327" t="e">
        <f t="shared" ca="1" si="41"/>
        <v>#DIV/0!</v>
      </c>
      <c r="BF125" s="327"/>
      <c r="BG125" s="327" t="e">
        <f ca="1">Y186</f>
        <v>#DIV/0!</v>
      </c>
      <c r="BH125" s="327" t="e">
        <f t="shared" ca="1" si="42"/>
        <v>#DIV/0!</v>
      </c>
      <c r="BI125" s="327"/>
    </row>
    <row r="126" spans="1:61" ht="15" customHeight="1">
      <c r="A126" s="664"/>
      <c r="B126" s="613"/>
      <c r="C126" s="595"/>
      <c r="D126" s="595"/>
      <c r="E126" s="595"/>
      <c r="F126" s="595"/>
      <c r="G126" s="595"/>
      <c r="H126" s="803"/>
      <c r="I126" s="803"/>
      <c r="J126" s="673"/>
      <c r="K126" s="568"/>
      <c r="L126" s="312"/>
      <c r="M126" s="759"/>
      <c r="N126" s="669"/>
      <c r="O126" s="669"/>
      <c r="P126" s="732"/>
      <c r="Q126" s="733"/>
      <c r="R126" s="729"/>
      <c r="S126" s="114"/>
      <c r="T126" s="115"/>
      <c r="U126" s="116" t="s">
        <v>120</v>
      </c>
      <c r="V126" s="336" t="s">
        <v>518</v>
      </c>
      <c r="W126" s="337" t="s">
        <v>75</v>
      </c>
      <c r="X126" s="338" t="e">
        <f ca="1">R391+R461+R389+R460+R394+R395</f>
        <v>#DIV/0!</v>
      </c>
      <c r="Y126" s="339"/>
      <c r="Z126" s="338" t="e">
        <f t="shared" ca="1" si="43"/>
        <v>#DIV/0!</v>
      </c>
      <c r="AA126" s="340"/>
      <c r="AB126" s="341" t="e">
        <f t="shared" ca="1" si="23"/>
        <v>#DIV/0!</v>
      </c>
      <c r="AC126" s="342"/>
      <c r="AD126" s="343"/>
      <c r="AE126" s="100" t="s">
        <v>76</v>
      </c>
      <c r="AF126" s="245" t="s">
        <v>122</v>
      </c>
      <c r="AL126" s="13" t="s">
        <v>76</v>
      </c>
      <c r="AM126" s="102">
        <v>552003</v>
      </c>
      <c r="AN126" s="103" t="s">
        <v>54</v>
      </c>
      <c r="AO126" s="104" t="e">
        <f t="shared" ca="1" si="25"/>
        <v>#DIV/0!</v>
      </c>
      <c r="AP126" s="49"/>
      <c r="AR126" s="112" t="str">
        <f t="shared" si="35"/>
        <v xml:space="preserve"> ส่วนซ่อมและบำรุงรักษา</v>
      </c>
      <c r="AS126" s="112" t="str">
        <f t="shared" si="32"/>
        <v>0451-02300</v>
      </c>
      <c r="AU126" s="108" t="e">
        <f t="shared" ca="1" si="27"/>
        <v>#DIV/0!</v>
      </c>
      <c r="AV126" s="7" t="s">
        <v>1</v>
      </c>
      <c r="AW126" s="7" t="s">
        <v>70</v>
      </c>
      <c r="BA126" s="326" t="s">
        <v>514</v>
      </c>
      <c r="BB126" s="326" t="s">
        <v>519</v>
      </c>
      <c r="BC126" s="326"/>
      <c r="BD126" s="326" t="s">
        <v>429</v>
      </c>
      <c r="BE126" s="327" t="e">
        <f ca="1">X191</f>
        <v>#DIV/0!</v>
      </c>
      <c r="BF126" s="327"/>
      <c r="BG126" s="327" t="e">
        <f ca="1">Y191</f>
        <v>#DIV/0!</v>
      </c>
      <c r="BH126" s="327" t="e">
        <f ca="1">Z191</f>
        <v>#DIV/0!</v>
      </c>
      <c r="BI126" s="327"/>
    </row>
    <row r="127" spans="1:61" ht="15" customHeight="1">
      <c r="A127" s="664" t="s">
        <v>1162</v>
      </c>
      <c r="B127" s="613" t="s">
        <v>382</v>
      </c>
      <c r="C127" s="595">
        <v>1</v>
      </c>
      <c r="D127" s="595" t="s">
        <v>47</v>
      </c>
      <c r="E127" s="595"/>
      <c r="F127" s="595" t="s">
        <v>48</v>
      </c>
      <c r="G127" s="595" t="s">
        <v>49</v>
      </c>
      <c r="H127" s="665" cm="1">
        <f t="array" aca="1" ref="H127" ca="1">IFERROR(
    INDIRECT(
        "RawData!" &amp;
        ADDRESS(
            2,
            MATCH(
                TRIM(MID(A127, SEARCH(". ", A127) + 2, LEN(A127))) &amp; ".Import_kWh",
                RawData!$1:$1,
                0
            ),
            4
        )
    ),
    0
)</f>
        <v>0</v>
      </c>
      <c r="I127" s="665" cm="1">
        <f t="array" aca="1" ref="I127" ca="1">IFERROR(
    INDIRECT(
        "RawData!" &amp;
        ADDRESS(
            COUNTA(RawData!A:A),
            MATCH(
                TRIM(MID(A127, SEARCH(". ", A127) + 2, LEN(A127))) &amp; ".Import_kWh",
                RawData!$1:$1,
                0
            ),
            4
        )
    ),
    0
)</f>
        <v>0</v>
      </c>
      <c r="J127" s="666">
        <f ca="1">(I127-H127)*C127</f>
        <v>0</v>
      </c>
      <c r="K127" s="688" t="e">
        <f ca="1">J127*K$117/(J$118+J$120+J$124+J$127+J$128)</f>
        <v>#DIV/0!</v>
      </c>
      <c r="L127" s="312" t="e">
        <f ca="1">K127/J127</f>
        <v>#DIV/0!</v>
      </c>
      <c r="M127" s="778"/>
      <c r="N127" s="727"/>
      <c r="O127" s="727"/>
      <c r="P127" s="664"/>
      <c r="Q127" s="733"/>
      <c r="R127" s="729" t="e">
        <f ca="1">K127</f>
        <v>#DIV/0!</v>
      </c>
      <c r="S127" s="114" t="s">
        <v>98</v>
      </c>
      <c r="T127" s="115" t="s">
        <v>99</v>
      </c>
      <c r="U127" s="344" t="s">
        <v>422</v>
      </c>
      <c r="V127" s="237" t="s">
        <v>423</v>
      </c>
      <c r="W127" s="315" t="s">
        <v>67</v>
      </c>
      <c r="X127" s="238" t="e">
        <f ca="1">R456+R658+R732+R427</f>
        <v>#DIV/0!</v>
      </c>
      <c r="Y127" s="339" t="e">
        <f ca="1">(X127/$AI$10)*100</f>
        <v>#DIV/0!</v>
      </c>
      <c r="Z127" s="345" t="e">
        <f ca="1">X127+(Y127*$AI$7)/100</f>
        <v>#DIV/0!</v>
      </c>
      <c r="AA127" s="241"/>
      <c r="AB127" s="341" t="e">
        <f t="shared" ca="1" si="23"/>
        <v>#DIV/0!</v>
      </c>
      <c r="AC127" s="242"/>
      <c r="AD127" s="243"/>
      <c r="AE127" s="245" t="s">
        <v>67</v>
      </c>
      <c r="AF127" s="245" t="s">
        <v>92</v>
      </c>
      <c r="AL127" s="7" t="s">
        <v>67</v>
      </c>
      <c r="AM127" s="102">
        <v>641110</v>
      </c>
      <c r="AN127" s="103" t="s">
        <v>54</v>
      </c>
      <c r="AO127" s="104" t="e">
        <f t="shared" ca="1" si="25"/>
        <v>#DIV/0!</v>
      </c>
      <c r="AP127" s="49"/>
      <c r="AR127" s="112" t="str">
        <f t="shared" si="35"/>
        <v xml:space="preserve"> บ่อบำบัดน้ำเสีย</v>
      </c>
      <c r="AS127" s="112" t="str">
        <f t="shared" si="32"/>
        <v>0450-90032</v>
      </c>
      <c r="AU127" s="108" t="e">
        <f t="shared" ca="1" si="27"/>
        <v>#DIV/0!</v>
      </c>
      <c r="AV127" s="7" t="s">
        <v>1</v>
      </c>
      <c r="AW127" s="7" t="s">
        <v>70</v>
      </c>
      <c r="BA127" s="326" t="s">
        <v>514</v>
      </c>
      <c r="BB127" s="326" t="s">
        <v>520</v>
      </c>
      <c r="BC127" s="326"/>
      <c r="BD127" s="326" t="s">
        <v>429</v>
      </c>
      <c r="BE127" s="327">
        <f ca="1">X192</f>
        <v>0</v>
      </c>
      <c r="BF127" s="327"/>
      <c r="BG127" s="327"/>
      <c r="BH127" s="327" t="e">
        <f ca="1">Z192</f>
        <v>#DIV/0!</v>
      </c>
      <c r="BI127" s="327"/>
    </row>
    <row r="128" spans="1:61" ht="15" customHeight="1">
      <c r="A128" s="664" t="s">
        <v>1163</v>
      </c>
      <c r="B128" s="613" t="s">
        <v>382</v>
      </c>
      <c r="C128" s="595">
        <v>1</v>
      </c>
      <c r="D128" s="595" t="s">
        <v>47</v>
      </c>
      <c r="E128" s="595"/>
      <c r="F128" s="595" t="s">
        <v>48</v>
      </c>
      <c r="G128" s="595" t="s">
        <v>49</v>
      </c>
      <c r="H128" s="665" cm="1">
        <f t="array" aca="1" ref="H128" ca="1">IFERROR(
    INDIRECT(
        "RawData!" &amp;
        ADDRESS(
            2,
            MATCH(
                TRIM(MID(A128, SEARCH(". ", A128) + 2, LEN(A128))) &amp; ".Import_kWh",
                RawData!$1:$1,
                0
            ),
            4
        )
    ),
    0
)</f>
        <v>0</v>
      </c>
      <c r="I128" s="665" cm="1">
        <f t="array" aca="1" ref="I128" ca="1">IFERROR(
    INDIRECT(
        "RawData!" &amp;
        ADDRESS(
            COUNTA(RawData!A:A),
            MATCH(
                TRIM(MID(A128, SEARCH(". ", A128) + 2, LEN(A128))) &amp; ".Import_kWh",
                RawData!$1:$1,
                0
            ),
            4
        )
    ),
    0
)</f>
        <v>0</v>
      </c>
      <c r="J128" s="666">
        <f ca="1">(I128-H128)*C128</f>
        <v>0</v>
      </c>
      <c r="K128" s="688" t="e">
        <f ca="1">J128*K$117/(J$118+J$120+J$124+J$127+J$128)</f>
        <v>#DIV/0!</v>
      </c>
      <c r="L128" s="312" t="e">
        <f ca="1">K128/J128</f>
        <v>#DIV/0!</v>
      </c>
      <c r="M128" s="726" t="e">
        <f ca="1">R129+R130+R131</f>
        <v>#DIV/0!</v>
      </c>
      <c r="N128" s="687"/>
      <c r="O128" s="687"/>
      <c r="P128" s="664"/>
      <c r="Q128" s="733"/>
      <c r="R128" s="729"/>
      <c r="S128" s="114"/>
      <c r="T128" s="115"/>
      <c r="U128" s="346" t="s">
        <v>228</v>
      </c>
      <c r="V128" s="156" t="s">
        <v>521</v>
      </c>
      <c r="W128" s="307" t="s">
        <v>230</v>
      </c>
      <c r="X128" s="199" t="e">
        <f ca="1">R268+R272</f>
        <v>#DIV/0!</v>
      </c>
      <c r="Y128" s="151" t="e">
        <f ca="1">(X128/$AI$10)*100</f>
        <v>#DIV/0!</v>
      </c>
      <c r="Z128" s="169" t="e">
        <f ca="1">X128+(Y128*$AI$7)/100</f>
        <v>#DIV/0!</v>
      </c>
      <c r="AA128" s="180"/>
      <c r="AB128" s="110" t="e">
        <f ca="1">Z128*Y$255</f>
        <v>#DIV/0!</v>
      </c>
      <c r="AC128" s="324"/>
      <c r="AD128" s="325"/>
      <c r="AE128" s="245" t="s">
        <v>136</v>
      </c>
      <c r="AF128" s="245" t="s">
        <v>470</v>
      </c>
      <c r="AL128" s="13" t="s">
        <v>136</v>
      </c>
      <c r="AM128" s="102">
        <v>552003</v>
      </c>
      <c r="AN128" s="103" t="s">
        <v>54</v>
      </c>
      <c r="AO128" s="104" t="e">
        <f ca="1">ROUND(AB128,2)</f>
        <v>#DIV/0!</v>
      </c>
      <c r="AP128" s="49"/>
      <c r="AR128" s="112" t="str">
        <f t="shared" si="35"/>
        <v xml:space="preserve"> MELTING D,F,G,J,K,L,M</v>
      </c>
      <c r="AS128" s="112" t="str">
        <f t="shared" si="32"/>
        <v>0451-61000</v>
      </c>
      <c r="AU128" s="108" t="e">
        <f t="shared" ca="1" si="27"/>
        <v>#DIV/0!</v>
      </c>
      <c r="AV128" s="7" t="s">
        <v>1</v>
      </c>
      <c r="AW128" s="7" t="s">
        <v>507</v>
      </c>
      <c r="BA128" s="326" t="s">
        <v>514</v>
      </c>
      <c r="BB128" s="326" t="s">
        <v>522</v>
      </c>
      <c r="BC128" s="326"/>
      <c r="BD128" s="326" t="s">
        <v>429</v>
      </c>
      <c r="BE128" s="327">
        <f ca="1">X193</f>
        <v>0</v>
      </c>
      <c r="BF128" s="327"/>
      <c r="BG128" s="327"/>
      <c r="BH128" s="327" t="e">
        <f t="shared" ref="BH128:BH129" ca="1" si="44">Z193</f>
        <v>#DIV/0!</v>
      </c>
      <c r="BI128" s="327"/>
    </row>
    <row r="129" spans="1:61" ht="15" customHeight="1">
      <c r="A129" s="664" t="s">
        <v>523</v>
      </c>
      <c r="B129" s="613"/>
      <c r="C129" s="595"/>
      <c r="D129" s="595"/>
      <c r="E129" s="595"/>
      <c r="F129" s="595"/>
      <c r="G129" s="595"/>
      <c r="H129" s="803"/>
      <c r="I129" s="803"/>
      <c r="J129" s="673"/>
      <c r="K129" s="568"/>
      <c r="L129" s="312"/>
      <c r="M129" s="802">
        <v>40</v>
      </c>
      <c r="N129" s="687">
        <v>0</v>
      </c>
      <c r="O129" s="745">
        <v>0</v>
      </c>
      <c r="P129" s="664">
        <f>N129*O129</f>
        <v>0</v>
      </c>
      <c r="Q129" s="733">
        <f>P129/(P$129+P$130+P$131)</f>
        <v>0</v>
      </c>
      <c r="R129" s="729" t="e">
        <f ca="1">K$128*Q129</f>
        <v>#DIV/0!</v>
      </c>
      <c r="S129" s="114" t="s">
        <v>369</v>
      </c>
      <c r="T129" s="115" t="s">
        <v>370</v>
      </c>
      <c r="U129" s="346" t="s">
        <v>228</v>
      </c>
      <c r="V129" s="156" t="s">
        <v>524</v>
      </c>
      <c r="W129" s="307" t="s">
        <v>230</v>
      </c>
      <c r="X129" s="199">
        <f ca="1">R281</f>
        <v>0</v>
      </c>
      <c r="Y129" s="151" t="e">
        <f ca="1">(X129/$AI$10)*100</f>
        <v>#DIV/0!</v>
      </c>
      <c r="Z129" s="169" t="e">
        <f ca="1">X129+(Y129*$AI$7)/100</f>
        <v>#DIV/0!</v>
      </c>
      <c r="AA129" s="180"/>
      <c r="AB129" s="110" t="e">
        <f ca="1">Z129*Y$255</f>
        <v>#DIV/0!</v>
      </c>
      <c r="AC129" s="181"/>
      <c r="AD129" s="182"/>
      <c r="AE129" s="245"/>
      <c r="AF129" s="245"/>
      <c r="AL129" s="13" t="s">
        <v>136</v>
      </c>
      <c r="AM129" s="102">
        <v>552003</v>
      </c>
      <c r="AN129" s="103" t="s">
        <v>54</v>
      </c>
      <c r="AO129" s="104" t="e">
        <f ca="1">ROUND(AB129,2)</f>
        <v>#DIV/0!</v>
      </c>
      <c r="AP129" s="49"/>
      <c r="AR129" s="112" t="str">
        <f t="shared" si="35"/>
        <v xml:space="preserve"> MELTING H</v>
      </c>
      <c r="AS129" s="112" t="str">
        <f t="shared" si="32"/>
        <v>0451-61000</v>
      </c>
      <c r="AU129" s="108" t="e">
        <f t="shared" ca="1" si="27"/>
        <v>#DIV/0!</v>
      </c>
      <c r="AV129" s="7" t="s">
        <v>1</v>
      </c>
      <c r="AW129" s="7" t="s">
        <v>507</v>
      </c>
      <c r="BA129" s="326" t="s">
        <v>514</v>
      </c>
      <c r="BB129" s="326" t="s">
        <v>525</v>
      </c>
      <c r="BC129" s="326"/>
      <c r="BD129" s="326" t="s">
        <v>429</v>
      </c>
      <c r="BE129" s="327">
        <f ca="1">X194</f>
        <v>0</v>
      </c>
      <c r="BF129" s="327"/>
      <c r="BG129" s="327"/>
      <c r="BH129" s="327" t="e">
        <f t="shared" ca="1" si="44"/>
        <v>#DIV/0!</v>
      </c>
      <c r="BI129" s="327"/>
    </row>
    <row r="130" spans="1:61" ht="15" customHeight="1">
      <c r="A130" s="664" t="s">
        <v>526</v>
      </c>
      <c r="B130" s="671"/>
      <c r="C130" s="595"/>
      <c r="D130" s="595"/>
      <c r="E130" s="595"/>
      <c r="F130" s="595"/>
      <c r="G130" s="595"/>
      <c r="H130" s="672"/>
      <c r="I130" s="665"/>
      <c r="J130" s="673"/>
      <c r="K130" s="568"/>
      <c r="L130" s="312"/>
      <c r="M130" s="570">
        <f>13.6+13.6</f>
        <v>27.2</v>
      </c>
      <c r="N130" s="687">
        <v>23</v>
      </c>
      <c r="O130" s="687">
        <v>36</v>
      </c>
      <c r="P130" s="664">
        <f>N130*O130</f>
        <v>828</v>
      </c>
      <c r="Q130" s="733">
        <f>P130/(P$129+P$130+P$131)</f>
        <v>0.5</v>
      </c>
      <c r="R130" s="729" t="e">
        <f ca="1">K$128*Q130</f>
        <v>#DIV/0!</v>
      </c>
      <c r="S130" s="114" t="s">
        <v>110</v>
      </c>
      <c r="T130" s="115" t="s">
        <v>111</v>
      </c>
      <c r="U130" s="346" t="s">
        <v>236</v>
      </c>
      <c r="V130" s="156" t="s">
        <v>237</v>
      </c>
      <c r="W130" s="307" t="s">
        <v>230</v>
      </c>
      <c r="X130" s="199">
        <f ca="1">R274</f>
        <v>0</v>
      </c>
      <c r="Y130" s="151" t="e">
        <f ca="1">(X130/$AI$10)*100</f>
        <v>#DIV/0!</v>
      </c>
      <c r="Z130" s="169" t="e">
        <f ca="1">X130+(Y130*$AI$7)/100</f>
        <v>#DIV/0!</v>
      </c>
      <c r="AA130" s="180"/>
      <c r="AB130" s="110" t="e">
        <f ca="1">Z130*Y$255</f>
        <v>#DIV/0!</v>
      </c>
      <c r="AC130" s="181"/>
      <c r="AD130" s="182"/>
      <c r="AE130" s="245" t="s">
        <v>136</v>
      </c>
      <c r="AF130" s="245" t="s">
        <v>470</v>
      </c>
      <c r="AL130" s="13" t="s">
        <v>136</v>
      </c>
      <c r="AM130" s="102">
        <v>552003</v>
      </c>
      <c r="AN130" s="103" t="s">
        <v>54</v>
      </c>
      <c r="AO130" s="104" t="e">
        <f t="shared" ref="AO130:AO193" ca="1" si="45">ROUND(AB130,2)</f>
        <v>#DIV/0!</v>
      </c>
      <c r="AP130" s="49"/>
      <c r="AR130" s="112" t="str">
        <f t="shared" si="35"/>
        <v xml:space="preserve"> MELTING E (AC2BSB)</v>
      </c>
      <c r="AS130" s="112" t="str">
        <f t="shared" si="32"/>
        <v>0451-61500</v>
      </c>
      <c r="AU130" s="108" t="e">
        <f t="shared" ca="1" si="27"/>
        <v>#DIV/0!</v>
      </c>
      <c r="AV130" s="7" t="s">
        <v>1</v>
      </c>
      <c r="AW130" s="7" t="s">
        <v>507</v>
      </c>
      <c r="BA130" s="326" t="s">
        <v>527</v>
      </c>
      <c r="BB130" s="326" t="s">
        <v>528</v>
      </c>
      <c r="BC130" s="326"/>
      <c r="BD130" s="326" t="s">
        <v>429</v>
      </c>
      <c r="BE130" s="327" t="e">
        <f ca="1">X197</f>
        <v>#DIV/0!</v>
      </c>
      <c r="BF130" s="327"/>
      <c r="BG130" s="327" t="e">
        <f ca="1">Y197</f>
        <v>#DIV/0!</v>
      </c>
      <c r="BH130" s="327" t="e">
        <f ca="1">Z197</f>
        <v>#DIV/0!</v>
      </c>
      <c r="BI130" s="327"/>
    </row>
    <row r="131" spans="1:61" ht="15" customHeight="1">
      <c r="A131" s="664" t="s">
        <v>529</v>
      </c>
      <c r="B131" s="595"/>
      <c r="C131" s="595"/>
      <c r="D131" s="595"/>
      <c r="E131" s="595"/>
      <c r="F131" s="595"/>
      <c r="G131" s="595"/>
      <c r="H131" s="672"/>
      <c r="I131" s="672"/>
      <c r="J131" s="673"/>
      <c r="K131" s="568"/>
      <c r="L131" s="312"/>
      <c r="M131" s="570">
        <f>13.6+13.6</f>
        <v>27.2</v>
      </c>
      <c r="N131" s="687">
        <v>23</v>
      </c>
      <c r="O131" s="687">
        <v>36</v>
      </c>
      <c r="P131" s="664">
        <f>N131*O131</f>
        <v>828</v>
      </c>
      <c r="Q131" s="733">
        <f>P131/(P$129+P$130+P$131)</f>
        <v>0.5</v>
      </c>
      <c r="R131" s="729" t="e">
        <f ca="1">K$128*Q131</f>
        <v>#DIV/0!</v>
      </c>
      <c r="S131" s="114" t="s">
        <v>110</v>
      </c>
      <c r="T131" s="115" t="s">
        <v>111</v>
      </c>
      <c r="U131" s="346" t="s">
        <v>240</v>
      </c>
      <c r="V131" s="156" t="s">
        <v>530</v>
      </c>
      <c r="W131" s="307" t="s">
        <v>230</v>
      </c>
      <c r="X131" s="199" t="e">
        <f ca="1">R208+R207</f>
        <v>#DIV/0!</v>
      </c>
      <c r="Y131" s="239" t="e">
        <f ca="1">(X131/$AI$10)*100</f>
        <v>#DIV/0!</v>
      </c>
      <c r="Z131" s="240" t="e">
        <f ca="1">X131+(Y131*$AI$7)/100</f>
        <v>#DIV/0!</v>
      </c>
      <c r="AA131" s="241"/>
      <c r="AB131" s="129" t="e">
        <f ca="1">Z131*Y$255</f>
        <v>#DIV/0!</v>
      </c>
      <c r="AC131" s="242" t="e">
        <f ca="1">AB128+AB130+AB131</f>
        <v>#DIV/0!</v>
      </c>
      <c r="AD131" s="243"/>
      <c r="AE131" s="245" t="s">
        <v>136</v>
      </c>
      <c r="AF131" s="245" t="s">
        <v>470</v>
      </c>
      <c r="AL131" s="161" t="s">
        <v>136</v>
      </c>
      <c r="AM131" s="102">
        <v>552003</v>
      </c>
      <c r="AN131" s="103" t="s">
        <v>54</v>
      </c>
      <c r="AO131" s="104" t="e">
        <f t="shared" ca="1" si="45"/>
        <v>#DIV/0!</v>
      </c>
      <c r="AP131" s="49"/>
      <c r="AR131" s="112" t="str">
        <f t="shared" si="35"/>
        <v xml:space="preserve"> MELTING I,C (NH 41)</v>
      </c>
      <c r="AS131" s="112" t="str">
        <f t="shared" si="32"/>
        <v>0451-61100</v>
      </c>
      <c r="AU131" s="108" t="e">
        <f t="shared" ca="1" si="27"/>
        <v>#DIV/0!</v>
      </c>
      <c r="AV131" s="7" t="s">
        <v>1</v>
      </c>
      <c r="AW131" s="7" t="s">
        <v>70</v>
      </c>
      <c r="BA131" s="326" t="s">
        <v>527</v>
      </c>
      <c r="BB131" s="326" t="s">
        <v>531</v>
      </c>
      <c r="BC131" s="326"/>
      <c r="BD131" s="326" t="s">
        <v>429</v>
      </c>
      <c r="BE131" s="327" t="e">
        <f ca="1">X198</f>
        <v>#DIV/0!</v>
      </c>
      <c r="BF131" s="327"/>
      <c r="BG131" s="327" t="e">
        <f t="shared" ref="BG131:BH132" ca="1" si="46">Y198</f>
        <v>#DIV/0!</v>
      </c>
      <c r="BH131" s="327" t="e">
        <f t="shared" ca="1" si="46"/>
        <v>#DIV/0!</v>
      </c>
      <c r="BI131" s="327"/>
    </row>
    <row r="132" spans="1:61" ht="15" customHeight="1">
      <c r="A132" s="775"/>
      <c r="B132" s="613"/>
      <c r="C132" s="595"/>
      <c r="D132" s="595"/>
      <c r="E132" s="595"/>
      <c r="F132" s="595"/>
      <c r="G132" s="595"/>
      <c r="H132" s="803"/>
      <c r="I132" s="803"/>
      <c r="J132" s="673"/>
      <c r="K132" s="568"/>
      <c r="L132" s="312"/>
      <c r="M132" s="705"/>
      <c r="N132" s="687"/>
      <c r="O132" s="687"/>
      <c r="P132" s="664"/>
      <c r="Q132" s="733"/>
      <c r="R132" s="729"/>
      <c r="S132" s="69"/>
      <c r="T132" s="159"/>
      <c r="U132" s="347" t="s">
        <v>471</v>
      </c>
      <c r="V132" s="319" t="s">
        <v>472</v>
      </c>
      <c r="W132" s="320" t="s">
        <v>429</v>
      </c>
      <c r="X132" s="321">
        <v>0</v>
      </c>
      <c r="Y132" s="151" t="e">
        <f t="shared" ref="Y132:Y175" ca="1" si="47">(X132/$AI$10)*100</f>
        <v>#DIV/0!</v>
      </c>
      <c r="Z132" s="169" t="e">
        <f t="shared" ref="Z132:Z201" ca="1" si="48">X132+(Y132*$AI$7)/100</f>
        <v>#DIV/0!</v>
      </c>
      <c r="AA132" s="180"/>
      <c r="AB132" s="110" t="e">
        <f t="shared" ref="AB132:AB195" ca="1" si="49">Z132*Y$255</f>
        <v>#DIV/0!</v>
      </c>
      <c r="AC132" s="181"/>
      <c r="AD132" s="182"/>
      <c r="AE132" s="245" t="s">
        <v>136</v>
      </c>
      <c r="AF132" s="245" t="s">
        <v>532</v>
      </c>
      <c r="AL132" s="13" t="s">
        <v>136</v>
      </c>
      <c r="AM132" s="102">
        <v>552003</v>
      </c>
      <c r="AN132" s="103" t="s">
        <v>54</v>
      </c>
      <c r="AO132" s="104" t="e">
        <f t="shared" ca="1" si="45"/>
        <v>#DIV/0!</v>
      </c>
      <c r="AP132" s="49"/>
      <c r="AR132" s="112" t="str">
        <f t="shared" si="35"/>
        <v xml:space="preserve"> DC 135T#1</v>
      </c>
      <c r="AS132" s="112" t="str">
        <f t="shared" si="32"/>
        <v>0451-62100</v>
      </c>
      <c r="AU132" s="108" t="e">
        <f t="shared" ca="1" si="27"/>
        <v>#DIV/0!</v>
      </c>
      <c r="AV132" s="7" t="s">
        <v>1</v>
      </c>
      <c r="AW132" s="7" t="s">
        <v>70</v>
      </c>
      <c r="BA132" s="326" t="s">
        <v>527</v>
      </c>
      <c r="BB132" s="326" t="s">
        <v>533</v>
      </c>
      <c r="BC132" s="326"/>
      <c r="BD132" s="326" t="s">
        <v>429</v>
      </c>
      <c r="BE132" s="327" t="e">
        <f ca="1">X199</f>
        <v>#DIV/0!</v>
      </c>
      <c r="BF132" s="327"/>
      <c r="BG132" s="327" t="e">
        <f t="shared" ca="1" si="46"/>
        <v>#DIV/0!</v>
      </c>
      <c r="BH132" s="327" t="e">
        <f t="shared" ca="1" si="46"/>
        <v>#DIV/0!</v>
      </c>
      <c r="BI132" s="327"/>
    </row>
    <row r="133" spans="1:61" ht="15" customHeight="1">
      <c r="A133" s="653" t="s">
        <v>534</v>
      </c>
      <c r="B133" s="757" t="s">
        <v>101</v>
      </c>
      <c r="C133" s="757">
        <v>1</v>
      </c>
      <c r="D133" s="654" t="s">
        <v>47</v>
      </c>
      <c r="E133" s="654"/>
      <c r="F133" s="654" t="s">
        <v>48</v>
      </c>
      <c r="G133" s="654" t="s">
        <v>49</v>
      </c>
      <c r="H133" s="655" cm="1">
        <f t="array" aca="1" ref="H133" ca="1">IFERROR(
    INDIRECT(
        "RawData!" &amp;
        ADDRESS(
            2,
            MATCH(
                TRIM(MID(A133, SEARCH(". ", A133) + 2, LEN(A133))) &amp; ".Import_kWh",
                RawData!$1:$1,
                0
            ),
            4
        )
    ),
    0
)</f>
        <v>0</v>
      </c>
      <c r="I133" s="655" cm="1">
        <f t="array" aca="1" ref="I133" ca="1">IFERROR(
    INDIRECT(
        "RawData!" &amp;
        ADDRESS(
            COUNTA(RawData!A:A),
            MATCH(
                TRIM(MID(A133, SEARCH(". ", A133) + 2, LEN(A133))) &amp; ".Import_kWh",
                RawData!$1:$1,
                0
            ),
            4
        )
    ),
    0
)</f>
        <v>0</v>
      </c>
      <c r="J133" s="656">
        <f ca="1">(I133-H133)*C133</f>
        <v>0</v>
      </c>
      <c r="K133" s="657" t="e">
        <f ca="1">J133*K$89/(J$90+J$98+J$111+J$117+J$133+J$136)</f>
        <v>#DIV/0!</v>
      </c>
      <c r="L133" s="658" t="e">
        <f ca="1">K133/J133</f>
        <v>#DIV/0!</v>
      </c>
      <c r="M133" s="807" t="e">
        <f ca="1">R134+R135</f>
        <v>#DIV/0!</v>
      </c>
      <c r="N133" s="790"/>
      <c r="O133" s="790"/>
      <c r="P133" s="791"/>
      <c r="Q133" s="792"/>
      <c r="R133" s="793"/>
      <c r="S133" s="69"/>
      <c r="T133" s="159"/>
      <c r="U133" s="348" t="s">
        <v>471</v>
      </c>
      <c r="V133" s="349" t="s">
        <v>474</v>
      </c>
      <c r="W133" s="350" t="s">
        <v>429</v>
      </c>
      <c r="X133" s="351">
        <v>0</v>
      </c>
      <c r="Y133" s="352" t="e">
        <f t="shared" ca="1" si="47"/>
        <v>#DIV/0!</v>
      </c>
      <c r="Z133" s="353" t="e">
        <f t="shared" ca="1" si="48"/>
        <v>#DIV/0!</v>
      </c>
      <c r="AA133" s="354" t="e">
        <f ca="1">Z132+Z133</f>
        <v>#DIV/0!</v>
      </c>
      <c r="AB133" s="355" t="e">
        <f t="shared" ca="1" si="49"/>
        <v>#DIV/0!</v>
      </c>
      <c r="AC133" s="356" t="e">
        <f ca="1">AB132+AB133</f>
        <v>#DIV/0!</v>
      </c>
      <c r="AD133" s="357"/>
      <c r="AE133" s="358" t="s">
        <v>136</v>
      </c>
      <c r="AF133" s="245" t="s">
        <v>532</v>
      </c>
      <c r="AL133" s="13" t="s">
        <v>136</v>
      </c>
      <c r="AM133" s="102">
        <v>552003</v>
      </c>
      <c r="AN133" s="103" t="s">
        <v>54</v>
      </c>
      <c r="AO133" s="104" t="e">
        <f t="shared" ca="1" si="45"/>
        <v>#DIV/0!</v>
      </c>
      <c r="AP133" s="49"/>
      <c r="AR133" s="112" t="str">
        <f t="shared" si="35"/>
        <v xml:space="preserve"> DC 135T#3</v>
      </c>
      <c r="AS133" s="112" t="str">
        <f t="shared" si="32"/>
        <v>0451-62100</v>
      </c>
      <c r="AU133" s="108" t="e">
        <f t="shared" ca="1" si="27"/>
        <v>#DIV/0!</v>
      </c>
      <c r="AV133" s="7" t="s">
        <v>1</v>
      </c>
      <c r="AW133" s="7" t="s">
        <v>70</v>
      </c>
      <c r="BA133" s="326" t="s">
        <v>527</v>
      </c>
      <c r="BB133" s="326" t="s">
        <v>535</v>
      </c>
      <c r="BC133" s="326"/>
      <c r="BD133" s="326" t="s">
        <v>429</v>
      </c>
      <c r="BE133" s="327">
        <f ca="1">X201</f>
        <v>0</v>
      </c>
      <c r="BF133" s="327"/>
      <c r="BG133" s="327"/>
      <c r="BH133" s="327" t="e">
        <f ca="1">Z201</f>
        <v>#DIV/0!</v>
      </c>
      <c r="BI133" s="327"/>
    </row>
    <row r="134" spans="1:61" ht="15" customHeight="1">
      <c r="A134" s="555" t="s">
        <v>536</v>
      </c>
      <c r="B134" s="613"/>
      <c r="C134" s="613"/>
      <c r="D134" s="613"/>
      <c r="E134" s="613"/>
      <c r="F134" s="613"/>
      <c r="G134" s="613"/>
      <c r="H134" s="594"/>
      <c r="I134" s="594"/>
      <c r="J134" s="673"/>
      <c r="K134" s="568"/>
      <c r="L134" s="801"/>
      <c r="M134" s="705">
        <f>20+20+20+0.05+5.18+0.11+2.79</f>
        <v>68.13</v>
      </c>
      <c r="N134" s="687"/>
      <c r="O134" s="687"/>
      <c r="P134" s="689">
        <f>M134*O134</f>
        <v>0</v>
      </c>
      <c r="Q134" s="813">
        <f>P134/(P$134+P$135)</f>
        <v>0</v>
      </c>
      <c r="R134" s="729" t="e">
        <f ca="1">Q134*K$133</f>
        <v>#DIV/0!</v>
      </c>
      <c r="S134" s="114" t="s">
        <v>365</v>
      </c>
      <c r="T134" s="115" t="s">
        <v>366</v>
      </c>
      <c r="U134" s="359" t="s">
        <v>537</v>
      </c>
      <c r="V134" s="156" t="s">
        <v>538</v>
      </c>
      <c r="W134" s="307" t="s">
        <v>440</v>
      </c>
      <c r="X134" s="199" t="e">
        <f ca="1">R335</f>
        <v>#DIV/0!</v>
      </c>
      <c r="Y134" s="360" t="e">
        <f t="shared" ca="1" si="47"/>
        <v>#DIV/0!</v>
      </c>
      <c r="Z134" s="361" t="e">
        <f t="shared" ca="1" si="48"/>
        <v>#DIV/0!</v>
      </c>
      <c r="AA134" s="180"/>
      <c r="AB134" s="110" t="e">
        <f t="shared" ca="1" si="49"/>
        <v>#DIV/0!</v>
      </c>
      <c r="AC134" s="324"/>
      <c r="AD134" s="325"/>
      <c r="AE134" s="245" t="s">
        <v>136</v>
      </c>
      <c r="AF134" s="245" t="s">
        <v>440</v>
      </c>
      <c r="AL134" s="13" t="s">
        <v>136</v>
      </c>
      <c r="AM134" s="102">
        <v>552003</v>
      </c>
      <c r="AN134" s="103" t="s">
        <v>54</v>
      </c>
      <c r="AO134" s="104" t="e">
        <f t="shared" ca="1" si="45"/>
        <v>#DIV/0!</v>
      </c>
      <c r="AP134" s="49"/>
      <c r="AR134" s="112" t="str">
        <f t="shared" si="35"/>
        <v xml:space="preserve"> DC 250T#1</v>
      </c>
      <c r="AS134" s="112" t="str">
        <f t="shared" si="32"/>
        <v>0451-622B0</v>
      </c>
      <c r="AU134" s="108" t="e">
        <f t="shared" ca="1" si="27"/>
        <v>#DIV/0!</v>
      </c>
      <c r="AV134" s="7" t="s">
        <v>1</v>
      </c>
      <c r="AW134" s="7" t="s">
        <v>70</v>
      </c>
      <c r="BA134" s="326" t="s">
        <v>527</v>
      </c>
      <c r="BB134" s="326" t="s">
        <v>539</v>
      </c>
      <c r="BC134" s="326"/>
      <c r="BD134" s="326" t="s">
        <v>429</v>
      </c>
      <c r="BE134" s="327">
        <f t="shared" ref="BE134:BE135" ca="1" si="50">X202</f>
        <v>0</v>
      </c>
      <c r="BF134" s="327"/>
      <c r="BG134" s="327"/>
      <c r="BH134" s="327" t="e">
        <f t="shared" ref="BH134:BH135" ca="1" si="51">Z202</f>
        <v>#DIV/0!</v>
      </c>
      <c r="BI134" s="327"/>
    </row>
    <row r="135" spans="1:61" ht="15" customHeight="1">
      <c r="A135" s="555" t="s">
        <v>161</v>
      </c>
      <c r="B135" s="814"/>
      <c r="C135" s="595"/>
      <c r="D135" s="595"/>
      <c r="E135" s="595"/>
      <c r="F135" s="595"/>
      <c r="G135" s="595"/>
      <c r="H135" s="672"/>
      <c r="I135" s="672"/>
      <c r="J135" s="673"/>
      <c r="K135" s="568"/>
      <c r="L135" s="312"/>
      <c r="M135" s="472">
        <f>20+0.08</f>
        <v>20.079999999999998</v>
      </c>
      <c r="N135" s="702">
        <v>1</v>
      </c>
      <c r="O135" s="702">
        <v>1</v>
      </c>
      <c r="P135" s="689">
        <f>M135*O135</f>
        <v>20.079999999999998</v>
      </c>
      <c r="Q135" s="813">
        <f>P135/(P$134+P$135)</f>
        <v>1</v>
      </c>
      <c r="R135" s="729" t="e">
        <f ca="1">Q135*K$133</f>
        <v>#DIV/0!</v>
      </c>
      <c r="S135" s="114" t="s">
        <v>162</v>
      </c>
      <c r="T135" s="115" t="s">
        <v>163</v>
      </c>
      <c r="U135" s="359" t="s">
        <v>465</v>
      </c>
      <c r="V135" s="166" t="s">
        <v>466</v>
      </c>
      <c r="W135" s="307" t="s">
        <v>429</v>
      </c>
      <c r="X135" s="199">
        <f>R613</f>
        <v>0</v>
      </c>
      <c r="Y135" s="151" t="e">
        <f t="shared" ca="1" si="47"/>
        <v>#DIV/0!</v>
      </c>
      <c r="Z135" s="169" t="e">
        <f t="shared" ca="1" si="48"/>
        <v>#DIV/0!</v>
      </c>
      <c r="AA135" s="180"/>
      <c r="AB135" s="110" t="e">
        <f t="shared" ca="1" si="49"/>
        <v>#DIV/0!</v>
      </c>
      <c r="AC135" s="181"/>
      <c r="AD135" s="182"/>
      <c r="AE135" s="245" t="s">
        <v>136</v>
      </c>
      <c r="AF135" s="245" t="s">
        <v>532</v>
      </c>
      <c r="AL135" s="13" t="s">
        <v>136</v>
      </c>
      <c r="AM135" s="102">
        <v>552003</v>
      </c>
      <c r="AN135" s="103" t="s">
        <v>54</v>
      </c>
      <c r="AO135" s="104" t="e">
        <f t="shared" ca="1" si="45"/>
        <v>#DIV/0!</v>
      </c>
      <c r="AP135" s="49"/>
      <c r="AR135" s="112" t="str">
        <f t="shared" si="35"/>
        <v xml:space="preserve"> DC 250T#3</v>
      </c>
      <c r="AS135" s="112" t="str">
        <f t="shared" si="32"/>
        <v>0451-622A0</v>
      </c>
      <c r="AU135" s="108" t="e">
        <f t="shared" ca="1" si="27"/>
        <v>#DIV/0!</v>
      </c>
      <c r="AV135" s="7" t="s">
        <v>1</v>
      </c>
      <c r="AW135" s="7" t="s">
        <v>70</v>
      </c>
      <c r="BA135" s="326" t="s">
        <v>527</v>
      </c>
      <c r="BB135" s="326" t="s">
        <v>540</v>
      </c>
      <c r="BC135" s="326"/>
      <c r="BD135" s="326" t="s">
        <v>429</v>
      </c>
      <c r="BE135" s="327">
        <f t="shared" ca="1" si="50"/>
        <v>0</v>
      </c>
      <c r="BF135" s="327"/>
      <c r="BG135" s="327"/>
      <c r="BH135" s="327" t="e">
        <f t="shared" ca="1" si="51"/>
        <v>#DIV/0!</v>
      </c>
      <c r="BI135" s="327"/>
    </row>
    <row r="136" spans="1:61" ht="15" customHeight="1">
      <c r="A136" s="653" t="s">
        <v>1164</v>
      </c>
      <c r="B136" s="757"/>
      <c r="C136" s="757">
        <v>1</v>
      </c>
      <c r="D136" s="654" t="s">
        <v>47</v>
      </c>
      <c r="E136" s="654"/>
      <c r="F136" s="654" t="s">
        <v>48</v>
      </c>
      <c r="G136" s="654" t="s">
        <v>49</v>
      </c>
      <c r="H136" s="655" cm="1">
        <f t="array" aca="1" ref="H136" ca="1">IFERROR(
    INDIRECT(
        "RawData!" &amp;
        ADDRESS(
            2,
            MATCH(
                TRIM(MID(A136, SEARCH(". ", A136) + 2, LEN(A136))) &amp; ".Import_kWh",
                RawData!$1:$1,
                0
            ),
            4
        )
    ),
    0
)</f>
        <v>0</v>
      </c>
      <c r="I136" s="655" cm="1">
        <f t="array" aca="1" ref="I136" ca="1">IFERROR(
    INDIRECT(
        "RawData!" &amp;
        ADDRESS(
            COUNTA(RawData!A:A),
            MATCH(
                TRIM(MID(A136, SEARCH(". ", A136) + 2, LEN(A136))) &amp; ".Import_kWh",
                RawData!$1:$1,
                0
            ),
            4
        )
    ),
    0
)</f>
        <v>0</v>
      </c>
      <c r="J136" s="656">
        <f ca="1">(I136-H136)*C136</f>
        <v>0</v>
      </c>
      <c r="K136" s="657" t="e">
        <f ca="1">J136*K$89/(J$90+J$98+J$111+J$117+J$133+J$136)</f>
        <v>#DIV/0!</v>
      </c>
      <c r="L136" s="658" t="e">
        <f ca="1">K136/J136</f>
        <v>#DIV/0!</v>
      </c>
      <c r="M136" s="815"/>
      <c r="N136" s="790"/>
      <c r="O136" s="790"/>
      <c r="P136" s="791"/>
      <c r="Q136" s="792"/>
      <c r="R136" s="793" t="e">
        <f ca="1">K136</f>
        <v>#DIV/0!</v>
      </c>
      <c r="S136" s="231" t="s">
        <v>51</v>
      </c>
      <c r="T136" s="159"/>
      <c r="U136" s="359" t="s">
        <v>537</v>
      </c>
      <c r="V136" s="166" t="s">
        <v>541</v>
      </c>
      <c r="W136" s="307" t="s">
        <v>440</v>
      </c>
      <c r="X136" s="199" t="e">
        <f ca="1">R372</f>
        <v>#DIV/0!</v>
      </c>
      <c r="Y136" s="151" t="e">
        <f t="shared" ca="1" si="47"/>
        <v>#DIV/0!</v>
      </c>
      <c r="Z136" s="169" t="e">
        <f t="shared" ca="1" si="48"/>
        <v>#DIV/0!</v>
      </c>
      <c r="AA136" s="180"/>
      <c r="AB136" s="110" t="e">
        <f t="shared" ca="1" si="49"/>
        <v>#DIV/0!</v>
      </c>
      <c r="AC136" s="181"/>
      <c r="AD136" s="182"/>
      <c r="AE136" s="245" t="s">
        <v>136</v>
      </c>
      <c r="AF136" s="245" t="s">
        <v>440</v>
      </c>
      <c r="AL136" s="13" t="s">
        <v>136</v>
      </c>
      <c r="AM136" s="102">
        <v>552003</v>
      </c>
      <c r="AN136" s="103" t="s">
        <v>54</v>
      </c>
      <c r="AO136" s="104" t="e">
        <f t="shared" ca="1" si="45"/>
        <v>#DIV/0!</v>
      </c>
      <c r="AP136" s="49"/>
      <c r="AR136" s="112" t="str">
        <f t="shared" si="35"/>
        <v xml:space="preserve"> DC 250T#5</v>
      </c>
      <c r="AS136" s="112" t="str">
        <f t="shared" si="32"/>
        <v>0451-622B0</v>
      </c>
      <c r="AU136" s="108" t="e">
        <f t="shared" ca="1" si="27"/>
        <v>#DIV/0!</v>
      </c>
      <c r="AV136" s="7" t="s">
        <v>1</v>
      </c>
      <c r="AW136" s="7" t="s">
        <v>70</v>
      </c>
      <c r="BA136" s="326" t="s">
        <v>542</v>
      </c>
      <c r="BB136" s="326" t="s">
        <v>543</v>
      </c>
      <c r="BC136" s="326"/>
      <c r="BD136" s="326" t="s">
        <v>429</v>
      </c>
      <c r="BE136" s="327">
        <v>0</v>
      </c>
      <c r="BF136" s="327"/>
      <c r="BG136" s="327">
        <v>0</v>
      </c>
      <c r="BH136" s="327">
        <v>0</v>
      </c>
      <c r="BI136" s="327"/>
    </row>
    <row r="137" spans="1:61" ht="15" customHeight="1">
      <c r="A137" s="664"/>
      <c r="B137" s="613"/>
      <c r="C137" s="613"/>
      <c r="D137" s="613"/>
      <c r="E137" s="613"/>
      <c r="F137" s="613"/>
      <c r="G137" s="613"/>
      <c r="H137" s="762"/>
      <c r="I137" s="762"/>
      <c r="J137" s="673"/>
      <c r="K137" s="568"/>
      <c r="L137" s="312"/>
      <c r="M137" s="816"/>
      <c r="N137" s="727"/>
      <c r="O137" s="727"/>
      <c r="P137" s="732"/>
      <c r="Q137" s="728"/>
      <c r="R137" s="729"/>
      <c r="S137" s="69"/>
      <c r="T137" s="159"/>
      <c r="U137" s="362" t="s">
        <v>537</v>
      </c>
      <c r="V137" s="254" t="s">
        <v>544</v>
      </c>
      <c r="W137" s="315" t="s">
        <v>440</v>
      </c>
      <c r="X137" s="238" t="e">
        <f ca="1">R371</f>
        <v>#DIV/0!</v>
      </c>
      <c r="Y137" s="239" t="e">
        <f t="shared" ca="1" si="47"/>
        <v>#DIV/0!</v>
      </c>
      <c r="Z137" s="240" t="e">
        <f t="shared" ca="1" si="48"/>
        <v>#DIV/0!</v>
      </c>
      <c r="AA137" s="241" t="e">
        <f ca="1">Z134+Z135+Z136+Z137</f>
        <v>#DIV/0!</v>
      </c>
      <c r="AB137" s="129" t="e">
        <f t="shared" ca="1" si="49"/>
        <v>#DIV/0!</v>
      </c>
      <c r="AC137" s="242" t="e">
        <f ca="1">AB134+AB135+AB136+AB137</f>
        <v>#DIV/0!</v>
      </c>
      <c r="AD137" s="243"/>
      <c r="AE137" s="245" t="s">
        <v>136</v>
      </c>
      <c r="AF137" s="245" t="s">
        <v>440</v>
      </c>
      <c r="AL137" s="13" t="s">
        <v>136</v>
      </c>
      <c r="AM137" s="102">
        <v>552003</v>
      </c>
      <c r="AN137" s="103" t="s">
        <v>54</v>
      </c>
      <c r="AO137" s="104" t="e">
        <f t="shared" ca="1" si="45"/>
        <v>#DIV/0!</v>
      </c>
      <c r="AP137" s="49"/>
      <c r="AR137" s="112" t="str">
        <f t="shared" si="35"/>
        <v xml:space="preserve"> DC 250T#6</v>
      </c>
      <c r="AS137" s="112" t="str">
        <f t="shared" si="32"/>
        <v>0451-622B0</v>
      </c>
      <c r="AU137" s="108" t="e">
        <f t="shared" ca="1" si="27"/>
        <v>#DIV/0!</v>
      </c>
      <c r="AV137" s="7" t="s">
        <v>1</v>
      </c>
      <c r="AW137" s="7" t="s">
        <v>70</v>
      </c>
      <c r="BA137" s="363"/>
      <c r="BB137" s="363"/>
      <c r="BC137" s="363"/>
      <c r="BD137" s="363"/>
      <c r="BE137" s="364"/>
      <c r="BF137" s="364"/>
      <c r="BG137" s="364"/>
      <c r="BH137" s="203" t="e">
        <f ca="1">SUM(BH104:BH136)</f>
        <v>#DIV/0!</v>
      </c>
      <c r="BI137" s="364"/>
    </row>
    <row r="138" spans="1:61" ht="15" customHeight="1">
      <c r="A138" s="642" t="s">
        <v>1165</v>
      </c>
      <c r="B138" s="817" t="s">
        <v>545</v>
      </c>
      <c r="C138" s="818">
        <v>1</v>
      </c>
      <c r="D138" s="786" t="s">
        <v>47</v>
      </c>
      <c r="E138" s="786"/>
      <c r="F138" s="786" t="s">
        <v>48</v>
      </c>
      <c r="G138" s="786" t="s">
        <v>49</v>
      </c>
      <c r="H138" s="1184" cm="1">
        <f t="array" aca="1" ref="H138" ca="1">IFERROR(
    INDIRECT(
        "RawData!" &amp;
        ADDRESS(
            2,
            MATCH(
                TRIM(MID(A138, SEARCH(". ", A138) + 2, LEN(A138))) &amp; ".Import_kWh",
                RawData!$1:$1,
                0
            ),
            4
        )
    ),
    0
)</f>
        <v>0</v>
      </c>
      <c r="I138" s="1184" cm="1">
        <f t="array" aca="1" ref="I138" ca="1">IFERROR(
    INDIRECT(
        "RawData!" &amp;
        ADDRESS(
            COUNTA(RawData!A:A),
            MATCH(
                TRIM(MID(A138, SEARCH(". ", A138) + 2, LEN(A138))) &amp; ".Import_kWh",
                RawData!$1:$1,
                0
            ),
            4
        )
    ),
    0
)</f>
        <v>0</v>
      </c>
      <c r="J138" s="646">
        <f ca="1">(I138-H138)*C138</f>
        <v>0</v>
      </c>
      <c r="K138" s="647" t="e">
        <f ca="1">J138*J$777/(J$5+J$65+J$72+J$81+J$89+J$138+J$212+J$285+J$306+J$373+J$388+J$396+J$397+J$450+J$463+J$471+J$513+J$564+J$603+J$646)</f>
        <v>#DIV/0!</v>
      </c>
      <c r="L138" s="648" t="e">
        <f ca="1">K138/J138</f>
        <v>#DIV/0!</v>
      </c>
      <c r="M138" s="649" t="e">
        <f ca="1">SUM(R141:R211)</f>
        <v>#DIV/0!</v>
      </c>
      <c r="N138" s="819"/>
      <c r="O138" s="819"/>
      <c r="P138" s="820"/>
      <c r="Q138" s="821"/>
      <c r="R138" s="822"/>
      <c r="S138" s="69"/>
      <c r="T138" s="159"/>
      <c r="U138" s="359" t="s">
        <v>546</v>
      </c>
      <c r="V138" s="156" t="s">
        <v>547</v>
      </c>
      <c r="W138" s="307" t="s">
        <v>440</v>
      </c>
      <c r="X138" s="199" t="e">
        <f ca="1">R365</f>
        <v>#DIV/0!</v>
      </c>
      <c r="Y138" s="151" t="e">
        <f t="shared" ca="1" si="47"/>
        <v>#DIV/0!</v>
      </c>
      <c r="Z138" s="169" t="e">
        <f t="shared" ca="1" si="48"/>
        <v>#DIV/0!</v>
      </c>
      <c r="AA138" s="180"/>
      <c r="AB138" s="110" t="e">
        <f t="shared" ca="1" si="49"/>
        <v>#DIV/0!</v>
      </c>
      <c r="AC138" s="261"/>
      <c r="AD138" s="182"/>
      <c r="AE138" s="245" t="s">
        <v>136</v>
      </c>
      <c r="AF138" s="245" t="s">
        <v>440</v>
      </c>
      <c r="AL138" s="13" t="s">
        <v>136</v>
      </c>
      <c r="AM138" s="102">
        <v>552003</v>
      </c>
      <c r="AN138" s="103" t="s">
        <v>54</v>
      </c>
      <c r="AO138" s="104" t="e">
        <f t="shared" ca="1" si="45"/>
        <v>#DIV/0!</v>
      </c>
      <c r="AP138" s="49"/>
      <c r="AR138" s="112" t="str">
        <f t="shared" si="35"/>
        <v xml:space="preserve"> DC 350T#1</v>
      </c>
      <c r="AS138" s="112" t="str">
        <f t="shared" si="32"/>
        <v>0451-623B0</v>
      </c>
      <c r="AU138" s="108" t="e">
        <f t="shared" ca="1" si="27"/>
        <v>#DIV/0!</v>
      </c>
      <c r="AV138" s="7" t="s">
        <v>1</v>
      </c>
      <c r="AW138" s="7" t="s">
        <v>70</v>
      </c>
      <c r="BA138" s="48" t="s">
        <v>164</v>
      </c>
      <c r="BB138" s="365" t="s">
        <v>165</v>
      </c>
      <c r="BC138" s="365"/>
      <c r="BD138" s="365" t="s">
        <v>114</v>
      </c>
      <c r="BE138" s="113" t="e">
        <f ca="1">X26</f>
        <v>#DIV/0!</v>
      </c>
      <c r="BF138" s="113"/>
      <c r="BG138" s="113" t="e">
        <f ca="1">Y26</f>
        <v>#DIV/0!</v>
      </c>
      <c r="BH138" s="113" t="e">
        <f ca="1">Z26</f>
        <v>#DIV/0!</v>
      </c>
      <c r="BI138" s="113"/>
    </row>
    <row r="139" spans="1:61" ht="15" customHeight="1">
      <c r="A139" s="678" t="s">
        <v>548</v>
      </c>
      <c r="B139" s="823" t="s">
        <v>64</v>
      </c>
      <c r="C139" s="754">
        <v>1</v>
      </c>
      <c r="D139" s="654" t="s">
        <v>47</v>
      </c>
      <c r="E139" s="654"/>
      <c r="F139" s="654" t="s">
        <v>48</v>
      </c>
      <c r="G139" s="654" t="s">
        <v>49</v>
      </c>
      <c r="H139" s="655" cm="1">
        <f t="array" aca="1" ref="H139" ca="1">IFERROR(
    INDIRECT(
        "RawData!" &amp;
        ADDRESS(
            2,
            MATCH(
                TRIM(MID(A139, SEARCH(". ", A139) + 2, LEN(A139))) &amp; ".Import_kWh",
                RawData!$1:$1,
                0
            ),
            4
        )
    ),
    0
)</f>
        <v>0</v>
      </c>
      <c r="I139" s="655" cm="1">
        <f t="array" aca="1" ref="I139" ca="1">IFERROR(
    INDIRECT(
        "RawData!" &amp;
        ADDRESS(
            COUNTA(RawData!A:A),
            MATCH(
                TRIM(MID(A139, SEARCH(". ", A139) + 2, LEN(A139))) &amp; ".Import_kWh",
                RawData!$1:$1,
                0
            ),
            4
        )
    ),
    0
)</f>
        <v>0</v>
      </c>
      <c r="J139" s="680">
        <f ca="1">(I139-H139)*C139</f>
        <v>0</v>
      </c>
      <c r="K139" s="824" t="e">
        <f ca="1">J139*K$138/(J$139+J$147+J$160+J$183+J$187+J$190+J$202+J$210)</f>
        <v>#DIV/0!</v>
      </c>
      <c r="L139" s="681" t="e">
        <f ca="1">K139/J139</f>
        <v>#DIV/0!</v>
      </c>
      <c r="M139" s="718" t="e">
        <f ca="1">R141+R146+R145+R144</f>
        <v>#DIV/0!</v>
      </c>
      <c r="N139" s="719"/>
      <c r="O139" s="719"/>
      <c r="P139" s="720"/>
      <c r="Q139" s="756"/>
      <c r="R139" s="722"/>
      <c r="S139" s="69"/>
      <c r="T139" s="159"/>
      <c r="U139" s="359" t="s">
        <v>546</v>
      </c>
      <c r="V139" s="156" t="s">
        <v>549</v>
      </c>
      <c r="W139" s="307" t="s">
        <v>440</v>
      </c>
      <c r="X139" s="199" t="e">
        <f ca="1">R410</f>
        <v>#DIV/0!</v>
      </c>
      <c r="Y139" s="151" t="e">
        <f t="shared" ca="1" si="47"/>
        <v>#DIV/0!</v>
      </c>
      <c r="Z139" s="169" t="e">
        <f t="shared" ca="1" si="48"/>
        <v>#DIV/0!</v>
      </c>
      <c r="AA139" s="180"/>
      <c r="AB139" s="110" t="e">
        <f t="shared" ca="1" si="49"/>
        <v>#DIV/0!</v>
      </c>
      <c r="AC139" s="261"/>
      <c r="AD139" s="366"/>
      <c r="AE139" s="245" t="s">
        <v>136</v>
      </c>
      <c r="AF139" s="245" t="s">
        <v>440</v>
      </c>
      <c r="AL139" s="13" t="s">
        <v>136</v>
      </c>
      <c r="AM139" s="102">
        <v>552003</v>
      </c>
      <c r="AN139" s="103" t="s">
        <v>54</v>
      </c>
      <c r="AO139" s="104" t="e">
        <f t="shared" ca="1" si="45"/>
        <v>#DIV/0!</v>
      </c>
      <c r="AP139" s="49"/>
      <c r="AR139" s="112" t="str">
        <f t="shared" si="35"/>
        <v xml:space="preserve"> DC 350T#2</v>
      </c>
      <c r="AS139" s="112" t="str">
        <f t="shared" si="32"/>
        <v>0451-623B0</v>
      </c>
      <c r="AU139" s="108" t="e">
        <f t="shared" ca="1" si="27"/>
        <v>#DIV/0!</v>
      </c>
      <c r="AV139" s="7" t="s">
        <v>1</v>
      </c>
      <c r="AW139" s="7" t="s">
        <v>70</v>
      </c>
      <c r="BA139" s="48" t="s">
        <v>550</v>
      </c>
      <c r="BB139" s="365" t="s">
        <v>551</v>
      </c>
      <c r="BC139" s="365"/>
      <c r="BD139" s="365" t="s">
        <v>114</v>
      </c>
      <c r="BE139" s="113" t="e">
        <f ca="1">X27</f>
        <v>#DIV/0!</v>
      </c>
      <c r="BF139" s="113"/>
      <c r="BG139" s="113" t="e">
        <f t="shared" ref="BG139:BH154" ca="1" si="52">Y27</f>
        <v>#DIV/0!</v>
      </c>
      <c r="BH139" s="113" t="e">
        <f t="shared" ca="1" si="52"/>
        <v>#DIV/0!</v>
      </c>
      <c r="BI139" s="113"/>
    </row>
    <row r="140" spans="1:61" ht="15" customHeight="1">
      <c r="A140" s="664" t="s">
        <v>552</v>
      </c>
      <c r="B140" s="613" t="s">
        <v>185</v>
      </c>
      <c r="C140" s="613">
        <v>1</v>
      </c>
      <c r="D140" s="595" t="s">
        <v>47</v>
      </c>
      <c r="E140" s="595"/>
      <c r="F140" s="595" t="s">
        <v>48</v>
      </c>
      <c r="G140" s="595" t="s">
        <v>49</v>
      </c>
      <c r="H140" s="665" cm="1">
        <f t="array" aca="1" ref="H140" ca="1">IFERROR(
    INDIRECT(
        "RawData!" &amp;
        ADDRESS(
            2,
            MATCH(
                TRIM(MID(A140, SEARCH(". ", A140) + 2, LEN(A140))) &amp; ".Import_kWh",
                RawData!$1:$1,
                0
            ),
            4
        )
    ),
    0
)</f>
        <v>0</v>
      </c>
      <c r="I140" s="665" cm="1">
        <f t="array" aca="1" ref="I140" ca="1">IFERROR(
    INDIRECT(
        "RawData!" &amp;
        ADDRESS(
            COUNTA(RawData!A:A),
            MATCH(
                TRIM(MID(A140, SEARCH(". ", A140) + 2, LEN(A140))) &amp; ".Import_kWh",
                RawData!$1:$1,
                0
            ),
            4
        )
    ),
    0
)</f>
        <v>0</v>
      </c>
      <c r="J140" s="666">
        <f ca="1">(I140-H140)*C140</f>
        <v>0</v>
      </c>
      <c r="K140" s="688">
        <f ca="1">J140</f>
        <v>0</v>
      </c>
      <c r="L140" s="312" t="e">
        <f ca="1">K140/J140</f>
        <v>#DIV/0!</v>
      </c>
      <c r="M140" s="825">
        <f ca="1">R141</f>
        <v>0</v>
      </c>
      <c r="N140" s="727"/>
      <c r="O140" s="727"/>
      <c r="P140" s="664"/>
      <c r="Q140" s="733"/>
      <c r="R140" s="729"/>
      <c r="S140" s="69"/>
      <c r="T140" s="159"/>
      <c r="U140" s="359" t="s">
        <v>546</v>
      </c>
      <c r="V140" s="156" t="s">
        <v>553</v>
      </c>
      <c r="W140" s="307" t="s">
        <v>440</v>
      </c>
      <c r="X140" s="199" t="e">
        <f ca="1">R359</f>
        <v>#DIV/0!</v>
      </c>
      <c r="Y140" s="151" t="e">
        <f t="shared" ca="1" si="47"/>
        <v>#DIV/0!</v>
      </c>
      <c r="Z140" s="169" t="e">
        <f t="shared" ca="1" si="48"/>
        <v>#DIV/0!</v>
      </c>
      <c r="AA140" s="180"/>
      <c r="AB140" s="110" t="e">
        <f t="shared" ca="1" si="49"/>
        <v>#DIV/0!</v>
      </c>
      <c r="AC140" s="181"/>
      <c r="AD140" s="182"/>
      <c r="AE140" s="245" t="s">
        <v>136</v>
      </c>
      <c r="AF140" s="245" t="s">
        <v>440</v>
      </c>
      <c r="AL140" s="13" t="s">
        <v>136</v>
      </c>
      <c r="AM140" s="102">
        <v>552003</v>
      </c>
      <c r="AN140" s="103" t="s">
        <v>54</v>
      </c>
      <c r="AO140" s="104" t="e">
        <f t="shared" ca="1" si="45"/>
        <v>#DIV/0!</v>
      </c>
      <c r="AP140" s="49"/>
      <c r="AR140" s="112" t="str">
        <f t="shared" si="35"/>
        <v xml:space="preserve"> DC 350T#3</v>
      </c>
      <c r="AS140" s="112" t="str">
        <f t="shared" si="32"/>
        <v>0451-623B0</v>
      </c>
      <c r="AU140" s="108" t="e">
        <f t="shared" ca="1" si="27"/>
        <v>#DIV/0!</v>
      </c>
      <c r="AV140" s="7" t="s">
        <v>1</v>
      </c>
      <c r="AW140" s="7" t="s">
        <v>70</v>
      </c>
      <c r="BA140" s="48" t="s">
        <v>177</v>
      </c>
      <c r="BB140" s="365" t="s">
        <v>178</v>
      </c>
      <c r="BC140" s="365"/>
      <c r="BD140" s="365" t="s">
        <v>114</v>
      </c>
      <c r="BE140" s="113">
        <f ca="1">X28</f>
        <v>0</v>
      </c>
      <c r="BF140" s="113"/>
      <c r="BG140" s="113" t="e">
        <f t="shared" ca="1" si="52"/>
        <v>#DIV/0!</v>
      </c>
      <c r="BH140" s="113" t="e">
        <f t="shared" ca="1" si="52"/>
        <v>#DIV/0!</v>
      </c>
      <c r="BI140" s="113"/>
    </row>
    <row r="141" spans="1:61" ht="15" customHeight="1">
      <c r="A141" s="664" t="s">
        <v>554</v>
      </c>
      <c r="B141" s="734"/>
      <c r="C141" s="613"/>
      <c r="D141" s="613"/>
      <c r="E141" s="613"/>
      <c r="F141" s="613"/>
      <c r="G141" s="613"/>
      <c r="H141" s="762"/>
      <c r="I141" s="762"/>
      <c r="J141" s="673"/>
      <c r="K141" s="568"/>
      <c r="L141" s="312"/>
      <c r="M141" s="781">
        <f>23.92+20+5.46</f>
        <v>49.38</v>
      </c>
      <c r="N141" s="727">
        <v>0</v>
      </c>
      <c r="O141" s="727">
        <v>0</v>
      </c>
      <c r="P141" s="732">
        <f>M141*O141</f>
        <v>0</v>
      </c>
      <c r="Q141" s="733">
        <f>P141/(P$142+P$141)</f>
        <v>0</v>
      </c>
      <c r="R141" s="729">
        <f ca="1">Q141*K$140</f>
        <v>0</v>
      </c>
      <c r="S141" s="114" t="s">
        <v>255</v>
      </c>
      <c r="T141" s="115" t="s">
        <v>256</v>
      </c>
      <c r="U141" s="359" t="s">
        <v>546</v>
      </c>
      <c r="V141" s="156" t="s">
        <v>555</v>
      </c>
      <c r="W141" s="307" t="s">
        <v>440</v>
      </c>
      <c r="X141" s="199" t="e">
        <f ca="1">R446</f>
        <v>#DIV/0!</v>
      </c>
      <c r="Y141" s="151" t="e">
        <f t="shared" ca="1" si="47"/>
        <v>#DIV/0!</v>
      </c>
      <c r="Z141" s="169" t="e">
        <f t="shared" ca="1" si="48"/>
        <v>#DIV/0!</v>
      </c>
      <c r="AA141" s="180"/>
      <c r="AB141" s="110" t="e">
        <f t="shared" ca="1" si="49"/>
        <v>#DIV/0!</v>
      </c>
      <c r="AC141" s="181"/>
      <c r="AD141" s="182"/>
      <c r="AE141" s="245" t="s">
        <v>136</v>
      </c>
      <c r="AF141" s="245" t="s">
        <v>440</v>
      </c>
      <c r="AL141" s="13" t="s">
        <v>136</v>
      </c>
      <c r="AM141" s="102">
        <v>552003</v>
      </c>
      <c r="AN141" s="103" t="s">
        <v>54</v>
      </c>
      <c r="AO141" s="104" t="e">
        <f t="shared" ca="1" si="45"/>
        <v>#DIV/0!</v>
      </c>
      <c r="AP141" s="49"/>
      <c r="AR141" s="112" t="str">
        <f t="shared" si="35"/>
        <v xml:space="preserve"> DC 350T#5</v>
      </c>
      <c r="AS141" s="112" t="str">
        <f t="shared" si="32"/>
        <v>0451-623B0</v>
      </c>
      <c r="AU141" s="108" t="e">
        <f t="shared" ca="1" si="27"/>
        <v>#DIV/0!</v>
      </c>
      <c r="AV141" s="7" t="s">
        <v>1</v>
      </c>
      <c r="AW141" s="7" t="s">
        <v>70</v>
      </c>
      <c r="BA141" s="48" t="s">
        <v>181</v>
      </c>
      <c r="BB141" s="365" t="s">
        <v>182</v>
      </c>
      <c r="BC141" s="365"/>
      <c r="BD141" s="365" t="s">
        <v>114</v>
      </c>
      <c r="BE141" s="113" t="e">
        <f ca="1">X29</f>
        <v>#DIV/0!</v>
      </c>
      <c r="BF141" s="113"/>
      <c r="BG141" s="113" t="e">
        <f t="shared" ca="1" si="52"/>
        <v>#DIV/0!</v>
      </c>
      <c r="BH141" s="113" t="e">
        <f t="shared" ca="1" si="52"/>
        <v>#DIV/0!</v>
      </c>
      <c r="BI141" s="113"/>
    </row>
    <row r="142" spans="1:61" ht="15" customHeight="1">
      <c r="A142" s="695" t="s">
        <v>556</v>
      </c>
      <c r="B142" s="734"/>
      <c r="C142" s="613"/>
      <c r="D142" s="613"/>
      <c r="E142" s="613"/>
      <c r="F142" s="613"/>
      <c r="G142" s="613"/>
      <c r="H142" s="762"/>
      <c r="I142" s="762"/>
      <c r="J142" s="673"/>
      <c r="K142" s="568"/>
      <c r="L142" s="312"/>
      <c r="M142" s="688"/>
      <c r="N142" s="727">
        <v>23</v>
      </c>
      <c r="O142" s="727">
        <v>27</v>
      </c>
      <c r="P142" s="732">
        <v>24.8</v>
      </c>
      <c r="Q142" s="733">
        <f>P142/(P$142+P$141)</f>
        <v>1</v>
      </c>
      <c r="R142" s="729">
        <f ca="1">Q142*K$140</f>
        <v>0</v>
      </c>
      <c r="S142" s="114" t="s">
        <v>177</v>
      </c>
      <c r="T142" s="115" t="s">
        <v>178</v>
      </c>
      <c r="U142" s="359" t="s">
        <v>546</v>
      </c>
      <c r="V142" s="166" t="s">
        <v>557</v>
      </c>
      <c r="W142" s="307" t="s">
        <v>440</v>
      </c>
      <c r="X142" s="199" t="e">
        <f ca="1">R362</f>
        <v>#DIV/0!</v>
      </c>
      <c r="Y142" s="151" t="e">
        <f t="shared" ca="1" si="47"/>
        <v>#DIV/0!</v>
      </c>
      <c r="Z142" s="169" t="e">
        <f t="shared" ca="1" si="48"/>
        <v>#DIV/0!</v>
      </c>
      <c r="AA142" s="180"/>
      <c r="AB142" s="110" t="e">
        <f t="shared" ca="1" si="49"/>
        <v>#DIV/0!</v>
      </c>
      <c r="AC142" s="181"/>
      <c r="AD142" s="182"/>
      <c r="AE142" s="245" t="s">
        <v>136</v>
      </c>
      <c r="AF142" s="245" t="s">
        <v>440</v>
      </c>
      <c r="AL142" s="13" t="s">
        <v>136</v>
      </c>
      <c r="AM142" s="102">
        <v>552003</v>
      </c>
      <c r="AN142" s="103" t="s">
        <v>54</v>
      </c>
      <c r="AO142" s="104" t="e">
        <f t="shared" ca="1" si="45"/>
        <v>#DIV/0!</v>
      </c>
      <c r="AP142" s="49"/>
      <c r="AR142" s="112" t="str">
        <f t="shared" si="35"/>
        <v xml:space="preserve"> DC 350T#6</v>
      </c>
      <c r="AS142" s="112" t="str">
        <f t="shared" si="32"/>
        <v>0451-623B0</v>
      </c>
      <c r="AU142" s="108" t="e">
        <f t="shared" ca="1" si="27"/>
        <v>#DIV/0!</v>
      </c>
      <c r="AV142" s="7" t="s">
        <v>1</v>
      </c>
      <c r="AW142" s="7" t="s">
        <v>70</v>
      </c>
      <c r="BA142" s="48" t="s">
        <v>186</v>
      </c>
      <c r="BB142" s="365" t="s">
        <v>187</v>
      </c>
      <c r="BC142" s="365"/>
      <c r="BD142" s="365" t="s">
        <v>114</v>
      </c>
      <c r="BE142" s="113" t="e">
        <f ca="1">X30</f>
        <v>#DIV/0!</v>
      </c>
      <c r="BF142" s="113"/>
      <c r="BG142" s="113" t="e">
        <f t="shared" ca="1" si="52"/>
        <v>#DIV/0!</v>
      </c>
      <c r="BH142" s="113" t="e">
        <f t="shared" ca="1" si="52"/>
        <v>#DIV/0!</v>
      </c>
      <c r="BI142" s="113"/>
    </row>
    <row r="143" spans="1:61" ht="15" customHeight="1">
      <c r="A143" s="664" t="s">
        <v>558</v>
      </c>
      <c r="B143" s="613"/>
      <c r="C143" s="613">
        <v>1</v>
      </c>
      <c r="D143" s="595" t="s">
        <v>47</v>
      </c>
      <c r="E143" s="595"/>
      <c r="F143" s="595" t="s">
        <v>48</v>
      </c>
      <c r="G143" s="595" t="s">
        <v>49</v>
      </c>
      <c r="H143" s="665" cm="1">
        <f t="array" aca="1" ref="H143" ca="1">IFERROR(
    INDIRECT(
        "RawData!" &amp;
        ADDRESS(
            2,
            MATCH(
                TRIM(MID(A143, SEARCH(". ", A143) + 2, LEN(A143))) &amp; ".Import_kWh",
                RawData!$1:$1,
                0
            ),
            4
        )
    ),
    0
)</f>
        <v>0</v>
      </c>
      <c r="I143" s="665" cm="1">
        <f t="array" aca="1" ref="I143" ca="1">IFERROR(
    INDIRECT(
        "RawData!" &amp;
        ADDRESS(
            COUNTA(RawData!A:A),
            MATCH(
                TRIM(MID(A143, SEARCH(". ", A143) + 2, LEN(A143))) &amp; ".Import_kWh",
                RawData!$1:$1,
                0
            ),
            4
        )
    ),
    0
)</f>
        <v>0</v>
      </c>
      <c r="J143" s="666">
        <f ca="1">(I143-H143)*C143+1200</f>
        <v>1200</v>
      </c>
      <c r="K143" s="667">
        <f ca="1">J143</f>
        <v>1200</v>
      </c>
      <c r="L143" s="312">
        <f ca="1">K143/J143</f>
        <v>1</v>
      </c>
      <c r="M143" s="825">
        <f ca="1">R144</f>
        <v>1200</v>
      </c>
      <c r="N143" s="727"/>
      <c r="O143" s="727"/>
      <c r="P143" s="732">
        <f>100*52</f>
        <v>5200</v>
      </c>
      <c r="Q143" s="733"/>
      <c r="R143" s="729"/>
      <c r="S143" s="69"/>
      <c r="T143" s="159"/>
      <c r="U143" s="359" t="s">
        <v>476</v>
      </c>
      <c r="V143" s="156" t="s">
        <v>477</v>
      </c>
      <c r="W143" s="307" t="s">
        <v>429</v>
      </c>
      <c r="X143" s="199">
        <f ca="1">R628</f>
        <v>0</v>
      </c>
      <c r="Y143" s="151" t="e">
        <f t="shared" ca="1" si="47"/>
        <v>#DIV/0!</v>
      </c>
      <c r="Z143" s="169" t="e">
        <f t="shared" ca="1" si="48"/>
        <v>#DIV/0!</v>
      </c>
      <c r="AA143" s="180"/>
      <c r="AB143" s="110" t="e">
        <f t="shared" ca="1" si="49"/>
        <v>#DIV/0!</v>
      </c>
      <c r="AC143" s="181"/>
      <c r="AD143" s="182"/>
      <c r="AE143" s="245" t="s">
        <v>136</v>
      </c>
      <c r="AF143" s="245" t="s">
        <v>429</v>
      </c>
      <c r="AL143" s="13" t="s">
        <v>136</v>
      </c>
      <c r="AM143" s="102">
        <v>552003</v>
      </c>
      <c r="AN143" s="103" t="s">
        <v>54</v>
      </c>
      <c r="AO143" s="104" t="e">
        <f t="shared" ca="1" si="45"/>
        <v>#DIV/0!</v>
      </c>
      <c r="AP143" s="49"/>
      <c r="AR143" s="112" t="str">
        <f t="shared" si="35"/>
        <v xml:space="preserve"> DC 350T HVSC NO.1</v>
      </c>
      <c r="AS143" s="112" t="str">
        <f t="shared" si="32"/>
        <v>0451-623A0</v>
      </c>
      <c r="AU143" s="108" t="e">
        <f t="shared" ca="1" si="27"/>
        <v>#DIV/0!</v>
      </c>
      <c r="AV143" s="7" t="s">
        <v>1</v>
      </c>
      <c r="AW143" s="7" t="s">
        <v>70</v>
      </c>
      <c r="BA143" s="48" t="s">
        <v>190</v>
      </c>
      <c r="BB143" s="365" t="s">
        <v>191</v>
      </c>
      <c r="BC143" s="365"/>
      <c r="BD143" s="365" t="s">
        <v>114</v>
      </c>
      <c r="BE143" s="113" t="e">
        <f t="shared" ref="BE143:BE145" ca="1" si="53">X31</f>
        <v>#DIV/0!</v>
      </c>
      <c r="BF143" s="113"/>
      <c r="BG143" s="113" t="e">
        <f t="shared" ca="1" si="52"/>
        <v>#DIV/0!</v>
      </c>
      <c r="BH143" s="113" t="e">
        <f t="shared" ca="1" si="52"/>
        <v>#DIV/0!</v>
      </c>
      <c r="BI143" s="113"/>
    </row>
    <row r="144" spans="1:61" ht="15" customHeight="1">
      <c r="A144" s="664" t="s">
        <v>559</v>
      </c>
      <c r="B144" s="730"/>
      <c r="C144" s="613"/>
      <c r="D144" s="613"/>
      <c r="E144" s="613"/>
      <c r="F144" s="613"/>
      <c r="G144" s="613"/>
      <c r="H144" s="762"/>
      <c r="I144" s="762"/>
      <c r="J144" s="673"/>
      <c r="K144" s="667"/>
      <c r="L144" s="312"/>
      <c r="M144" s="667">
        <v>147.79</v>
      </c>
      <c r="N144" s="735">
        <v>19</v>
      </c>
      <c r="O144" s="735">
        <v>33</v>
      </c>
      <c r="P144" s="732">
        <f>M144*O144</f>
        <v>4877.07</v>
      </c>
      <c r="Q144" s="733">
        <f>P144/(P$144)</f>
        <v>1</v>
      </c>
      <c r="R144" s="729">
        <f ca="1">K$143*Q144</f>
        <v>1200</v>
      </c>
      <c r="S144" s="114" t="s">
        <v>212</v>
      </c>
      <c r="T144" s="115" t="s">
        <v>213</v>
      </c>
      <c r="U144" s="359" t="s">
        <v>476</v>
      </c>
      <c r="V144" s="156" t="s">
        <v>479</v>
      </c>
      <c r="W144" s="307" t="s">
        <v>429</v>
      </c>
      <c r="X144" s="199" t="e">
        <f ca="1">R627</f>
        <v>#DIV/0!</v>
      </c>
      <c r="Y144" s="151" t="e">
        <f t="shared" ca="1" si="47"/>
        <v>#DIV/0!</v>
      </c>
      <c r="Z144" s="169" t="e">
        <f t="shared" ca="1" si="48"/>
        <v>#DIV/0!</v>
      </c>
      <c r="AA144" s="180"/>
      <c r="AB144" s="110" t="e">
        <f t="shared" ca="1" si="49"/>
        <v>#DIV/0!</v>
      </c>
      <c r="AC144" s="181"/>
      <c r="AD144" s="182"/>
      <c r="AE144" s="245" t="s">
        <v>136</v>
      </c>
      <c r="AF144" s="245" t="s">
        <v>429</v>
      </c>
      <c r="AL144" s="13" t="s">
        <v>136</v>
      </c>
      <c r="AM144" s="102">
        <v>552003</v>
      </c>
      <c r="AN144" s="103" t="s">
        <v>54</v>
      </c>
      <c r="AO144" s="104" t="e">
        <f t="shared" ca="1" si="45"/>
        <v>#DIV/0!</v>
      </c>
      <c r="AP144" s="49"/>
      <c r="AR144" s="112" t="str">
        <f t="shared" si="35"/>
        <v xml:space="preserve"> DC 350T HVSC NO.2</v>
      </c>
      <c r="AS144" s="112" t="str">
        <f t="shared" si="32"/>
        <v>0451-623A0</v>
      </c>
      <c r="AU144" s="108" t="e">
        <f t="shared" ref="AU144:AU199" ca="1" si="54">ROUND(Z144,2)</f>
        <v>#DIV/0!</v>
      </c>
      <c r="AV144" s="7" t="s">
        <v>1</v>
      </c>
      <c r="AW144" s="7" t="s">
        <v>70</v>
      </c>
      <c r="BA144" s="48" t="s">
        <v>197</v>
      </c>
      <c r="BB144" s="365" t="s">
        <v>198</v>
      </c>
      <c r="BC144" s="365"/>
      <c r="BD144" s="365" t="s">
        <v>114</v>
      </c>
      <c r="BE144" s="113" t="e">
        <f t="shared" ca="1" si="53"/>
        <v>#DIV/0!</v>
      </c>
      <c r="BF144" s="113"/>
      <c r="BG144" s="113" t="e">
        <f t="shared" ca="1" si="52"/>
        <v>#DIV/0!</v>
      </c>
      <c r="BH144" s="113" t="e">
        <f t="shared" ca="1" si="52"/>
        <v>#DIV/0!</v>
      </c>
      <c r="BI144" s="113"/>
    </row>
    <row r="145" spans="1:61" ht="15" customHeight="1">
      <c r="A145" s="664" t="s">
        <v>1166</v>
      </c>
      <c r="B145" s="613"/>
      <c r="C145" s="613">
        <v>1</v>
      </c>
      <c r="D145" s="595" t="s">
        <v>47</v>
      </c>
      <c r="E145" s="595"/>
      <c r="F145" s="595" t="s">
        <v>48</v>
      </c>
      <c r="G145" s="595" t="s">
        <v>49</v>
      </c>
      <c r="H145" s="665" cm="1">
        <f t="array" aca="1" ref="H145" ca="1">IFERROR(
    INDIRECT(
        "RawData!" &amp;
        ADDRESS(
            2,
            MATCH(
                TRIM(MID(A145, SEARCH(". ", A145) + 2, LEN(A145))) &amp; ".Import_kWh",
                RawData!$1:$1,
                0
            ),
            4
        )
    ),
    0
)</f>
        <v>0</v>
      </c>
      <c r="I145" s="665" cm="1">
        <f t="array" aca="1" ref="I145" ca="1">IFERROR(
    INDIRECT(
        "RawData!" &amp;
        ADDRESS(
            COUNTA(RawData!A:A),
            MATCH(
                TRIM(MID(A145, SEARCH(". ", A145) + 2, LEN(A145))) &amp; ".Import_kWh",
                RawData!$1:$1,
                0
            ),
            4
        )
    ),
    0
)</f>
        <v>0</v>
      </c>
      <c r="J145" s="666">
        <f ca="1">(I145-H145)*C145</f>
        <v>0</v>
      </c>
      <c r="K145" s="667">
        <f ca="1">J145</f>
        <v>0</v>
      </c>
      <c r="L145" s="312"/>
      <c r="M145" s="732"/>
      <c r="N145" s="735"/>
      <c r="O145" s="735"/>
      <c r="P145" s="732"/>
      <c r="Q145" s="733"/>
      <c r="R145" s="729">
        <f ca="1">K145</f>
        <v>0</v>
      </c>
      <c r="S145" s="114" t="s">
        <v>73</v>
      </c>
      <c r="T145" s="115" t="s">
        <v>96</v>
      </c>
      <c r="U145" s="359" t="s">
        <v>476</v>
      </c>
      <c r="V145" s="156" t="s">
        <v>481</v>
      </c>
      <c r="W145" s="307" t="s">
        <v>429</v>
      </c>
      <c r="X145" s="199" t="e">
        <f ca="1">R605</f>
        <v>#DIV/0!</v>
      </c>
      <c r="Y145" s="151" t="e">
        <f t="shared" ca="1" si="47"/>
        <v>#DIV/0!</v>
      </c>
      <c r="Z145" s="169" t="e">
        <f t="shared" ca="1" si="48"/>
        <v>#DIV/0!</v>
      </c>
      <c r="AA145" s="180"/>
      <c r="AB145" s="110" t="e">
        <f t="shared" ca="1" si="49"/>
        <v>#DIV/0!</v>
      </c>
      <c r="AC145" s="181"/>
      <c r="AD145" s="182"/>
      <c r="AE145" s="245" t="s">
        <v>136</v>
      </c>
      <c r="AF145" s="245" t="s">
        <v>429</v>
      </c>
      <c r="AL145" s="13" t="s">
        <v>136</v>
      </c>
      <c r="AM145" s="102">
        <v>552003</v>
      </c>
      <c r="AN145" s="103" t="s">
        <v>54</v>
      </c>
      <c r="AO145" s="104" t="e">
        <f t="shared" ca="1" si="45"/>
        <v>#DIV/0!</v>
      </c>
      <c r="AP145" s="49"/>
      <c r="AR145" s="112" t="str">
        <f t="shared" si="35"/>
        <v xml:space="preserve"> DC 350T HVSC NO.3</v>
      </c>
      <c r="AS145" s="112" t="str">
        <f t="shared" si="32"/>
        <v>0451-623A0</v>
      </c>
      <c r="AU145" s="108" t="e">
        <f t="shared" ca="1" si="54"/>
        <v>#DIV/0!</v>
      </c>
      <c r="AV145" s="7" t="s">
        <v>1</v>
      </c>
      <c r="AW145" s="7" t="s">
        <v>70</v>
      </c>
      <c r="BA145" s="48" t="s">
        <v>200</v>
      </c>
      <c r="BB145" s="365" t="s">
        <v>201</v>
      </c>
      <c r="BC145" s="365"/>
      <c r="BD145" s="365" t="s">
        <v>114</v>
      </c>
      <c r="BE145" s="113" t="e">
        <f t="shared" ca="1" si="53"/>
        <v>#DIV/0!</v>
      </c>
      <c r="BF145" s="113"/>
      <c r="BG145" s="113" t="e">
        <f t="shared" ca="1" si="52"/>
        <v>#DIV/0!</v>
      </c>
      <c r="BH145" s="113" t="e">
        <f t="shared" ca="1" si="52"/>
        <v>#DIV/0!</v>
      </c>
      <c r="BI145" s="113"/>
    </row>
    <row r="146" spans="1:61" ht="15" customHeight="1">
      <c r="A146" s="664" t="s">
        <v>560</v>
      </c>
      <c r="B146" s="613"/>
      <c r="C146" s="613"/>
      <c r="D146" s="613"/>
      <c r="E146" s="613"/>
      <c r="F146" s="613" t="s">
        <v>561</v>
      </c>
      <c r="G146" s="613"/>
      <c r="H146" s="762"/>
      <c r="I146" s="762"/>
      <c r="J146" s="673"/>
      <c r="K146" s="667" t="e">
        <f ca="1">K139-(K140+K143+K145)</f>
        <v>#DIV/0!</v>
      </c>
      <c r="L146" s="312"/>
      <c r="M146" s="732"/>
      <c r="N146" s="727"/>
      <c r="O146" s="727"/>
      <c r="P146" s="664"/>
      <c r="Q146" s="733"/>
      <c r="R146" s="729" t="e">
        <f ca="1">K146</f>
        <v>#DIV/0!</v>
      </c>
      <c r="S146" s="114" t="s">
        <v>73</v>
      </c>
      <c r="T146" s="115" t="s">
        <v>96</v>
      </c>
      <c r="U146" s="359" t="s">
        <v>476</v>
      </c>
      <c r="V146" s="156" t="s">
        <v>483</v>
      </c>
      <c r="W146" s="307" t="s">
        <v>429</v>
      </c>
      <c r="X146" s="199">
        <f ca="1">R608</f>
        <v>0</v>
      </c>
      <c r="Y146" s="151" t="e">
        <f t="shared" ca="1" si="47"/>
        <v>#DIV/0!</v>
      </c>
      <c r="Z146" s="169" t="e">
        <f t="shared" ca="1" si="48"/>
        <v>#DIV/0!</v>
      </c>
      <c r="AA146" s="180"/>
      <c r="AB146" s="110" t="e">
        <f t="shared" ca="1" si="49"/>
        <v>#DIV/0!</v>
      </c>
      <c r="AC146" s="181"/>
      <c r="AD146" s="182"/>
      <c r="AE146" s="245" t="s">
        <v>136</v>
      </c>
      <c r="AF146" s="245" t="s">
        <v>429</v>
      </c>
      <c r="AL146" s="13" t="s">
        <v>136</v>
      </c>
      <c r="AM146" s="102">
        <v>552003</v>
      </c>
      <c r="AN146" s="103" t="s">
        <v>54</v>
      </c>
      <c r="AO146" s="104" t="e">
        <f t="shared" ca="1" si="45"/>
        <v>#DIV/0!</v>
      </c>
      <c r="AP146" s="49"/>
      <c r="AR146" s="112" t="str">
        <f t="shared" si="35"/>
        <v xml:space="preserve"> DC 350T HVSC NO.5</v>
      </c>
      <c r="AS146" s="112" t="str">
        <f t="shared" si="32"/>
        <v>0451-623A0</v>
      </c>
      <c r="AU146" s="108" t="e">
        <f t="shared" ca="1" si="54"/>
        <v>#DIV/0!</v>
      </c>
      <c r="AV146" s="7" t="s">
        <v>1</v>
      </c>
      <c r="AW146" s="7" t="s">
        <v>70</v>
      </c>
      <c r="BA146" s="48" t="s">
        <v>170</v>
      </c>
      <c r="BB146" s="365" t="s">
        <v>204</v>
      </c>
      <c r="BC146" s="365"/>
      <c r="BD146" s="365" t="s">
        <v>114</v>
      </c>
      <c r="BE146" s="113">
        <f>X34</f>
        <v>0</v>
      </c>
      <c r="BF146" s="113"/>
      <c r="BG146" s="113" t="e">
        <f t="shared" ca="1" si="52"/>
        <v>#DIV/0!</v>
      </c>
      <c r="BH146" s="113" t="e">
        <f t="shared" ca="1" si="52"/>
        <v>#DIV/0!</v>
      </c>
      <c r="BI146" s="113"/>
    </row>
    <row r="147" spans="1:61" ht="15" customHeight="1">
      <c r="A147" s="678" t="s">
        <v>562</v>
      </c>
      <c r="B147" s="823" t="s">
        <v>64</v>
      </c>
      <c r="C147" s="754">
        <v>1</v>
      </c>
      <c r="D147" s="654" t="s">
        <v>47</v>
      </c>
      <c r="E147" s="654"/>
      <c r="F147" s="654" t="s">
        <v>48</v>
      </c>
      <c r="G147" s="654" t="s">
        <v>49</v>
      </c>
      <c r="H147" s="655" cm="1">
        <f t="array" aca="1" ref="H147" ca="1">IFERROR(
    INDIRECT(
        "RawData!" &amp;
        ADDRESS(
            2,
            MATCH(
                TRIM(MID(A147, SEARCH(". ", A147) + 2, LEN(A147))) &amp; ".Import_kWh",
                RawData!$1:$1,
                0
            ),
            4
        )
    ),
    0
)</f>
        <v>0</v>
      </c>
      <c r="I147" s="655" cm="1">
        <f t="array" aca="1" ref="I147" ca="1">IFERROR(
    INDIRECT(
        "RawData!" &amp;
        ADDRESS(
            COUNTA(RawData!A:A),
            MATCH(
                TRIM(MID(A147, SEARCH(". ", A147) + 2, LEN(A147))) &amp; ".Import_kWh",
                RawData!$1:$1,
                0
            ),
            4
        )
    ),
    0
)</f>
        <v>0</v>
      </c>
      <c r="J147" s="680">
        <f ca="1">(I147-H147)*C147</f>
        <v>0</v>
      </c>
      <c r="K147" s="824" t="e">
        <f ca="1">J147*K$138/(J$139+J$147+J$160+J$183+J$187+J$190+J$202+J$210)</f>
        <v>#DIV/0!</v>
      </c>
      <c r="L147" s="681" t="e">
        <f ca="1">K147/J147</f>
        <v>#DIV/0!</v>
      </c>
      <c r="M147" s="718" t="e">
        <f ca="1">R149+R150+R152+R153+R155+R158+R159</f>
        <v>#DIV/0!</v>
      </c>
      <c r="N147" s="719"/>
      <c r="O147" s="719"/>
      <c r="P147" s="720"/>
      <c r="Q147" s="756"/>
      <c r="R147" s="722"/>
      <c r="S147" s="69"/>
      <c r="T147" s="159"/>
      <c r="U147" s="359" t="s">
        <v>546</v>
      </c>
      <c r="V147" s="166" t="s">
        <v>563</v>
      </c>
      <c r="W147" s="307" t="s">
        <v>440</v>
      </c>
      <c r="X147" s="367" t="e">
        <f ca="1">R448</f>
        <v>#DIV/0!</v>
      </c>
      <c r="Y147" s="151" t="e">
        <f t="shared" ca="1" si="47"/>
        <v>#DIV/0!</v>
      </c>
      <c r="Z147" s="169" t="e">
        <f t="shared" ca="1" si="48"/>
        <v>#DIV/0!</v>
      </c>
      <c r="AA147" s="180"/>
      <c r="AB147" s="110" t="e">
        <f t="shared" ca="1" si="49"/>
        <v>#DIV/0!</v>
      </c>
      <c r="AC147" s="181"/>
      <c r="AD147" s="182"/>
      <c r="AE147" s="245" t="s">
        <v>136</v>
      </c>
      <c r="AF147" s="245" t="s">
        <v>440</v>
      </c>
      <c r="AL147" s="13" t="s">
        <v>136</v>
      </c>
      <c r="AM147" s="102">
        <v>552003</v>
      </c>
      <c r="AN147" s="103" t="s">
        <v>54</v>
      </c>
      <c r="AO147" s="104" t="e">
        <f t="shared" ca="1" si="45"/>
        <v>#DIV/0!</v>
      </c>
      <c r="AP147" s="49"/>
      <c r="AR147" s="112" t="str">
        <f t="shared" si="35"/>
        <v xml:space="preserve"> DC 350T#7</v>
      </c>
      <c r="AS147" s="112" t="str">
        <f t="shared" si="32"/>
        <v>0451-623B0</v>
      </c>
      <c r="AU147" s="108" t="e">
        <f t="shared" ca="1" si="54"/>
        <v>#DIV/0!</v>
      </c>
      <c r="AV147" s="7" t="s">
        <v>1</v>
      </c>
      <c r="AW147" s="7" t="s">
        <v>70</v>
      </c>
      <c r="BA147" s="48" t="s">
        <v>208</v>
      </c>
      <c r="BB147" s="365" t="s">
        <v>209</v>
      </c>
      <c r="BC147" s="365"/>
      <c r="BD147" s="365" t="s">
        <v>114</v>
      </c>
      <c r="BE147" s="113" t="e">
        <f ca="1">X35</f>
        <v>#DIV/0!</v>
      </c>
      <c r="BF147" s="113"/>
      <c r="BG147" s="113" t="e">
        <f t="shared" ca="1" si="52"/>
        <v>#DIV/0!</v>
      </c>
      <c r="BH147" s="113" t="e">
        <f t="shared" ca="1" si="52"/>
        <v>#DIV/0!</v>
      </c>
      <c r="BI147" s="113"/>
    </row>
    <row r="148" spans="1:61" ht="15" customHeight="1">
      <c r="A148" s="664" t="s">
        <v>564</v>
      </c>
      <c r="B148" s="723" t="s">
        <v>447</v>
      </c>
      <c r="C148" s="613">
        <v>1</v>
      </c>
      <c r="D148" s="595" t="s">
        <v>47</v>
      </c>
      <c r="E148" s="595"/>
      <c r="F148" s="595" t="s">
        <v>48</v>
      </c>
      <c r="G148" s="595" t="s">
        <v>49</v>
      </c>
      <c r="H148" s="665" cm="1">
        <f t="array" aca="1" ref="H148" ca="1">IFERROR(
    INDIRECT(
        "RawData!" &amp;
        ADDRESS(
            2,
            MATCH(
                TRIM(MID(A148, SEARCH(". ", A148) + 2, LEN(A148))) &amp; ".Import_kWh",
                RawData!$1:$1,
                0
            ),
            4
        )
    ),
    0
)</f>
        <v>0</v>
      </c>
      <c r="I148" s="665" cm="1">
        <f t="array" aca="1" ref="I148" ca="1">IFERROR(
    INDIRECT(
        "RawData!" &amp;
        ADDRESS(
            COUNTA(RawData!A:A),
            MATCH(
                TRIM(MID(A148, SEARCH(". ", A148) + 2, LEN(A148))) &amp; ".Import_kWh",
                RawData!$1:$1,
                0
            ),
            4
        )
    ),
    0
)</f>
        <v>0</v>
      </c>
      <c r="J148" s="666">
        <f ca="1">(I148-H148)*C148</f>
        <v>0</v>
      </c>
      <c r="K148" s="667" t="e">
        <f ca="1">J148*K$147/(J$148+J$151+J$155+J$158+J$159)</f>
        <v>#DIV/0!</v>
      </c>
      <c r="L148" s="312" t="e">
        <f ca="1">K148/J148</f>
        <v>#DIV/0!</v>
      </c>
      <c r="M148" s="726" t="e">
        <f ca="1">R149+R150</f>
        <v>#DIV/0!</v>
      </c>
      <c r="N148" s="727"/>
      <c r="O148" s="727"/>
      <c r="P148" s="732"/>
      <c r="Q148" s="813"/>
      <c r="R148" s="729"/>
      <c r="S148" s="69"/>
      <c r="T148" s="159"/>
      <c r="U148" s="368" t="s">
        <v>546</v>
      </c>
      <c r="V148" s="369" t="s">
        <v>565</v>
      </c>
      <c r="W148" s="370" t="s">
        <v>440</v>
      </c>
      <c r="X148" s="371" t="e">
        <f ca="1">R449</f>
        <v>#DIV/0!</v>
      </c>
      <c r="Y148" s="352" t="e">
        <f t="shared" ca="1" si="47"/>
        <v>#DIV/0!</v>
      </c>
      <c r="Z148" s="353" t="e">
        <f t="shared" ca="1" si="48"/>
        <v>#DIV/0!</v>
      </c>
      <c r="AA148" s="372"/>
      <c r="AB148" s="355" t="e">
        <f t="shared" ca="1" si="49"/>
        <v>#DIV/0!</v>
      </c>
      <c r="AC148" s="373"/>
      <c r="AD148" s="374"/>
      <c r="AE148" s="358" t="s">
        <v>136</v>
      </c>
      <c r="AF148" s="245" t="s">
        <v>532</v>
      </c>
      <c r="AL148" s="13" t="s">
        <v>136</v>
      </c>
      <c r="AM148" s="102">
        <v>552003</v>
      </c>
      <c r="AN148" s="103" t="s">
        <v>54</v>
      </c>
      <c r="AO148" s="104" t="e">
        <f t="shared" ca="1" si="45"/>
        <v>#DIV/0!</v>
      </c>
      <c r="AP148" s="49"/>
      <c r="AR148" s="112" t="str">
        <f t="shared" si="35"/>
        <v xml:space="preserve"> DC 350T#8</v>
      </c>
      <c r="AS148" s="112" t="str">
        <f t="shared" si="32"/>
        <v>0451-623B0</v>
      </c>
      <c r="AU148" s="108" t="e">
        <f t="shared" ca="1" si="54"/>
        <v>#DIV/0!</v>
      </c>
      <c r="AV148" s="7" t="s">
        <v>1</v>
      </c>
      <c r="AW148" s="7" t="s">
        <v>70</v>
      </c>
      <c r="BA148" s="48" t="s">
        <v>212</v>
      </c>
      <c r="BB148" s="365" t="s">
        <v>213</v>
      </c>
      <c r="BC148" s="365"/>
      <c r="BD148" s="365" t="s">
        <v>114</v>
      </c>
      <c r="BE148" s="113">
        <f t="shared" ref="BE148:BE154" ca="1" si="55">X36</f>
        <v>1200</v>
      </c>
      <c r="BF148" s="113"/>
      <c r="BG148" s="113" t="e">
        <f t="shared" ca="1" si="52"/>
        <v>#DIV/0!</v>
      </c>
      <c r="BH148" s="113" t="e">
        <f t="shared" ca="1" si="52"/>
        <v>#DIV/0!</v>
      </c>
      <c r="BI148" s="113"/>
    </row>
    <row r="149" spans="1:61" ht="15" customHeight="1">
      <c r="A149" s="664" t="s">
        <v>566</v>
      </c>
      <c r="B149" s="723"/>
      <c r="C149" s="613"/>
      <c r="D149" s="613"/>
      <c r="E149" s="613"/>
      <c r="F149" s="613"/>
      <c r="G149" s="613"/>
      <c r="H149" s="724"/>
      <c r="I149" s="724"/>
      <c r="J149" s="666"/>
      <c r="K149" s="688"/>
      <c r="L149" s="312"/>
      <c r="M149" s="688">
        <f>20+20+20+14.4+7.2+2+2.72</f>
        <v>86.320000000000007</v>
      </c>
      <c r="N149" s="669">
        <v>1</v>
      </c>
      <c r="O149" s="669">
        <v>3</v>
      </c>
      <c r="P149" s="732">
        <f>M149*O149</f>
        <v>258.96000000000004</v>
      </c>
      <c r="Q149" s="813">
        <f>P149/(P$149+P$150)</f>
        <v>0.30925766695328172</v>
      </c>
      <c r="R149" s="729" t="e">
        <f ca="1">Q149*K$148</f>
        <v>#DIV/0!</v>
      </c>
      <c r="S149" s="114" t="s">
        <v>208</v>
      </c>
      <c r="T149" s="115" t="s">
        <v>209</v>
      </c>
      <c r="U149" s="359" t="s">
        <v>567</v>
      </c>
      <c r="V149" s="156" t="s">
        <v>568</v>
      </c>
      <c r="W149" s="307" t="s">
        <v>440</v>
      </c>
      <c r="X149" s="199" t="e">
        <f ca="1">R445</f>
        <v>#DIV/0!</v>
      </c>
      <c r="Y149" s="151" t="e">
        <f t="shared" ca="1" si="47"/>
        <v>#DIV/0!</v>
      </c>
      <c r="Z149" s="169" t="e">
        <f t="shared" ca="1" si="48"/>
        <v>#DIV/0!</v>
      </c>
      <c r="AA149" s="180"/>
      <c r="AB149" s="110" t="e">
        <f t="shared" ca="1" si="49"/>
        <v>#DIV/0!</v>
      </c>
      <c r="AC149" s="181"/>
      <c r="AD149" s="182"/>
      <c r="AE149" s="245" t="s">
        <v>136</v>
      </c>
      <c r="AF149" s="172" t="s">
        <v>440</v>
      </c>
      <c r="AL149" s="13" t="s">
        <v>136</v>
      </c>
      <c r="AM149" s="102">
        <v>552003</v>
      </c>
      <c r="AN149" s="103" t="s">
        <v>54</v>
      </c>
      <c r="AO149" s="104" t="e">
        <f t="shared" ca="1" si="45"/>
        <v>#DIV/0!</v>
      </c>
      <c r="AP149" s="49"/>
      <c r="AR149" s="112" t="str">
        <f t="shared" si="35"/>
        <v xml:space="preserve"> DC 350T#9</v>
      </c>
      <c r="AS149" s="112" t="str">
        <f t="shared" si="32"/>
        <v>0451-623B9</v>
      </c>
      <c r="AU149" s="108" t="e">
        <f t="shared" ca="1" si="54"/>
        <v>#DIV/0!</v>
      </c>
      <c r="AV149" s="7" t="s">
        <v>1</v>
      </c>
      <c r="AW149" s="7" t="s">
        <v>70</v>
      </c>
      <c r="BA149" s="48" t="s">
        <v>216</v>
      </c>
      <c r="BB149" s="365" t="s">
        <v>569</v>
      </c>
      <c r="BC149" s="365"/>
      <c r="BD149" s="365" t="s">
        <v>114</v>
      </c>
      <c r="BE149" s="113" t="e">
        <f t="shared" ca="1" si="55"/>
        <v>#DIV/0!</v>
      </c>
      <c r="BF149" s="113"/>
      <c r="BG149" s="113" t="e">
        <f t="shared" ca="1" si="52"/>
        <v>#DIV/0!</v>
      </c>
      <c r="BH149" s="113" t="e">
        <f t="shared" ca="1" si="52"/>
        <v>#DIV/0!</v>
      </c>
      <c r="BI149" s="113"/>
    </row>
    <row r="150" spans="1:61" ht="15" customHeight="1">
      <c r="A150" s="826" t="s">
        <v>570</v>
      </c>
      <c r="B150" s="827"/>
      <c r="C150" s="828"/>
      <c r="D150" s="828"/>
      <c r="E150" s="828"/>
      <c r="F150" s="828"/>
      <c r="G150" s="828"/>
      <c r="H150" s="829"/>
      <c r="I150" s="829"/>
      <c r="J150" s="830"/>
      <c r="K150" s="831"/>
      <c r="L150" s="832"/>
      <c r="M150" s="831">
        <f>11.2+20+13+4</f>
        <v>48.2</v>
      </c>
      <c r="N150" s="833">
        <v>0</v>
      </c>
      <c r="O150" s="833">
        <v>12</v>
      </c>
      <c r="P150" s="834">
        <f>M150*O150</f>
        <v>578.40000000000009</v>
      </c>
      <c r="Q150" s="835">
        <f>P150/(P$149+P$150)</f>
        <v>0.69074233304671828</v>
      </c>
      <c r="R150" s="836" t="e">
        <f ca="1">Q150*K$148</f>
        <v>#DIV/0!</v>
      </c>
      <c r="S150" s="114" t="s">
        <v>170</v>
      </c>
      <c r="T150" s="115" t="s">
        <v>204</v>
      </c>
      <c r="U150" s="359" t="s">
        <v>546</v>
      </c>
      <c r="V150" s="156" t="s">
        <v>571</v>
      </c>
      <c r="W150" s="307" t="s">
        <v>440</v>
      </c>
      <c r="X150" s="199" t="e">
        <f ca="1">R434+R313</f>
        <v>#DIV/0!</v>
      </c>
      <c r="Y150" s="151" t="e">
        <f t="shared" ca="1" si="47"/>
        <v>#DIV/0!</v>
      </c>
      <c r="Z150" s="169" t="e">
        <f t="shared" ca="1" si="48"/>
        <v>#DIV/0!</v>
      </c>
      <c r="AA150" s="180"/>
      <c r="AB150" s="110" t="e">
        <f t="shared" ca="1" si="49"/>
        <v>#DIV/0!</v>
      </c>
      <c r="AC150" s="170"/>
      <c r="AD150" s="170"/>
      <c r="AE150" s="245" t="s">
        <v>136</v>
      </c>
      <c r="AF150" s="172" t="s">
        <v>440</v>
      </c>
      <c r="AL150" s="13" t="s">
        <v>136</v>
      </c>
      <c r="AM150" s="102">
        <v>552003</v>
      </c>
      <c r="AN150" s="103" t="s">
        <v>54</v>
      </c>
      <c r="AO150" s="104" t="e">
        <f t="shared" ca="1" si="45"/>
        <v>#DIV/0!</v>
      </c>
      <c r="AP150" s="49"/>
      <c r="AR150" s="112" t="str">
        <f t="shared" si="35"/>
        <v xml:space="preserve"> DC 350T#10</v>
      </c>
      <c r="AS150" s="112" t="str">
        <f t="shared" si="32"/>
        <v>0451-623B0</v>
      </c>
      <c r="AU150" s="108" t="e">
        <f t="shared" ca="1" si="54"/>
        <v>#DIV/0!</v>
      </c>
      <c r="AV150" s="7" t="s">
        <v>1</v>
      </c>
      <c r="AW150" s="7" t="s">
        <v>70</v>
      </c>
      <c r="BA150" s="48" t="s">
        <v>216</v>
      </c>
      <c r="BB150" s="365" t="s">
        <v>572</v>
      </c>
      <c r="BC150" s="365"/>
      <c r="BD150" s="365" t="s">
        <v>114</v>
      </c>
      <c r="BE150" s="113" t="e">
        <f t="shared" ca="1" si="55"/>
        <v>#DIV/0!</v>
      </c>
      <c r="BF150" s="113"/>
      <c r="BG150" s="113" t="e">
        <f t="shared" ca="1" si="52"/>
        <v>#DIV/0!</v>
      </c>
      <c r="BH150" s="113" t="e">
        <f t="shared" ca="1" si="52"/>
        <v>#DIV/0!</v>
      </c>
      <c r="BI150" s="113"/>
    </row>
    <row r="151" spans="1:61" ht="15" customHeight="1">
      <c r="A151" s="664" t="s">
        <v>573</v>
      </c>
      <c r="B151" s="613" t="s">
        <v>185</v>
      </c>
      <c r="C151" s="613">
        <v>1</v>
      </c>
      <c r="D151" s="595" t="s">
        <v>47</v>
      </c>
      <c r="E151" s="595"/>
      <c r="F151" s="595" t="s">
        <v>48</v>
      </c>
      <c r="G151" s="595" t="s">
        <v>49</v>
      </c>
      <c r="H151" s="665" cm="1">
        <f t="array" aca="1" ref="H151" ca="1">IFERROR(
    INDIRECT(
        "RawData!" &amp;
        ADDRESS(
            2,
            MATCH(
                TRIM(MID(A151, SEARCH(". ", A151) + 2, LEN(A151))) &amp; ".Import_kWh",
                RawData!$1:$1,
                0
            ),
            4
        )
    ),
    0
)</f>
        <v>0</v>
      </c>
      <c r="I151" s="665" cm="1">
        <f t="array" aca="1" ref="I151" ca="1">IFERROR(
    INDIRECT(
        "RawData!" &amp;
        ADDRESS(
            COUNTA(RawData!A:A),
            MATCH(
                TRIM(MID(A151, SEARCH(". ", A151) + 2, LEN(A151))) &amp; ".Import_kWh",
                RawData!$1:$1,
                0
            ),
            4
        )
    ),
    0
)</f>
        <v>0</v>
      </c>
      <c r="J151" s="666">
        <f ca="1">(I151-H151)*C151</f>
        <v>0</v>
      </c>
      <c r="K151" s="667" t="e">
        <f ca="1">J151*K$147/(J$148+J$151+J$155+J$158+J$159)</f>
        <v>#DIV/0!</v>
      </c>
      <c r="L151" s="312" t="e">
        <f ca="1">K151/J151</f>
        <v>#DIV/0!</v>
      </c>
      <c r="M151" s="825" t="e">
        <f ca="1">R152+R153</f>
        <v>#DIV/0!</v>
      </c>
      <c r="N151" s="727"/>
      <c r="O151" s="727"/>
      <c r="P151" s="732"/>
      <c r="Q151" s="813"/>
      <c r="R151" s="729"/>
      <c r="S151" s="69"/>
      <c r="T151" s="159"/>
      <c r="U151" s="359" t="s">
        <v>546</v>
      </c>
      <c r="V151" s="156" t="s">
        <v>574</v>
      </c>
      <c r="W151" s="307" t="s">
        <v>440</v>
      </c>
      <c r="X151" s="199" t="e">
        <f ca="1">R366</f>
        <v>#DIV/0!</v>
      </c>
      <c r="Y151" s="151" t="e">
        <f t="shared" ca="1" si="47"/>
        <v>#DIV/0!</v>
      </c>
      <c r="Z151" s="169" t="e">
        <f t="shared" ca="1" si="48"/>
        <v>#DIV/0!</v>
      </c>
      <c r="AA151" s="180"/>
      <c r="AB151" s="110" t="e">
        <f t="shared" ca="1" si="49"/>
        <v>#DIV/0!</v>
      </c>
      <c r="AC151" s="181"/>
      <c r="AD151" s="182"/>
      <c r="AE151" s="245" t="s">
        <v>136</v>
      </c>
      <c r="AF151" s="172" t="s">
        <v>440</v>
      </c>
      <c r="AL151" s="13" t="s">
        <v>136</v>
      </c>
      <c r="AM151" s="102">
        <v>552003</v>
      </c>
      <c r="AN151" s="103" t="s">
        <v>54</v>
      </c>
      <c r="AO151" s="104" t="e">
        <f t="shared" ca="1" si="45"/>
        <v>#DIV/0!</v>
      </c>
      <c r="AP151" s="49"/>
      <c r="AR151" s="112" t="str">
        <f t="shared" si="35"/>
        <v xml:space="preserve"> DC 350T#11</v>
      </c>
      <c r="AS151" s="112" t="str">
        <f t="shared" si="32"/>
        <v>0451-623B0</v>
      </c>
      <c r="AU151" s="108" t="e">
        <f t="shared" ca="1" si="54"/>
        <v>#DIV/0!</v>
      </c>
      <c r="AV151" s="7" t="s">
        <v>1</v>
      </c>
      <c r="AW151" s="7" t="s">
        <v>507</v>
      </c>
      <c r="BA151" s="48" t="s">
        <v>575</v>
      </c>
      <c r="BB151" s="365" t="s">
        <v>576</v>
      </c>
      <c r="BC151" s="365"/>
      <c r="BD151" s="365" t="s">
        <v>114</v>
      </c>
      <c r="BE151" s="113" t="e">
        <f t="shared" ca="1" si="55"/>
        <v>#DIV/0!</v>
      </c>
      <c r="BF151" s="113"/>
      <c r="BG151" s="113" t="e">
        <f t="shared" ca="1" si="52"/>
        <v>#DIV/0!</v>
      </c>
      <c r="BH151" s="113" t="e">
        <f t="shared" ca="1" si="52"/>
        <v>#DIV/0!</v>
      </c>
      <c r="BI151" s="113"/>
    </row>
    <row r="152" spans="1:61" ht="15" customHeight="1">
      <c r="A152" s="664" t="s">
        <v>577</v>
      </c>
      <c r="B152" s="613"/>
      <c r="C152" s="613"/>
      <c r="D152" s="613"/>
      <c r="E152" s="613"/>
      <c r="F152" s="613"/>
      <c r="G152" s="613"/>
      <c r="H152" s="594"/>
      <c r="I152" s="594"/>
      <c r="J152" s="673"/>
      <c r="K152" s="667"/>
      <c r="L152" s="312"/>
      <c r="M152" s="688">
        <f>1.5+28+21.6+28.6+20</f>
        <v>99.7</v>
      </c>
      <c r="N152" s="727">
        <v>34</v>
      </c>
      <c r="O152" s="727">
        <v>38</v>
      </c>
      <c r="P152" s="732">
        <f>M152*O152</f>
        <v>3788.6</v>
      </c>
      <c r="Q152" s="813">
        <f>P152/(P$152+P$153)</f>
        <v>0.49760169798731768</v>
      </c>
      <c r="R152" s="729" t="e">
        <f ca="1">Q152*K$151</f>
        <v>#DIV/0!</v>
      </c>
      <c r="S152" s="114" t="s">
        <v>216</v>
      </c>
      <c r="T152" s="115" t="s">
        <v>578</v>
      </c>
      <c r="U152" s="375" t="s">
        <v>546</v>
      </c>
      <c r="V152" s="237" t="s">
        <v>579</v>
      </c>
      <c r="W152" s="315" t="s">
        <v>440</v>
      </c>
      <c r="X152" s="238" t="e">
        <f ca="1">R437+R433</f>
        <v>#DIV/0!</v>
      </c>
      <c r="Y152" s="239" t="e">
        <f t="shared" ca="1" si="47"/>
        <v>#DIV/0!</v>
      </c>
      <c r="Z152" s="240" t="e">
        <f t="shared" ca="1" si="48"/>
        <v>#DIV/0!</v>
      </c>
      <c r="AA152" s="241" t="e">
        <f ca="1">SUM(Z138:Z152)</f>
        <v>#DIV/0!</v>
      </c>
      <c r="AB152" s="129" t="e">
        <f t="shared" ca="1" si="49"/>
        <v>#DIV/0!</v>
      </c>
      <c r="AC152" s="242" t="e">
        <f ca="1">SUM(AB138:AB152)</f>
        <v>#DIV/0!</v>
      </c>
      <c r="AD152" s="243"/>
      <c r="AE152" s="245" t="s">
        <v>136</v>
      </c>
      <c r="AF152" s="172" t="s">
        <v>440</v>
      </c>
      <c r="AL152" s="7" t="s">
        <v>136</v>
      </c>
      <c r="AM152" s="102">
        <v>552003</v>
      </c>
      <c r="AN152" s="103" t="s">
        <v>54</v>
      </c>
      <c r="AO152" s="104" t="e">
        <f t="shared" ca="1" si="45"/>
        <v>#DIV/0!</v>
      </c>
      <c r="AP152" s="49"/>
      <c r="AR152" s="112" t="str">
        <f t="shared" si="35"/>
        <v xml:space="preserve"> DC 350T#12</v>
      </c>
      <c r="AS152" s="112" t="str">
        <f t="shared" si="32"/>
        <v>0451-623B0</v>
      </c>
      <c r="AU152" s="108" t="e">
        <f t="shared" ca="1" si="54"/>
        <v>#DIV/0!</v>
      </c>
      <c r="AV152" s="7" t="s">
        <v>1</v>
      </c>
      <c r="AW152" s="7" t="s">
        <v>507</v>
      </c>
      <c r="BA152" s="48" t="s">
        <v>234</v>
      </c>
      <c r="BB152" s="365" t="s">
        <v>235</v>
      </c>
      <c r="BC152" s="365"/>
      <c r="BD152" s="365" t="s">
        <v>114</v>
      </c>
      <c r="BE152" s="113" t="e">
        <f t="shared" ca="1" si="55"/>
        <v>#DIV/0!</v>
      </c>
      <c r="BF152" s="113"/>
      <c r="BG152" s="113" t="e">
        <f t="shared" ca="1" si="52"/>
        <v>#DIV/0!</v>
      </c>
      <c r="BH152" s="113" t="e">
        <f t="shared" ca="1" si="52"/>
        <v>#DIV/0!</v>
      </c>
      <c r="BI152" s="113"/>
    </row>
    <row r="153" spans="1:61" ht="15" customHeight="1">
      <c r="A153" s="664" t="s">
        <v>580</v>
      </c>
      <c r="B153" s="730"/>
      <c r="C153" s="837"/>
      <c r="D153" s="837"/>
      <c r="E153" s="837"/>
      <c r="F153" s="837"/>
      <c r="G153" s="837"/>
      <c r="H153" s="594"/>
      <c r="I153" s="594"/>
      <c r="J153" s="673"/>
      <c r="K153" s="667"/>
      <c r="L153" s="312"/>
      <c r="M153" s="778">
        <v>98.08</v>
      </c>
      <c r="N153" s="727">
        <v>32</v>
      </c>
      <c r="O153" s="727">
        <v>39</v>
      </c>
      <c r="P153" s="732">
        <f>M153*O153</f>
        <v>3825.12</v>
      </c>
      <c r="Q153" s="813">
        <f>P153/(P$152+P$153)</f>
        <v>0.50239830201268243</v>
      </c>
      <c r="R153" s="729" t="e">
        <f ca="1">Q153*K$151</f>
        <v>#DIV/0!</v>
      </c>
      <c r="S153" s="114" t="s">
        <v>249</v>
      </c>
      <c r="T153" s="115" t="s">
        <v>250</v>
      </c>
      <c r="U153" s="178" t="s">
        <v>581</v>
      </c>
      <c r="V153" s="256" t="s">
        <v>582</v>
      </c>
      <c r="W153" s="376" t="s">
        <v>440</v>
      </c>
      <c r="X153" s="199" t="e">
        <f ca="1">R442</f>
        <v>#DIV/0!</v>
      </c>
      <c r="Y153" s="151" t="e">
        <f t="shared" ca="1" si="47"/>
        <v>#DIV/0!</v>
      </c>
      <c r="Z153" s="169" t="e">
        <f t="shared" ca="1" si="48"/>
        <v>#DIV/0!</v>
      </c>
      <c r="AA153" s="180"/>
      <c r="AB153" s="110" t="e">
        <f t="shared" ca="1" si="49"/>
        <v>#DIV/0!</v>
      </c>
      <c r="AC153" s="261"/>
      <c r="AD153" s="182"/>
      <c r="AE153" s="245" t="s">
        <v>136</v>
      </c>
      <c r="AF153" s="172" t="s">
        <v>440</v>
      </c>
      <c r="AL153" s="7" t="s">
        <v>136</v>
      </c>
      <c r="AM153" s="102">
        <v>552003</v>
      </c>
      <c r="AN153" s="103" t="s">
        <v>54</v>
      </c>
      <c r="AO153" s="104" t="e">
        <f t="shared" ca="1" si="45"/>
        <v>#DIV/0!</v>
      </c>
      <c r="AP153" s="49"/>
      <c r="AR153" s="112" t="str">
        <f t="shared" si="35"/>
        <v xml:space="preserve"> DC 500T#1</v>
      </c>
      <c r="AS153" s="112" t="str">
        <f t="shared" ref="AS153:AS168" si="56">U153</f>
        <v>0451-62401</v>
      </c>
      <c r="AU153" s="108" t="e">
        <f t="shared" ca="1" si="54"/>
        <v>#DIV/0!</v>
      </c>
      <c r="AV153" s="7" t="s">
        <v>1</v>
      </c>
      <c r="AW153" s="7" t="s">
        <v>507</v>
      </c>
      <c r="BA153" s="48" t="s">
        <v>234</v>
      </c>
      <c r="BB153" s="365" t="s">
        <v>239</v>
      </c>
      <c r="BC153" s="365"/>
      <c r="BD153" s="365" t="s">
        <v>114</v>
      </c>
      <c r="BE153" s="113" t="e">
        <f t="shared" ca="1" si="55"/>
        <v>#DIV/0!</v>
      </c>
      <c r="BF153" s="113"/>
      <c r="BG153" s="113" t="e">
        <f t="shared" ca="1" si="52"/>
        <v>#DIV/0!</v>
      </c>
      <c r="BH153" s="113" t="e">
        <f t="shared" ca="1" si="52"/>
        <v>#DIV/0!</v>
      </c>
      <c r="BI153" s="113"/>
    </row>
    <row r="154" spans="1:61" ht="15" customHeight="1">
      <c r="A154" s="664"/>
      <c r="B154" s="671"/>
      <c r="C154" s="595"/>
      <c r="D154" s="595"/>
      <c r="E154" s="595"/>
      <c r="F154" s="595"/>
      <c r="G154" s="595"/>
      <c r="H154" s="594"/>
      <c r="I154" s="594"/>
      <c r="J154" s="673"/>
      <c r="K154" s="667"/>
      <c r="L154" s="312"/>
      <c r="M154" s="667"/>
      <c r="N154" s="669"/>
      <c r="O154" s="669"/>
      <c r="P154" s="732"/>
      <c r="Q154" s="813"/>
      <c r="R154" s="729"/>
      <c r="S154" s="69"/>
      <c r="T154" s="159"/>
      <c r="U154" s="178" t="s">
        <v>583</v>
      </c>
      <c r="V154" s="156" t="s">
        <v>584</v>
      </c>
      <c r="W154" s="307" t="s">
        <v>440</v>
      </c>
      <c r="X154" s="199" t="e">
        <f ca="1">R441+R351+R330</f>
        <v>#DIV/0!</v>
      </c>
      <c r="Y154" s="151" t="e">
        <f t="shared" ca="1" si="47"/>
        <v>#DIV/0!</v>
      </c>
      <c r="Z154" s="169" t="e">
        <f t="shared" ca="1" si="48"/>
        <v>#DIV/0!</v>
      </c>
      <c r="AA154" s="180"/>
      <c r="AB154" s="110" t="e">
        <f t="shared" ca="1" si="49"/>
        <v>#DIV/0!</v>
      </c>
      <c r="AC154" s="181"/>
      <c r="AD154" s="182"/>
      <c r="AE154" s="245" t="s">
        <v>136</v>
      </c>
      <c r="AF154" s="172" t="s">
        <v>440</v>
      </c>
      <c r="AL154" s="7" t="s">
        <v>136</v>
      </c>
      <c r="AM154" s="102">
        <v>552003</v>
      </c>
      <c r="AN154" s="103" t="s">
        <v>54</v>
      </c>
      <c r="AO154" s="104" t="e">
        <f t="shared" ca="1" si="45"/>
        <v>#DIV/0!</v>
      </c>
      <c r="AP154" s="49"/>
      <c r="AR154" s="112" t="str">
        <f t="shared" si="35"/>
        <v xml:space="preserve"> DC 500T#2</v>
      </c>
      <c r="AS154" s="112" t="str">
        <f t="shared" si="56"/>
        <v>0451-62400</v>
      </c>
      <c r="AU154" s="108" t="e">
        <f t="shared" ca="1" si="54"/>
        <v>#DIV/0!</v>
      </c>
      <c r="AV154" s="7" t="s">
        <v>1</v>
      </c>
      <c r="AW154" s="7" t="s">
        <v>507</v>
      </c>
      <c r="BA154" s="48" t="s">
        <v>244</v>
      </c>
      <c r="BB154" s="365" t="s">
        <v>245</v>
      </c>
      <c r="BC154" s="365"/>
      <c r="BD154" s="365" t="s">
        <v>114</v>
      </c>
      <c r="BE154" s="113" t="e">
        <f t="shared" ca="1" si="55"/>
        <v>#DIV/0!</v>
      </c>
      <c r="BF154" s="113"/>
      <c r="BG154" s="113" t="e">
        <f t="shared" ca="1" si="52"/>
        <v>#DIV/0!</v>
      </c>
      <c r="BH154" s="113" t="e">
        <f t="shared" ca="1" si="52"/>
        <v>#DIV/0!</v>
      </c>
      <c r="BI154" s="113"/>
    </row>
    <row r="155" spans="1:61" ht="15" customHeight="1">
      <c r="A155" s="664" t="s">
        <v>585</v>
      </c>
      <c r="B155" s="723" t="s">
        <v>72</v>
      </c>
      <c r="C155" s="613">
        <v>1</v>
      </c>
      <c r="D155" s="595" t="s">
        <v>47</v>
      </c>
      <c r="E155" s="595"/>
      <c r="F155" s="595" t="s">
        <v>48</v>
      </c>
      <c r="G155" s="595" t="s">
        <v>49</v>
      </c>
      <c r="H155" s="665" cm="1">
        <f t="array" aca="1" ref="H155" ca="1">IFERROR(
    INDIRECT(
        "RawData!" &amp;
        ADDRESS(
            2,
            MATCH(
                TRIM(MID(A155, SEARCH(". ", A155) + 2, LEN(A155))) &amp; ".Import_kWh",
                RawData!$1:$1,
                0
            ),
            4
        )
    ),
    0
)</f>
        <v>0</v>
      </c>
      <c r="I155" s="665" cm="1">
        <f t="array" aca="1" ref="I155" ca="1">IFERROR(
    INDIRECT(
        "RawData!" &amp;
        ADDRESS(
            COUNTA(RawData!A:A),
            MATCH(
                TRIM(MID(A155, SEARCH(". ", A155) + 2, LEN(A155))) &amp; ".Import_kWh",
                RawData!$1:$1,
                0
            ),
            4
        )
    ),
    0
)</f>
        <v>0</v>
      </c>
      <c r="J155" s="666">
        <f ca="1">(I155-H155)*C155</f>
        <v>0</v>
      </c>
      <c r="K155" s="667" t="e">
        <f ca="1">J155*K$147/(J$148+J$151+J$155+J$158+J$159)</f>
        <v>#DIV/0!</v>
      </c>
      <c r="L155" s="312" t="e">
        <f ca="1">K155/J155</f>
        <v>#DIV/0!</v>
      </c>
      <c r="M155" s="825" t="e">
        <f ca="1">R155</f>
        <v>#DIV/0!</v>
      </c>
      <c r="N155" s="727"/>
      <c r="O155" s="727"/>
      <c r="P155" s="732"/>
      <c r="Q155" s="813"/>
      <c r="R155" s="729" t="e">
        <f ca="1">K155</f>
        <v>#DIV/0!</v>
      </c>
      <c r="S155" s="114" t="s">
        <v>126</v>
      </c>
      <c r="T155" s="115" t="s">
        <v>127</v>
      </c>
      <c r="U155" s="178" t="s">
        <v>583</v>
      </c>
      <c r="V155" s="156" t="s">
        <v>586</v>
      </c>
      <c r="W155" s="307" t="s">
        <v>440</v>
      </c>
      <c r="X155" s="199">
        <f ca="1">R407</f>
        <v>0</v>
      </c>
      <c r="Y155" s="151" t="e">
        <f t="shared" ca="1" si="47"/>
        <v>#DIV/0!</v>
      </c>
      <c r="Z155" s="169" t="e">
        <f t="shared" ca="1" si="48"/>
        <v>#DIV/0!</v>
      </c>
      <c r="AA155" s="180"/>
      <c r="AB155" s="110" t="e">
        <f t="shared" ca="1" si="49"/>
        <v>#DIV/0!</v>
      </c>
      <c r="AC155" s="181"/>
      <c r="AD155" s="182"/>
      <c r="AE155" s="245" t="s">
        <v>136</v>
      </c>
      <c r="AF155" s="172" t="s">
        <v>440</v>
      </c>
      <c r="AL155" s="7" t="s">
        <v>136</v>
      </c>
      <c r="AM155" s="102">
        <v>552003</v>
      </c>
      <c r="AN155" s="103" t="s">
        <v>54</v>
      </c>
      <c r="AO155" s="104" t="e">
        <f t="shared" ca="1" si="45"/>
        <v>#DIV/0!</v>
      </c>
      <c r="AP155" s="49"/>
      <c r="AR155" s="112" t="str">
        <f t="shared" si="35"/>
        <v xml:space="preserve"> DC 500T#3</v>
      </c>
      <c r="AS155" s="112" t="str">
        <f t="shared" si="56"/>
        <v>0451-62400</v>
      </c>
      <c r="AU155" s="108" t="e">
        <f t="shared" ca="1" si="54"/>
        <v>#DIV/0!</v>
      </c>
      <c r="AV155" s="7" t="s">
        <v>1</v>
      </c>
      <c r="AW155" s="7" t="s">
        <v>507</v>
      </c>
      <c r="BA155" s="48" t="s">
        <v>249</v>
      </c>
      <c r="BB155" s="365" t="s">
        <v>250</v>
      </c>
      <c r="BC155" s="365"/>
      <c r="BD155" s="365" t="s">
        <v>114</v>
      </c>
      <c r="BE155" s="113" t="e">
        <f ca="1">X43</f>
        <v>#DIV/0!</v>
      </c>
      <c r="BF155" s="113"/>
      <c r="BG155" s="113" t="e">
        <f t="shared" ref="BG155:BH155" ca="1" si="57">Y43</f>
        <v>#DIV/0!</v>
      </c>
      <c r="BH155" s="113" t="e">
        <f t="shared" ca="1" si="57"/>
        <v>#DIV/0!</v>
      </c>
      <c r="BI155" s="113"/>
    </row>
    <row r="156" spans="1:61" ht="15" customHeight="1">
      <c r="A156" s="664" t="s">
        <v>587</v>
      </c>
      <c r="B156" s="723"/>
      <c r="C156" s="613"/>
      <c r="D156" s="613"/>
      <c r="E156" s="613"/>
      <c r="F156" s="613"/>
      <c r="G156" s="613"/>
      <c r="H156" s="594"/>
      <c r="I156" s="594"/>
      <c r="J156" s="673"/>
      <c r="K156" s="667"/>
      <c r="L156" s="312"/>
      <c r="M156" s="732"/>
      <c r="N156" s="727"/>
      <c r="O156" s="727"/>
      <c r="P156" s="732"/>
      <c r="Q156" s="813"/>
      <c r="R156" s="729"/>
      <c r="S156" s="69"/>
      <c r="T156" s="159"/>
      <c r="U156" s="178" t="s">
        <v>583</v>
      </c>
      <c r="V156" s="156" t="s">
        <v>588</v>
      </c>
      <c r="W156" s="307" t="s">
        <v>440</v>
      </c>
      <c r="X156" s="199" t="e">
        <f ca="1">R443+R352</f>
        <v>#DIV/0!</v>
      </c>
      <c r="Y156" s="151" t="e">
        <f t="shared" ca="1" si="47"/>
        <v>#DIV/0!</v>
      </c>
      <c r="Z156" s="169" t="e">
        <f t="shared" ca="1" si="48"/>
        <v>#DIV/0!</v>
      </c>
      <c r="AA156" s="180" t="e">
        <f ca="1">Z153+Z154+Z155+Z156</f>
        <v>#DIV/0!</v>
      </c>
      <c r="AB156" s="129" t="e">
        <f t="shared" ca="1" si="49"/>
        <v>#DIV/0!</v>
      </c>
      <c r="AC156" s="180" t="e">
        <f ca="1">AB153+AB154+AB155+AB156</f>
        <v>#DIV/0!</v>
      </c>
      <c r="AD156" s="182"/>
      <c r="AE156" s="245" t="s">
        <v>136</v>
      </c>
      <c r="AF156" s="172" t="s">
        <v>440</v>
      </c>
      <c r="AL156" s="7" t="s">
        <v>136</v>
      </c>
      <c r="AM156" s="102">
        <v>552003</v>
      </c>
      <c r="AN156" s="103" t="s">
        <v>54</v>
      </c>
      <c r="AO156" s="104" t="e">
        <f t="shared" ca="1" si="45"/>
        <v>#DIV/0!</v>
      </c>
      <c r="AP156" s="49"/>
      <c r="AR156" s="112" t="str">
        <f t="shared" si="35"/>
        <v xml:space="preserve"> DC 500T#5</v>
      </c>
      <c r="AS156" s="112" t="str">
        <f t="shared" si="56"/>
        <v>0451-62400</v>
      </c>
      <c r="AU156" s="108" t="e">
        <f t="shared" ca="1" si="54"/>
        <v>#DIV/0!</v>
      </c>
      <c r="AV156" s="7" t="s">
        <v>1</v>
      </c>
      <c r="AW156" s="7" t="s">
        <v>507</v>
      </c>
      <c r="BA156" s="48" t="s">
        <v>255</v>
      </c>
      <c r="BB156" s="377" t="s">
        <v>256</v>
      </c>
      <c r="BC156" s="365"/>
      <c r="BD156" s="365" t="s">
        <v>114</v>
      </c>
      <c r="BE156" s="113">
        <f t="shared" ref="BE156:BE170" ca="1" si="58">X45</f>
        <v>0</v>
      </c>
      <c r="BF156" s="113"/>
      <c r="BG156" s="113" t="e">
        <f t="shared" ref="BG156:BH170" ca="1" si="59">Y45</f>
        <v>#DIV/0!</v>
      </c>
      <c r="BH156" s="113" t="e">
        <f t="shared" ca="1" si="59"/>
        <v>#DIV/0!</v>
      </c>
      <c r="BI156" s="113"/>
    </row>
    <row r="157" spans="1:61" ht="15" customHeight="1">
      <c r="A157" s="664"/>
      <c r="B157" s="723"/>
      <c r="C157" s="613"/>
      <c r="D157" s="613"/>
      <c r="E157" s="613"/>
      <c r="F157" s="613"/>
      <c r="G157" s="613"/>
      <c r="H157" s="594"/>
      <c r="I157" s="594"/>
      <c r="J157" s="673"/>
      <c r="K157" s="667"/>
      <c r="L157" s="312"/>
      <c r="M157" s="732"/>
      <c r="N157" s="727"/>
      <c r="O157" s="727"/>
      <c r="P157" s="732"/>
      <c r="Q157" s="813"/>
      <c r="R157" s="729"/>
      <c r="S157" s="69"/>
      <c r="T157" s="159"/>
      <c r="U157" s="318" t="s">
        <v>583</v>
      </c>
      <c r="V157" s="319" t="s">
        <v>589</v>
      </c>
      <c r="W157" s="268" t="s">
        <v>440</v>
      </c>
      <c r="X157" s="321">
        <f ca="1">R331</f>
        <v>0</v>
      </c>
      <c r="Y157" s="360"/>
      <c r="Z157" s="361" t="e">
        <f t="shared" ca="1" si="48"/>
        <v>#DIV/0!</v>
      </c>
      <c r="AA157" s="322"/>
      <c r="AB157" s="110" t="e">
        <f t="shared" ca="1" si="49"/>
        <v>#DIV/0!</v>
      </c>
      <c r="AC157" s="322"/>
      <c r="AD157" s="325"/>
      <c r="AE157" s="245" t="s">
        <v>136</v>
      </c>
      <c r="AF157" s="172" t="s">
        <v>440</v>
      </c>
      <c r="AL157" s="7" t="s">
        <v>136</v>
      </c>
      <c r="AM157" s="102">
        <v>552003</v>
      </c>
      <c r="AN157" s="103" t="s">
        <v>54</v>
      </c>
      <c r="AO157" s="104" t="e">
        <f t="shared" ca="1" si="45"/>
        <v>#DIV/0!</v>
      </c>
      <c r="AP157" s="49"/>
      <c r="AR157" s="112" t="str">
        <f t="shared" si="35"/>
        <v xml:space="preserve"> ELETRIC HOLDING FURNACE DC500T#2</v>
      </c>
      <c r="AS157" s="112" t="str">
        <f t="shared" si="56"/>
        <v>0451-62400</v>
      </c>
      <c r="AU157" s="108" t="e">
        <f t="shared" ca="1" si="54"/>
        <v>#DIV/0!</v>
      </c>
      <c r="AV157" s="7" t="s">
        <v>1</v>
      </c>
      <c r="AW157" s="7" t="s">
        <v>507</v>
      </c>
      <c r="BA157" s="48" t="s">
        <v>259</v>
      </c>
      <c r="BB157" s="365" t="s">
        <v>260</v>
      </c>
      <c r="BC157" s="365"/>
      <c r="BD157" s="365" t="s">
        <v>114</v>
      </c>
      <c r="BE157" s="113">
        <f t="shared" si="58"/>
        <v>0</v>
      </c>
      <c r="BF157" s="113"/>
      <c r="BG157" s="113" t="e">
        <f t="shared" ca="1" si="59"/>
        <v>#DIV/0!</v>
      </c>
      <c r="BH157" s="113" t="e">
        <f t="shared" ca="1" si="59"/>
        <v>#DIV/0!</v>
      </c>
      <c r="BI157" s="113"/>
    </row>
    <row r="158" spans="1:61" s="161" customFormat="1" ht="15" customHeight="1">
      <c r="A158" s="664" t="s">
        <v>1168</v>
      </c>
      <c r="B158" s="723" t="s">
        <v>382</v>
      </c>
      <c r="C158" s="613">
        <v>1</v>
      </c>
      <c r="D158" s="613" t="s">
        <v>335</v>
      </c>
      <c r="E158" s="774" t="s">
        <v>336</v>
      </c>
      <c r="F158" s="613" t="s">
        <v>243</v>
      </c>
      <c r="G158" s="613" t="s">
        <v>49</v>
      </c>
      <c r="H158" s="1144" cm="1">
        <f t="array" aca="1" ref="H158" ca="1">IFERROR(
    INDIRECT(
        "RawData!" &amp;
        ADDRESS(
            2,
            MATCH(
                TRIM(MID(A158, SEARCH(". ", A158) + 2, LEN(A158))) &amp; ".Import_kWh",
                RawData!$1:$1,
                0
            ),
            4
        )
    ),
    0
)</f>
        <v>0</v>
      </c>
      <c r="I158" s="1144" cm="1">
        <f t="array" aca="1" ref="I158" ca="1">IFERROR(
    INDIRECT(
        "RawData!" &amp;
        ADDRESS(
            COUNTA(RawData!A:A),
            MATCH(
                TRIM(MID(A158, SEARCH(". ", A158) + 2, LEN(A158))) &amp; ".Import_kWh",
                RawData!$1:$1,
                0
            ),
            4
        )
    ),
    0
)</f>
        <v>0</v>
      </c>
      <c r="J158" s="666">
        <f ca="1">(I158-H158)*C158</f>
        <v>0</v>
      </c>
      <c r="K158" s="667" t="e">
        <f ca="1">J158*K$147/(J$148+J$151+J$155+J$158+J$159)</f>
        <v>#DIV/0!</v>
      </c>
      <c r="L158" s="312" t="e">
        <f t="shared" ref="L158:L165" ca="1" si="60">K158/J158</f>
        <v>#DIV/0!</v>
      </c>
      <c r="M158" s="732"/>
      <c r="N158" s="727"/>
      <c r="O158" s="727"/>
      <c r="P158" s="732"/>
      <c r="Q158" s="813"/>
      <c r="R158" s="729" t="e">
        <f ca="1">K158</f>
        <v>#DIV/0!</v>
      </c>
      <c r="S158" s="114" t="s">
        <v>126</v>
      </c>
      <c r="T158" s="115" t="s">
        <v>127</v>
      </c>
      <c r="U158" s="178" t="s">
        <v>583</v>
      </c>
      <c r="V158" s="156" t="s">
        <v>590</v>
      </c>
      <c r="W158" s="167" t="s">
        <v>440</v>
      </c>
      <c r="X158" s="199">
        <f ca="1">R439</f>
        <v>0</v>
      </c>
      <c r="Y158" s="151"/>
      <c r="Z158" s="169" t="e">
        <f t="shared" ca="1" si="48"/>
        <v>#DIV/0!</v>
      </c>
      <c r="AA158" s="180"/>
      <c r="AB158" s="110" t="e">
        <f t="shared" ca="1" si="49"/>
        <v>#DIV/0!</v>
      </c>
      <c r="AC158" s="180"/>
      <c r="AD158" s="182"/>
      <c r="AE158" s="245" t="s">
        <v>136</v>
      </c>
      <c r="AF158" s="172" t="s">
        <v>440</v>
      </c>
      <c r="AG158" s="7"/>
      <c r="AH158" s="7"/>
      <c r="AI158" s="7"/>
      <c r="AJ158" s="7"/>
      <c r="AK158" s="7"/>
      <c r="AL158" s="7" t="s">
        <v>136</v>
      </c>
      <c r="AM158" s="102">
        <v>552003</v>
      </c>
      <c r="AN158" s="103" t="s">
        <v>54</v>
      </c>
      <c r="AO158" s="104" t="e">
        <f t="shared" ca="1" si="45"/>
        <v>#DIV/0!</v>
      </c>
      <c r="AP158" s="49"/>
      <c r="AQ158" s="7"/>
      <c r="AR158" s="112" t="str">
        <f t="shared" si="35"/>
        <v xml:space="preserve"> ELETRIC HOLDING FURNACE DC500T#1</v>
      </c>
      <c r="AS158" s="112" t="str">
        <f t="shared" si="56"/>
        <v>0451-62400</v>
      </c>
      <c r="AT158" s="7"/>
      <c r="AU158" s="108" t="e">
        <f t="shared" ca="1" si="54"/>
        <v>#DIV/0!</v>
      </c>
      <c r="AV158" s="7" t="s">
        <v>1</v>
      </c>
      <c r="AW158" s="7" t="s">
        <v>507</v>
      </c>
      <c r="BA158" s="48" t="s">
        <v>266</v>
      </c>
      <c r="BB158" s="365" t="s">
        <v>267</v>
      </c>
      <c r="BC158" s="365"/>
      <c r="BD158" s="365" t="s">
        <v>114</v>
      </c>
      <c r="BE158" s="113">
        <f t="shared" ca="1" si="58"/>
        <v>0</v>
      </c>
      <c r="BF158" s="113"/>
      <c r="BG158" s="113" t="e">
        <f t="shared" ca="1" si="59"/>
        <v>#DIV/0!</v>
      </c>
      <c r="BH158" s="113" t="e">
        <f t="shared" ca="1" si="59"/>
        <v>#DIV/0!</v>
      </c>
      <c r="BI158" s="113"/>
    </row>
    <row r="159" spans="1:61" s="161" customFormat="1" ht="15" customHeight="1">
      <c r="A159" s="664" t="s">
        <v>1167</v>
      </c>
      <c r="B159" s="723" t="s">
        <v>382</v>
      </c>
      <c r="C159" s="613">
        <v>1</v>
      </c>
      <c r="D159" s="595" t="s">
        <v>47</v>
      </c>
      <c r="E159" s="595"/>
      <c r="F159" s="595" t="s">
        <v>48</v>
      </c>
      <c r="G159" s="595" t="s">
        <v>49</v>
      </c>
      <c r="H159" s="665" cm="1">
        <f t="array" aca="1" ref="H159" ca="1">IFERROR(
    INDIRECT(
        "RawData!" &amp;
        ADDRESS(
            2,
            MATCH(
                TRIM(MID(A159, SEARCH(". ", A159) + 2, LEN(A159))) &amp; ".Import_kWh",
                RawData!$1:$1,
                0
            ),
            4
        )
    ),
    0
)</f>
        <v>0</v>
      </c>
      <c r="I159" s="665" cm="1">
        <f t="array" aca="1" ref="I159" ca="1">IFERROR(
    INDIRECT(
        "RawData!" &amp;
        ADDRESS(
            COUNTA(RawData!A:A),
            MATCH(
                TRIM(MID(A159, SEARCH(". ", A159) + 2, LEN(A159))) &amp; ".Import_kWh",
                RawData!$1:$1,
                0
            ),
            4
        )
    ),
    0
)</f>
        <v>0</v>
      </c>
      <c r="J159" s="666">
        <f ca="1">(I159-H159)*C159</f>
        <v>0</v>
      </c>
      <c r="K159" s="667" t="e">
        <f ca="1">J159*K$147/(J$148+J$151+J$155+J$158+J$159)</f>
        <v>#DIV/0!</v>
      </c>
      <c r="L159" s="312" t="e">
        <f t="shared" ca="1" si="60"/>
        <v>#DIV/0!</v>
      </c>
      <c r="M159" s="732"/>
      <c r="N159" s="727"/>
      <c r="O159" s="727"/>
      <c r="P159" s="732"/>
      <c r="Q159" s="813"/>
      <c r="R159" s="729" t="e">
        <f ca="1">K159</f>
        <v>#DIV/0!</v>
      </c>
      <c r="S159" s="114" t="s">
        <v>420</v>
      </c>
      <c r="T159" s="115" t="s">
        <v>421</v>
      </c>
      <c r="U159" s="236" t="s">
        <v>583</v>
      </c>
      <c r="V159" s="237" t="s">
        <v>591</v>
      </c>
      <c r="W159" s="192" t="s">
        <v>440</v>
      </c>
      <c r="X159" s="238">
        <f ca="1">R405</f>
        <v>0</v>
      </c>
      <c r="Y159" s="239"/>
      <c r="Z159" s="240" t="e">
        <f t="shared" ca="1" si="48"/>
        <v>#DIV/0!</v>
      </c>
      <c r="AA159" s="241"/>
      <c r="AB159" s="129" t="e">
        <f t="shared" ca="1" si="49"/>
        <v>#DIV/0!</v>
      </c>
      <c r="AC159" s="241"/>
      <c r="AD159" s="243"/>
      <c r="AE159" s="245" t="s">
        <v>136</v>
      </c>
      <c r="AF159" s="172" t="s">
        <v>440</v>
      </c>
      <c r="AG159" s="7"/>
      <c r="AH159" s="7"/>
      <c r="AI159" s="7"/>
      <c r="AJ159" s="7"/>
      <c r="AL159" s="7" t="s">
        <v>136</v>
      </c>
      <c r="AM159" s="102">
        <v>552003</v>
      </c>
      <c r="AN159" s="103" t="s">
        <v>54</v>
      </c>
      <c r="AO159" s="104" t="e">
        <f t="shared" ca="1" si="45"/>
        <v>#DIV/0!</v>
      </c>
      <c r="AP159" s="49"/>
      <c r="AQ159" s="7"/>
      <c r="AR159" s="112" t="str">
        <f t="shared" si="35"/>
        <v xml:space="preserve"> ELETRIC HOLDING FURNACE DC500T#3</v>
      </c>
      <c r="AS159" s="112" t="str">
        <f t="shared" si="56"/>
        <v>0451-62400</v>
      </c>
      <c r="AT159" s="7"/>
      <c r="AU159" s="108" t="e">
        <f t="shared" ca="1" si="54"/>
        <v>#DIV/0!</v>
      </c>
      <c r="AV159" s="7" t="s">
        <v>1</v>
      </c>
      <c r="AW159" s="7" t="s">
        <v>507</v>
      </c>
      <c r="BA159" s="48" t="s">
        <v>266</v>
      </c>
      <c r="BB159" s="365" t="s">
        <v>274</v>
      </c>
      <c r="BC159" s="365"/>
      <c r="BD159" s="365" t="s">
        <v>114</v>
      </c>
      <c r="BE159" s="113">
        <f t="shared" ca="1" si="58"/>
        <v>0</v>
      </c>
      <c r="BF159" s="113"/>
      <c r="BG159" s="113" t="e">
        <f t="shared" ca="1" si="59"/>
        <v>#DIV/0!</v>
      </c>
      <c r="BH159" s="113" t="e">
        <f t="shared" ca="1" si="59"/>
        <v>#DIV/0!</v>
      </c>
      <c r="BI159" s="113"/>
    </row>
    <row r="160" spans="1:61" s="161" customFormat="1" ht="15" customHeight="1">
      <c r="A160" s="678" t="s">
        <v>592</v>
      </c>
      <c r="B160" s="823" t="s">
        <v>64</v>
      </c>
      <c r="C160" s="754">
        <v>1</v>
      </c>
      <c r="D160" s="654" t="s">
        <v>47</v>
      </c>
      <c r="E160" s="654"/>
      <c r="F160" s="654" t="s">
        <v>48</v>
      </c>
      <c r="G160" s="654" t="s">
        <v>49</v>
      </c>
      <c r="H160" s="655" cm="1">
        <f t="array" aca="1" ref="H160" ca="1">IFERROR(
    INDIRECT(
        "RawData!" &amp;
        ADDRESS(
            2,
            MATCH(
                TRIM(MID(A160, SEARCH(". ", A160) + 2, LEN(A160))) &amp; ".Import_kWh",
                RawData!$1:$1,
                0
            ),
            4
        )
    ),
    0
)</f>
        <v>0</v>
      </c>
      <c r="I160" s="655" cm="1">
        <f t="array" aca="1" ref="I160" ca="1">IFERROR(
    INDIRECT(
        "RawData!" &amp;
        ADDRESS(
            COUNTA(RawData!A:A),
            MATCH(
                TRIM(MID(A160, SEARCH(". ", A160) + 2, LEN(A160))) &amp; ".Import_kWh",
                RawData!$1:$1,
                0
            ),
            4
        )
    ),
    0
)</f>
        <v>0</v>
      </c>
      <c r="J160" s="680">
        <f ca="1">(I160-H160)*C160</f>
        <v>0</v>
      </c>
      <c r="K160" s="824" t="e">
        <f ca="1">J160*K$138/(J$139+J$147+J$160+J$183+J$187+J$190+J$202+J$210)</f>
        <v>#DIV/0!</v>
      </c>
      <c r="L160" s="681" t="e">
        <f t="shared" ca="1" si="60"/>
        <v>#DIV/0!</v>
      </c>
      <c r="M160" s="718" t="e">
        <f ca="1">M161+M176+R180+R181</f>
        <v>#DIV/0!</v>
      </c>
      <c r="N160" s="719"/>
      <c r="O160" s="719"/>
      <c r="P160" s="720"/>
      <c r="Q160" s="756"/>
      <c r="R160" s="722"/>
      <c r="S160" s="69"/>
      <c r="T160" s="159"/>
      <c r="U160" s="178" t="s">
        <v>593</v>
      </c>
      <c r="V160" s="156" t="s">
        <v>594</v>
      </c>
      <c r="W160" s="307" t="s">
        <v>440</v>
      </c>
      <c r="X160" s="199" t="e">
        <f ca="1">R309+R435+R311</f>
        <v>#DIV/0!</v>
      </c>
      <c r="Y160" s="151" t="e">
        <f t="shared" ca="1" si="47"/>
        <v>#DIV/0!</v>
      </c>
      <c r="Z160" s="169" t="e">
        <f t="shared" ca="1" si="48"/>
        <v>#DIV/0!</v>
      </c>
      <c r="AA160" s="180"/>
      <c r="AB160" s="110" t="e">
        <f t="shared" ca="1" si="49"/>
        <v>#DIV/0!</v>
      </c>
      <c r="AC160" s="261"/>
      <c r="AD160" s="182"/>
      <c r="AE160" s="245" t="s">
        <v>136</v>
      </c>
      <c r="AF160" s="172" t="s">
        <v>440</v>
      </c>
      <c r="AG160" s="7"/>
      <c r="AH160" s="7"/>
      <c r="AI160" s="7"/>
      <c r="AJ160" s="7"/>
      <c r="AL160" s="7" t="s">
        <v>136</v>
      </c>
      <c r="AM160" s="102">
        <v>552003</v>
      </c>
      <c r="AN160" s="103" t="s">
        <v>54</v>
      </c>
      <c r="AO160" s="104" t="e">
        <f t="shared" ca="1" si="45"/>
        <v>#DIV/0!</v>
      </c>
      <c r="AP160" s="49"/>
      <c r="AQ160" s="7"/>
      <c r="AR160" s="112" t="str">
        <f t="shared" si="35"/>
        <v xml:space="preserve"> DC 650T#1</v>
      </c>
      <c r="AS160" s="112" t="str">
        <f t="shared" si="56"/>
        <v>0451-62500</v>
      </c>
      <c r="AT160" s="7"/>
      <c r="AU160" s="108" t="e">
        <f t="shared" ca="1" si="54"/>
        <v>#DIV/0!</v>
      </c>
      <c r="AV160" s="7" t="s">
        <v>1</v>
      </c>
      <c r="AW160" s="7" t="s">
        <v>507</v>
      </c>
      <c r="BA160" s="48" t="s">
        <v>279</v>
      </c>
      <c r="BB160" s="365" t="s">
        <v>280</v>
      </c>
      <c r="BC160" s="365"/>
      <c r="BD160" s="365" t="s">
        <v>114</v>
      </c>
      <c r="BE160" s="113">
        <f t="shared" ca="1" si="58"/>
        <v>0</v>
      </c>
      <c r="BF160" s="113"/>
      <c r="BG160" s="113" t="e">
        <f t="shared" ca="1" si="59"/>
        <v>#DIV/0!</v>
      </c>
      <c r="BH160" s="113" t="e">
        <f t="shared" ca="1" si="59"/>
        <v>#DIV/0!</v>
      </c>
      <c r="BI160" s="113"/>
    </row>
    <row r="161" spans="1:61" s="161" customFormat="1" ht="15" customHeight="1">
      <c r="A161" s="664" t="s">
        <v>595</v>
      </c>
      <c r="B161" s="723" t="s">
        <v>101</v>
      </c>
      <c r="C161" s="613">
        <v>1</v>
      </c>
      <c r="D161" s="595" t="s">
        <v>47</v>
      </c>
      <c r="E161" s="595"/>
      <c r="F161" s="595" t="s">
        <v>48</v>
      </c>
      <c r="G161" s="595" t="s">
        <v>49</v>
      </c>
      <c r="H161" s="665" cm="1">
        <f t="array" aca="1" ref="H161" ca="1">IFERROR(
    INDIRECT(
        "RawData!" &amp;
        ADDRESS(
            2,
            MATCH(
                TRIM(MID(A161, SEARCH(". ", A161) + 2, LEN(A161))) &amp; ".Import_kWh",
                RawData!$1:$1,
                0
            ),
            4
        )
    ),
    0
)</f>
        <v>0</v>
      </c>
      <c r="I161" s="665" cm="1">
        <f t="array" aca="1" ref="I161" ca="1">IFERROR(
    INDIRECT(
        "RawData!" &amp;
        ADDRESS(
            COUNTA(RawData!A:A),
            MATCH(
                TRIM(MID(A161, SEARCH(". ", A161) + 2, LEN(A161))) &amp; ".Import_kWh",
                RawData!$1:$1,
                0
            ),
            4
        )
    ),
    0
)</f>
        <v>0</v>
      </c>
      <c r="J161" s="666">
        <f ca="1">(I161-H161)*C161</f>
        <v>0</v>
      </c>
      <c r="K161" s="667" t="e">
        <f ca="1">J161*K$160/(J$161+J$176+J$180+J$181)</f>
        <v>#DIV/0!</v>
      </c>
      <c r="L161" s="312" t="e">
        <f t="shared" ca="1" si="60"/>
        <v>#DIV/0!</v>
      </c>
      <c r="M161" s="726" t="e">
        <f ca="1">R163+R164+R166+R167+R170+R172+R173+R174</f>
        <v>#DIV/0!</v>
      </c>
      <c r="N161" s="727"/>
      <c r="O161" s="727"/>
      <c r="P161" s="838"/>
      <c r="Q161" s="813"/>
      <c r="R161" s="729"/>
      <c r="S161" s="69"/>
      <c r="T161" s="159"/>
      <c r="U161" s="178" t="s">
        <v>593</v>
      </c>
      <c r="V161" s="156" t="s">
        <v>596</v>
      </c>
      <c r="W161" s="307" t="s">
        <v>440</v>
      </c>
      <c r="X161" s="199" t="e">
        <f ca="1">R308+R436+R312</f>
        <v>#DIV/0!</v>
      </c>
      <c r="Y161" s="151" t="e">
        <f t="shared" ca="1" si="47"/>
        <v>#DIV/0!</v>
      </c>
      <c r="Z161" s="169" t="e">
        <f t="shared" ca="1" si="48"/>
        <v>#DIV/0!</v>
      </c>
      <c r="AA161" s="180"/>
      <c r="AB161" s="110" t="e">
        <f t="shared" ca="1" si="49"/>
        <v>#DIV/0!</v>
      </c>
      <c r="AC161" s="181"/>
      <c r="AD161" s="182"/>
      <c r="AE161" s="245" t="s">
        <v>136</v>
      </c>
      <c r="AF161" s="172" t="s">
        <v>440</v>
      </c>
      <c r="AG161" s="7"/>
      <c r="AH161" s="7"/>
      <c r="AI161" s="7"/>
      <c r="AJ161" s="7"/>
      <c r="AL161" s="7" t="s">
        <v>136</v>
      </c>
      <c r="AM161" s="102">
        <v>552003</v>
      </c>
      <c r="AN161" s="103" t="s">
        <v>54</v>
      </c>
      <c r="AO161" s="104" t="e">
        <f t="shared" ca="1" si="45"/>
        <v>#DIV/0!</v>
      </c>
      <c r="AP161" s="49"/>
      <c r="AQ161" s="7"/>
      <c r="AR161" s="112" t="str">
        <f t="shared" si="35"/>
        <v xml:space="preserve"> DC 650T#2</v>
      </c>
      <c r="AS161" s="112" t="str">
        <f t="shared" si="56"/>
        <v>0451-62500</v>
      </c>
      <c r="AT161" s="7"/>
      <c r="AU161" s="108" t="e">
        <f t="shared" ca="1" si="54"/>
        <v>#DIV/0!</v>
      </c>
      <c r="AV161" s="7" t="s">
        <v>1</v>
      </c>
      <c r="AW161" s="7" t="s">
        <v>507</v>
      </c>
      <c r="BA161" s="48" t="s">
        <v>266</v>
      </c>
      <c r="BB161" s="365" t="s">
        <v>283</v>
      </c>
      <c r="BC161" s="365"/>
      <c r="BD161" s="365" t="s">
        <v>114</v>
      </c>
      <c r="BE161" s="113" t="e">
        <f t="shared" ca="1" si="58"/>
        <v>#DIV/0!</v>
      </c>
      <c r="BF161" s="113"/>
      <c r="BG161" s="113" t="e">
        <f t="shared" ca="1" si="59"/>
        <v>#DIV/0!</v>
      </c>
      <c r="BH161" s="113" t="e">
        <f t="shared" ca="1" si="59"/>
        <v>#DIV/0!</v>
      </c>
      <c r="BI161" s="113"/>
    </row>
    <row r="162" spans="1:61" s="161" customFormat="1" ht="15" customHeight="1">
      <c r="A162" s="664" t="s">
        <v>1170</v>
      </c>
      <c r="B162" s="723" t="s">
        <v>185</v>
      </c>
      <c r="C162" s="613">
        <v>1</v>
      </c>
      <c r="D162" s="595" t="s">
        <v>47</v>
      </c>
      <c r="E162" s="595"/>
      <c r="F162" s="595" t="s">
        <v>48</v>
      </c>
      <c r="G162" s="595" t="s">
        <v>49</v>
      </c>
      <c r="H162" s="665" cm="1">
        <f t="array" aca="1" ref="H162" ca="1">IFERROR(
    INDIRECT(
        "RawData!" &amp;
        ADDRESS(
            2,
            MATCH(
                TRIM(MID(A162, SEARCH(". ", A162) + 2, LEN(A162))) &amp; ".Import_kWh",
                RawData!$1:$1,
                0
            ),
            4
        )
    ),
    0
)</f>
        <v>0</v>
      </c>
      <c r="I162" s="665" cm="1">
        <f t="array" aca="1" ref="I162" ca="1">IFERROR(
    INDIRECT(
        "RawData!" &amp;
        ADDRESS(
            COUNTA(RawData!A:A),
            MATCH(
                TRIM(MID(A162, SEARCH(". ", A162) + 2, LEN(A162))) &amp; ".Import_kWh",
                RawData!$1:$1,
                0
            ),
            4
        )
    ),
    0
)</f>
        <v>0</v>
      </c>
      <c r="J162" s="666">
        <f ca="1">(I162-H162)*C162</f>
        <v>0</v>
      </c>
      <c r="K162" s="667">
        <f ca="1">J162</f>
        <v>0</v>
      </c>
      <c r="L162" s="312" t="e">
        <f t="shared" ca="1" si="60"/>
        <v>#DIV/0!</v>
      </c>
      <c r="M162" s="795">
        <f ca="1">R163+R164</f>
        <v>0</v>
      </c>
      <c r="N162" s="727"/>
      <c r="O162" s="727"/>
      <c r="P162" s="732"/>
      <c r="Q162" s="813"/>
      <c r="R162" s="729"/>
      <c r="S162" s="69"/>
      <c r="T162" s="159"/>
      <c r="U162" s="178" t="s">
        <v>593</v>
      </c>
      <c r="V162" s="156" t="s">
        <v>597</v>
      </c>
      <c r="W162" s="307" t="s">
        <v>440</v>
      </c>
      <c r="X162" s="199" t="e">
        <f ca="1">R333</f>
        <v>#DIV/0!</v>
      </c>
      <c r="Y162" s="151" t="e">
        <f t="shared" ca="1" si="47"/>
        <v>#DIV/0!</v>
      </c>
      <c r="Z162" s="169" t="e">
        <f t="shared" ca="1" si="48"/>
        <v>#DIV/0!</v>
      </c>
      <c r="AA162" s="180" t="e">
        <f ca="1">Z160+Z161+Z162</f>
        <v>#DIV/0!</v>
      </c>
      <c r="AB162" s="129" t="e">
        <f t="shared" ca="1" si="49"/>
        <v>#DIV/0!</v>
      </c>
      <c r="AC162" s="242" t="e">
        <f ca="1">AB160+AB161+AB162</f>
        <v>#DIV/0!</v>
      </c>
      <c r="AD162" s="243"/>
      <c r="AE162" s="245" t="s">
        <v>136</v>
      </c>
      <c r="AF162" s="172" t="s">
        <v>440</v>
      </c>
      <c r="AH162" s="7"/>
      <c r="AI162" s="7"/>
      <c r="AJ162" s="7"/>
      <c r="AL162" s="7" t="s">
        <v>136</v>
      </c>
      <c r="AM162" s="102">
        <v>552003</v>
      </c>
      <c r="AN162" s="103" t="s">
        <v>54</v>
      </c>
      <c r="AO162" s="104" t="e">
        <f t="shared" ca="1" si="45"/>
        <v>#DIV/0!</v>
      </c>
      <c r="AP162" s="49"/>
      <c r="AQ162" s="7"/>
      <c r="AR162" s="112" t="str">
        <f t="shared" si="35"/>
        <v xml:space="preserve"> DC 650T#5</v>
      </c>
      <c r="AS162" s="112" t="str">
        <f t="shared" si="56"/>
        <v>0451-62500</v>
      </c>
      <c r="AT162" s="7"/>
      <c r="AU162" s="108" t="e">
        <f t="shared" ca="1" si="54"/>
        <v>#DIV/0!</v>
      </c>
      <c r="AV162" s="7" t="s">
        <v>1</v>
      </c>
      <c r="AW162" s="7" t="s">
        <v>507</v>
      </c>
      <c r="BA162" s="48" t="s">
        <v>287</v>
      </c>
      <c r="BB162" s="365" t="s">
        <v>288</v>
      </c>
      <c r="BC162" s="365"/>
      <c r="BD162" s="365" t="s">
        <v>114</v>
      </c>
      <c r="BE162" s="113">
        <f t="shared" ca="1" si="58"/>
        <v>0</v>
      </c>
      <c r="BF162" s="113"/>
      <c r="BG162" s="113" t="e">
        <f t="shared" ca="1" si="59"/>
        <v>#DIV/0!</v>
      </c>
      <c r="BH162" s="113" t="e">
        <f t="shared" ca="1" si="59"/>
        <v>#DIV/0!</v>
      </c>
      <c r="BI162" s="113"/>
    </row>
    <row r="163" spans="1:61" s="161" customFormat="1" ht="15" customHeight="1">
      <c r="A163" s="555" t="s">
        <v>598</v>
      </c>
      <c r="B163" s="839"/>
      <c r="C163" s="595"/>
      <c r="D163" s="595"/>
      <c r="E163" s="595"/>
      <c r="F163" s="595"/>
      <c r="G163" s="595"/>
      <c r="H163" s="594"/>
      <c r="I163" s="594"/>
      <c r="J163" s="673"/>
      <c r="K163" s="667"/>
      <c r="L163" s="312"/>
      <c r="M163" s="699">
        <f>12+11.2+28.64+1.6+2.4</f>
        <v>55.84</v>
      </c>
      <c r="N163" s="669">
        <v>27</v>
      </c>
      <c r="O163" s="669">
        <v>40</v>
      </c>
      <c r="P163" s="838">
        <f>M163*O163</f>
        <v>2233.6000000000004</v>
      </c>
      <c r="Q163" s="603">
        <f>P163/(P$163+P$164)</f>
        <v>0.29559049282727229</v>
      </c>
      <c r="R163" s="569">
        <f ca="1">K162*Q163</f>
        <v>0</v>
      </c>
      <c r="S163" s="114" t="s">
        <v>309</v>
      </c>
      <c r="T163" s="115" t="s">
        <v>310</v>
      </c>
      <c r="U163" s="378" t="s">
        <v>269</v>
      </c>
      <c r="V163" s="379" t="s">
        <v>270</v>
      </c>
      <c r="W163" s="320" t="s">
        <v>135</v>
      </c>
      <c r="X163" s="321" t="e">
        <f ca="1">R494+R496</f>
        <v>#DIV/0!</v>
      </c>
      <c r="Y163" s="360" t="e">
        <f t="shared" ca="1" si="47"/>
        <v>#DIV/0!</v>
      </c>
      <c r="Z163" s="361" t="e">
        <f t="shared" ca="1" si="48"/>
        <v>#DIV/0!</v>
      </c>
      <c r="AA163" s="322"/>
      <c r="AB163" s="110" t="e">
        <f t="shared" ca="1" si="49"/>
        <v>#DIV/0!</v>
      </c>
      <c r="AC163" s="181"/>
      <c r="AD163" s="182"/>
      <c r="AE163" s="245" t="s">
        <v>136</v>
      </c>
      <c r="AF163" s="245" t="s">
        <v>135</v>
      </c>
      <c r="AH163" s="7"/>
      <c r="AI163" s="7"/>
      <c r="AL163" s="7" t="s">
        <v>136</v>
      </c>
      <c r="AM163" s="102">
        <v>552003</v>
      </c>
      <c r="AN163" s="103" t="s">
        <v>54</v>
      </c>
      <c r="AO163" s="104" t="e">
        <f t="shared" ca="1" si="45"/>
        <v>#DIV/0!</v>
      </c>
      <c r="AP163" s="49"/>
      <c r="AQ163" s="7"/>
      <c r="AR163" s="112" t="str">
        <f t="shared" si="35"/>
        <v xml:space="preserve"> DC 800T#1</v>
      </c>
      <c r="AS163" s="112" t="str">
        <f t="shared" si="56"/>
        <v>0451-626C0</v>
      </c>
      <c r="AT163" s="7"/>
      <c r="AU163" s="108" t="e">
        <f t="shared" ca="1" si="54"/>
        <v>#DIV/0!</v>
      </c>
      <c r="AV163" s="7" t="s">
        <v>1</v>
      </c>
      <c r="AW163" s="7" t="s">
        <v>507</v>
      </c>
      <c r="BA163" s="48" t="s">
        <v>292</v>
      </c>
      <c r="BB163" s="365" t="s">
        <v>293</v>
      </c>
      <c r="BC163" s="365"/>
      <c r="BD163" s="365" t="s">
        <v>114</v>
      </c>
      <c r="BE163" s="113">
        <f t="shared" ca="1" si="58"/>
        <v>0</v>
      </c>
      <c r="BF163" s="113"/>
      <c r="BG163" s="113" t="e">
        <f t="shared" ca="1" si="59"/>
        <v>#DIV/0!</v>
      </c>
      <c r="BH163" s="113" t="e">
        <f t="shared" ca="1" si="59"/>
        <v>#DIV/0!</v>
      </c>
      <c r="BI163" s="113"/>
    </row>
    <row r="164" spans="1:61" s="161" customFormat="1" ht="15" customHeight="1">
      <c r="A164" s="555" t="s">
        <v>599</v>
      </c>
      <c r="B164" s="839"/>
      <c r="C164" s="595"/>
      <c r="D164" s="595"/>
      <c r="E164" s="595"/>
      <c r="F164" s="595"/>
      <c r="G164" s="595"/>
      <c r="H164" s="594"/>
      <c r="I164" s="594"/>
      <c r="J164" s="675"/>
      <c r="K164" s="667"/>
      <c r="L164" s="312"/>
      <c r="M164" s="568">
        <f>28.64+13.6+1.61+28.64+6.34+28.64+13.6+12</f>
        <v>133.07</v>
      </c>
      <c r="N164" s="669">
        <v>28</v>
      </c>
      <c r="O164" s="669">
        <v>40</v>
      </c>
      <c r="P164" s="838">
        <f>M164*O164</f>
        <v>5322.7999999999993</v>
      </c>
      <c r="Q164" s="603">
        <f>P164/(P$163+P$164)</f>
        <v>0.70440950717272766</v>
      </c>
      <c r="R164" s="569">
        <f ca="1">K162*Q164</f>
        <v>0</v>
      </c>
      <c r="S164" s="114" t="s">
        <v>314</v>
      </c>
      <c r="T164" s="115" t="s">
        <v>315</v>
      </c>
      <c r="U164" s="359" t="s">
        <v>276</v>
      </c>
      <c r="V164" s="156" t="s">
        <v>277</v>
      </c>
      <c r="W164" s="307" t="s">
        <v>135</v>
      </c>
      <c r="X164" s="199" t="e">
        <f ca="1">R480+R529+R528</f>
        <v>#DIV/0!</v>
      </c>
      <c r="Y164" s="151" t="e">
        <f t="shared" ca="1" si="47"/>
        <v>#DIV/0!</v>
      </c>
      <c r="Z164" s="169" t="e">
        <f t="shared" ca="1" si="48"/>
        <v>#DIV/0!</v>
      </c>
      <c r="AA164" s="180"/>
      <c r="AB164" s="110" t="e">
        <f t="shared" ca="1" si="49"/>
        <v>#DIV/0!</v>
      </c>
      <c r="AC164" s="261"/>
      <c r="AD164" s="182"/>
      <c r="AE164" s="245" t="s">
        <v>136</v>
      </c>
      <c r="AF164" s="245" t="s">
        <v>135</v>
      </c>
      <c r="AH164" s="7"/>
      <c r="AI164" s="7"/>
      <c r="AL164" s="7" t="s">
        <v>136</v>
      </c>
      <c r="AM164" s="102">
        <v>552003</v>
      </c>
      <c r="AN164" s="103" t="s">
        <v>54</v>
      </c>
      <c r="AO164" s="104" t="e">
        <f t="shared" ca="1" si="45"/>
        <v>#DIV/0!</v>
      </c>
      <c r="AP164" s="49"/>
      <c r="AQ164" s="7"/>
      <c r="AR164" s="112" t="str">
        <f t="shared" si="35"/>
        <v xml:space="preserve"> DC 800T#2</v>
      </c>
      <c r="AS164" s="112" t="str">
        <f t="shared" si="56"/>
        <v>0451-626F0</v>
      </c>
      <c r="AT164" s="7"/>
      <c r="AU164" s="108" t="e">
        <f t="shared" ca="1" si="54"/>
        <v>#DIV/0!</v>
      </c>
      <c r="AV164" s="7" t="s">
        <v>1</v>
      </c>
      <c r="AW164" s="7" t="s">
        <v>507</v>
      </c>
      <c r="BA164" s="48" t="s">
        <v>296</v>
      </c>
      <c r="BB164" s="365" t="s">
        <v>297</v>
      </c>
      <c r="BC164" s="365"/>
      <c r="BD164" s="365" t="s">
        <v>114</v>
      </c>
      <c r="BE164" s="113">
        <f t="shared" ca="1" si="58"/>
        <v>0</v>
      </c>
      <c r="BF164" s="113"/>
      <c r="BG164" s="113" t="e">
        <f t="shared" ca="1" si="59"/>
        <v>#DIV/0!</v>
      </c>
      <c r="BH164" s="113" t="e">
        <f t="shared" ca="1" si="59"/>
        <v>#DIV/0!</v>
      </c>
      <c r="BI164" s="113"/>
    </row>
    <row r="165" spans="1:61" ht="15" customHeight="1">
      <c r="A165" s="664" t="s">
        <v>1169</v>
      </c>
      <c r="B165" s="595" t="s">
        <v>185</v>
      </c>
      <c r="C165" s="595">
        <v>1</v>
      </c>
      <c r="D165" s="595" t="s">
        <v>47</v>
      </c>
      <c r="E165" s="595"/>
      <c r="F165" s="595" t="s">
        <v>48</v>
      </c>
      <c r="G165" s="595" t="s">
        <v>49</v>
      </c>
      <c r="H165" s="665" cm="1">
        <f t="array" aca="1" ref="H165" ca="1">IFERROR(
    INDIRECT(
        "RawData!" &amp;
        ADDRESS(
            2,
            MATCH(
                TRIM(MID(A165, SEARCH(". ", A165) + 2, LEN(A165))) &amp; ".Import_kWh",
                RawData!$1:$1,
                0
            ),
            4
        )
    ),
    0
)</f>
        <v>0</v>
      </c>
      <c r="I165" s="665" cm="1">
        <f t="array" aca="1" ref="I165" ca="1">IFERROR(
    INDIRECT(
        "RawData!" &amp;
        ADDRESS(
            COUNTA(RawData!A:A),
            MATCH(
                TRIM(MID(A165, SEARCH(". ", A165) + 2, LEN(A165))) &amp; ".Import_kWh",
                RawData!$1:$1,
                0
            ),
            4
        )
    ),
    0
)</f>
        <v>0</v>
      </c>
      <c r="J165" s="666">
        <f ca="1">(I165-H165)*C165</f>
        <v>0</v>
      </c>
      <c r="K165" s="667">
        <f ca="1">J165</f>
        <v>0</v>
      </c>
      <c r="L165" s="840" t="e">
        <f t="shared" ca="1" si="60"/>
        <v>#DIV/0!</v>
      </c>
      <c r="M165" s="668">
        <f ca="1">R166+R167+R168</f>
        <v>0</v>
      </c>
      <c r="N165" s="669"/>
      <c r="O165" s="669"/>
      <c r="P165" s="568"/>
      <c r="Q165" s="603"/>
      <c r="R165" s="569"/>
      <c r="S165" s="69"/>
      <c r="T165" s="159"/>
      <c r="U165" s="359" t="s">
        <v>468</v>
      </c>
      <c r="V165" s="166" t="s">
        <v>469</v>
      </c>
      <c r="W165" s="307" t="s">
        <v>429</v>
      </c>
      <c r="X165" s="199">
        <f ca="1">R585</f>
        <v>0</v>
      </c>
      <c r="Y165" s="151" t="e">
        <f t="shared" ca="1" si="47"/>
        <v>#DIV/0!</v>
      </c>
      <c r="Z165" s="169" t="e">
        <f t="shared" ca="1" si="48"/>
        <v>#DIV/0!</v>
      </c>
      <c r="AA165" s="180"/>
      <c r="AB165" s="110" t="e">
        <f t="shared" ca="1" si="49"/>
        <v>#DIV/0!</v>
      </c>
      <c r="AC165" s="181"/>
      <c r="AD165" s="182"/>
      <c r="AE165" s="245" t="s">
        <v>136</v>
      </c>
      <c r="AF165" s="245" t="s">
        <v>429</v>
      </c>
      <c r="AG165" s="161"/>
      <c r="AJ165" s="161"/>
      <c r="AK165" s="161"/>
      <c r="AL165" s="7" t="s">
        <v>136</v>
      </c>
      <c r="AM165" s="102">
        <v>552003</v>
      </c>
      <c r="AN165" s="103" t="s">
        <v>54</v>
      </c>
      <c r="AO165" s="104" t="e">
        <f t="shared" ca="1" si="45"/>
        <v>#DIV/0!</v>
      </c>
      <c r="AP165" s="49"/>
      <c r="AR165" s="112" t="str">
        <f t="shared" ref="AR165:AR168" si="61">V165</f>
        <v xml:space="preserve"> DC 800T#5</v>
      </c>
      <c r="AS165" s="112" t="str">
        <f t="shared" si="56"/>
        <v>0451-626N0</v>
      </c>
      <c r="AU165" s="108" t="e">
        <f t="shared" ca="1" si="54"/>
        <v>#DIV/0!</v>
      </c>
      <c r="AV165" s="7" t="s">
        <v>1</v>
      </c>
      <c r="AW165" s="7" t="s">
        <v>507</v>
      </c>
      <c r="BA165" s="48" t="s">
        <v>300</v>
      </c>
      <c r="BB165" s="365" t="s">
        <v>301</v>
      </c>
      <c r="BC165" s="365"/>
      <c r="BD165" s="365" t="s">
        <v>114</v>
      </c>
      <c r="BE165" s="113" t="e">
        <f t="shared" ca="1" si="58"/>
        <v>#DIV/0!</v>
      </c>
      <c r="BF165" s="113"/>
      <c r="BG165" s="113" t="e">
        <f t="shared" ca="1" si="59"/>
        <v>#DIV/0!</v>
      </c>
      <c r="BH165" s="113" t="e">
        <f t="shared" ca="1" si="59"/>
        <v>#DIV/0!</v>
      </c>
      <c r="BI165" s="113"/>
    </row>
    <row r="166" spans="1:61" ht="15" customHeight="1">
      <c r="A166" s="555" t="s">
        <v>600</v>
      </c>
      <c r="B166" s="595"/>
      <c r="C166" s="595"/>
      <c r="D166" s="595"/>
      <c r="E166" s="595"/>
      <c r="F166" s="595"/>
      <c r="G166" s="595"/>
      <c r="H166" s="762"/>
      <c r="I166" s="762"/>
      <c r="J166" s="673"/>
      <c r="K166" s="667"/>
      <c r="L166" s="312"/>
      <c r="M166" s="568"/>
      <c r="N166" s="669">
        <v>0</v>
      </c>
      <c r="O166" s="669">
        <v>0</v>
      </c>
      <c r="P166" s="838">
        <f>M166*O166</f>
        <v>0</v>
      </c>
      <c r="Q166" s="603">
        <f>P166/(P$166+P$167+P$168)</f>
        <v>0</v>
      </c>
      <c r="R166" s="569">
        <f ca="1">Q166*K165</f>
        <v>0</v>
      </c>
      <c r="S166" s="114" t="s">
        <v>292</v>
      </c>
      <c r="T166" s="115" t="s">
        <v>293</v>
      </c>
      <c r="U166" s="380" t="s">
        <v>269</v>
      </c>
      <c r="V166" s="381" t="s">
        <v>281</v>
      </c>
      <c r="W166" s="307" t="s">
        <v>135</v>
      </c>
      <c r="X166" s="199" t="e">
        <f ca="1">R521+R473</f>
        <v>#DIV/0!</v>
      </c>
      <c r="Y166" s="151" t="e">
        <f t="shared" ca="1" si="47"/>
        <v>#DIV/0!</v>
      </c>
      <c r="Z166" s="169" t="e">
        <f t="shared" ca="1" si="48"/>
        <v>#DIV/0!</v>
      </c>
      <c r="AA166" s="180"/>
      <c r="AB166" s="110" t="e">
        <f t="shared" ca="1" si="49"/>
        <v>#DIV/0!</v>
      </c>
      <c r="AC166" s="181"/>
      <c r="AD166" s="366"/>
      <c r="AE166" s="245" t="s">
        <v>136</v>
      </c>
      <c r="AF166" s="245" t="s">
        <v>135</v>
      </c>
      <c r="AG166" s="161"/>
      <c r="AH166" s="161"/>
      <c r="AI166" s="161"/>
      <c r="AJ166" s="161"/>
      <c r="AL166" s="7" t="s">
        <v>136</v>
      </c>
      <c r="AM166" s="102">
        <v>552003</v>
      </c>
      <c r="AN166" s="103" t="s">
        <v>54</v>
      </c>
      <c r="AO166" s="104" t="e">
        <f t="shared" ca="1" si="45"/>
        <v>#DIV/0!</v>
      </c>
      <c r="AP166" s="49"/>
      <c r="AR166" s="112" t="str">
        <f t="shared" si="61"/>
        <v xml:space="preserve"> DC 800T#6</v>
      </c>
      <c r="AS166" s="112" t="str">
        <f t="shared" si="56"/>
        <v>0451-626C0</v>
      </c>
      <c r="AU166" s="108" t="e">
        <f t="shared" ca="1" si="54"/>
        <v>#DIV/0!</v>
      </c>
      <c r="AV166" s="7" t="s">
        <v>1</v>
      </c>
      <c r="AW166" s="7" t="s">
        <v>507</v>
      </c>
      <c r="BA166" s="48" t="s">
        <v>292</v>
      </c>
      <c r="BB166" s="365" t="s">
        <v>306</v>
      </c>
      <c r="BC166" s="365"/>
      <c r="BD166" s="365" t="s">
        <v>114</v>
      </c>
      <c r="BE166" s="113">
        <f t="shared" ca="1" si="58"/>
        <v>0</v>
      </c>
      <c r="BF166" s="113"/>
      <c r="BG166" s="113" t="e">
        <f t="shared" ca="1" si="59"/>
        <v>#DIV/0!</v>
      </c>
      <c r="BH166" s="113" t="e">
        <f t="shared" ca="1" si="59"/>
        <v>#DIV/0!</v>
      </c>
      <c r="BI166" s="113"/>
    </row>
    <row r="167" spans="1:61" ht="15" customHeight="1">
      <c r="A167" s="555" t="s">
        <v>601</v>
      </c>
      <c r="B167" s="595"/>
      <c r="C167" s="595"/>
      <c r="D167" s="595"/>
      <c r="E167" s="595"/>
      <c r="F167" s="595"/>
      <c r="G167" s="595"/>
      <c r="H167" s="762"/>
      <c r="I167" s="762"/>
      <c r="J167" s="673"/>
      <c r="K167" s="667"/>
      <c r="L167" s="312"/>
      <c r="M167" s="699">
        <f>28.64</f>
        <v>28.64</v>
      </c>
      <c r="N167" s="669">
        <v>30</v>
      </c>
      <c r="O167" s="669">
        <v>40</v>
      </c>
      <c r="P167" s="838">
        <f>M167*O167</f>
        <v>1145.5999999999999</v>
      </c>
      <c r="Q167" s="603">
        <f>P167/(P$166+P$167+P$168)</f>
        <v>1</v>
      </c>
      <c r="R167" s="569">
        <f ca="1">Q167*K165</f>
        <v>0</v>
      </c>
      <c r="S167" s="114" t="s">
        <v>309</v>
      </c>
      <c r="T167" s="115" t="s">
        <v>310</v>
      </c>
      <c r="U167" s="116" t="s">
        <v>485</v>
      </c>
      <c r="V167" s="166" t="s">
        <v>486</v>
      </c>
      <c r="W167" s="307" t="s">
        <v>429</v>
      </c>
      <c r="X167" s="199">
        <f ca="1">R643</f>
        <v>0</v>
      </c>
      <c r="Y167" s="151" t="e">
        <f t="shared" ca="1" si="47"/>
        <v>#DIV/0!</v>
      </c>
      <c r="Z167" s="169" t="e">
        <f t="shared" ca="1" si="48"/>
        <v>#DIV/0!</v>
      </c>
      <c r="AA167" s="180"/>
      <c r="AB167" s="110" t="e">
        <f t="shared" ca="1" si="49"/>
        <v>#DIV/0!</v>
      </c>
      <c r="AC167" s="181"/>
      <c r="AD167" s="182"/>
      <c r="AE167" s="245" t="s">
        <v>136</v>
      </c>
      <c r="AF167" s="245" t="s">
        <v>429</v>
      </c>
      <c r="AG167" s="161"/>
      <c r="AH167" s="161"/>
      <c r="AI167" s="161"/>
      <c r="AJ167" s="161"/>
      <c r="AL167" s="7" t="s">
        <v>136</v>
      </c>
      <c r="AM167" s="102">
        <v>552003</v>
      </c>
      <c r="AN167" s="103" t="s">
        <v>54</v>
      </c>
      <c r="AO167" s="104" t="e">
        <f t="shared" ca="1" si="45"/>
        <v>#DIV/0!</v>
      </c>
      <c r="AP167" s="49"/>
      <c r="AR167" s="112" t="str">
        <f t="shared" si="61"/>
        <v xml:space="preserve"> DC 850T#7</v>
      </c>
      <c r="AS167" s="112" t="str">
        <f t="shared" si="56"/>
        <v>0451-626A0</v>
      </c>
      <c r="AU167" s="108" t="e">
        <f t="shared" ca="1" si="54"/>
        <v>#DIV/0!</v>
      </c>
      <c r="AV167" s="7" t="s">
        <v>1</v>
      </c>
      <c r="AW167" s="7" t="s">
        <v>507</v>
      </c>
      <c r="BA167" s="48" t="s">
        <v>309</v>
      </c>
      <c r="BB167" s="365" t="s">
        <v>310</v>
      </c>
      <c r="BC167" s="365"/>
      <c r="BD167" s="365" t="s">
        <v>114</v>
      </c>
      <c r="BE167" s="113" t="e">
        <f t="shared" ca="1" si="58"/>
        <v>#DIV/0!</v>
      </c>
      <c r="BF167" s="113"/>
      <c r="BG167" s="113" t="e">
        <f t="shared" ca="1" si="59"/>
        <v>#DIV/0!</v>
      </c>
      <c r="BH167" s="113" t="e">
        <f t="shared" ca="1" si="59"/>
        <v>#DIV/0!</v>
      </c>
      <c r="BI167" s="113"/>
    </row>
    <row r="168" spans="1:61" ht="15" customHeight="1">
      <c r="A168" s="695" t="s">
        <v>602</v>
      </c>
      <c r="B168" s="841"/>
      <c r="C168" s="736"/>
      <c r="D168" s="736"/>
      <c r="E168" s="736"/>
      <c r="F168" s="736"/>
      <c r="G168" s="736"/>
      <c r="H168" s="737"/>
      <c r="I168" s="737"/>
      <c r="J168" s="698"/>
      <c r="K168" s="699"/>
      <c r="L168" s="700"/>
      <c r="M168" s="738">
        <f>1.6+2.96</f>
        <v>4.5600000000000005</v>
      </c>
      <c r="N168" s="716">
        <v>0</v>
      </c>
      <c r="O168" s="716">
        <v>0</v>
      </c>
      <c r="P168" s="842">
        <f>M168*O168</f>
        <v>0</v>
      </c>
      <c r="Q168" s="843">
        <f>P168/(P$166+P$167+P$168)</f>
        <v>0</v>
      </c>
      <c r="R168" s="704">
        <f ca="1">K$165*Q168</f>
        <v>0</v>
      </c>
      <c r="S168" s="114" t="s">
        <v>292</v>
      </c>
      <c r="T168" s="115" t="s">
        <v>293</v>
      </c>
      <c r="U168" s="359" t="s">
        <v>603</v>
      </c>
      <c r="V168" s="156" t="s">
        <v>285</v>
      </c>
      <c r="W168" s="307" t="s">
        <v>135</v>
      </c>
      <c r="X168" s="199">
        <f ca="1">R544+R542</f>
        <v>0</v>
      </c>
      <c r="Y168" s="151" t="e">
        <f t="shared" ca="1" si="47"/>
        <v>#DIV/0!</v>
      </c>
      <c r="Z168" s="169" t="e">
        <f t="shared" ca="1" si="48"/>
        <v>#DIV/0!</v>
      </c>
      <c r="AA168" s="180"/>
      <c r="AB168" s="110" t="e">
        <f t="shared" ca="1" si="49"/>
        <v>#DIV/0!</v>
      </c>
      <c r="AC168" s="181"/>
      <c r="AD168" s="182"/>
      <c r="AE168" s="245" t="s">
        <v>136</v>
      </c>
      <c r="AF168" s="245" t="s">
        <v>135</v>
      </c>
      <c r="AG168" s="161"/>
      <c r="AH168" s="161"/>
      <c r="AI168" s="161"/>
      <c r="AJ168" s="161"/>
      <c r="AL168" s="7" t="s">
        <v>136</v>
      </c>
      <c r="AM168" s="102">
        <v>552003</v>
      </c>
      <c r="AN168" s="103" t="s">
        <v>54</v>
      </c>
      <c r="AO168" s="104" t="e">
        <f t="shared" ca="1" si="45"/>
        <v>#DIV/0!</v>
      </c>
      <c r="AP168" s="49"/>
      <c r="AR168" s="112" t="str">
        <f t="shared" si="61"/>
        <v xml:space="preserve"> DC 800T#8</v>
      </c>
      <c r="AS168" s="112" t="str">
        <f t="shared" si="56"/>
        <v>0451-626B8</v>
      </c>
      <c r="AU168" s="108" t="e">
        <f t="shared" ca="1" si="54"/>
        <v>#DIV/0!</v>
      </c>
      <c r="AV168" s="7" t="s">
        <v>1</v>
      </c>
      <c r="AW168" s="7" t="s">
        <v>507</v>
      </c>
      <c r="BA168" s="48" t="s">
        <v>309</v>
      </c>
      <c r="BB168" s="365" t="s">
        <v>312</v>
      </c>
      <c r="BC168" s="365"/>
      <c r="BD168" s="365" t="s">
        <v>114</v>
      </c>
      <c r="BE168" s="113" t="e">
        <f t="shared" ca="1" si="58"/>
        <v>#DIV/0!</v>
      </c>
      <c r="BF168" s="113"/>
      <c r="BG168" s="113" t="e">
        <f t="shared" ca="1" si="59"/>
        <v>#DIV/0!</v>
      </c>
      <c r="BH168" s="113" t="e">
        <f t="shared" ca="1" si="59"/>
        <v>#DIV/0!</v>
      </c>
      <c r="BI168" s="113"/>
    </row>
    <row r="169" spans="1:61" ht="15" customHeight="1">
      <c r="A169" s="664" t="s">
        <v>1248</v>
      </c>
      <c r="B169" s="723" t="s">
        <v>382</v>
      </c>
      <c r="C169" s="613">
        <v>1</v>
      </c>
      <c r="D169" s="595" t="s">
        <v>47</v>
      </c>
      <c r="E169" s="595"/>
      <c r="F169" s="595" t="s">
        <v>48</v>
      </c>
      <c r="G169" s="595" t="s">
        <v>49</v>
      </c>
      <c r="H169" s="665" cm="1">
        <f t="array" aca="1" ref="H169" ca="1">IFERROR(
    INDIRECT(
        "RawData!" &amp;
        ADDRESS(
            2,
            MATCH(
                TRIM(MID(A169, SEARCH(". ", A169) + 2, LEN(A169))) &amp; ".Import_kWh",
                RawData!$1:$1,
                0
            ),
            4
        )
    ),
    0
)</f>
        <v>0</v>
      </c>
      <c r="I169" s="665" cm="1">
        <f t="array" aca="1" ref="I169" ca="1">IFERROR(
    INDIRECT(
        "RawData!" &amp;
        ADDRESS(
            COUNTA(RawData!A:A),
            MATCH(
                TRIM(MID(A169, SEARCH(". ", A169) + 2, LEN(A169))) &amp; ".Import_kWh",
                RawData!$1:$1,
                0
            ),
            4
        )
    ),
    0
)</f>
        <v>0</v>
      </c>
      <c r="J169" s="666">
        <f ca="1">(I169-H169)*C169</f>
        <v>0</v>
      </c>
      <c r="K169" s="667">
        <f ca="1">J169</f>
        <v>0</v>
      </c>
      <c r="L169" s="312" t="e">
        <f ca="1">K169/J169</f>
        <v>#DIV/0!</v>
      </c>
      <c r="M169" s="825">
        <f ca="1">R170</f>
        <v>0</v>
      </c>
      <c r="N169" s="727"/>
      <c r="O169" s="727"/>
      <c r="P169" s="838"/>
      <c r="Q169" s="813"/>
      <c r="R169" s="729"/>
      <c r="S169" s="69"/>
      <c r="T169" s="159"/>
      <c r="U169" s="359" t="s">
        <v>289</v>
      </c>
      <c r="V169" s="166" t="s">
        <v>290</v>
      </c>
      <c r="W169" s="307" t="s">
        <v>135</v>
      </c>
      <c r="X169" s="199" t="e">
        <f ca="1">R487</f>
        <v>#DIV/0!</v>
      </c>
      <c r="Y169" s="151" t="e">
        <f t="shared" ca="1" si="47"/>
        <v>#DIV/0!</v>
      </c>
      <c r="Z169" s="169" t="e">
        <f t="shared" ca="1" si="48"/>
        <v>#DIV/0!</v>
      </c>
      <c r="AA169" s="180"/>
      <c r="AB169" s="110" t="e">
        <f t="shared" ca="1" si="49"/>
        <v>#DIV/0!</v>
      </c>
      <c r="AC169" s="181"/>
      <c r="AD169" s="182"/>
      <c r="AE169" s="245" t="s">
        <v>136</v>
      </c>
      <c r="AF169" s="245" t="s">
        <v>135</v>
      </c>
      <c r="AH169" s="161"/>
      <c r="AI169" s="161"/>
      <c r="AJ169" s="161"/>
      <c r="AL169" s="7" t="s">
        <v>136</v>
      </c>
      <c r="AM169" s="102">
        <v>552003</v>
      </c>
      <c r="AN169" s="382" t="s">
        <v>54</v>
      </c>
      <c r="AO169" s="104" t="e">
        <f t="shared" ca="1" si="45"/>
        <v>#DIV/0!</v>
      </c>
      <c r="AP169" s="383"/>
      <c r="AQ169" s="161"/>
      <c r="AR169" s="112" t="str">
        <f>V169</f>
        <v xml:space="preserve"> DC 800T#9</v>
      </c>
      <c r="AS169" s="112" t="str">
        <f>U169</f>
        <v>0451-626H0</v>
      </c>
      <c r="AT169" s="161"/>
      <c r="AU169" s="108" t="e">
        <f t="shared" ca="1" si="54"/>
        <v>#DIV/0!</v>
      </c>
      <c r="AV169" s="161" t="s">
        <v>1</v>
      </c>
      <c r="AW169" s="161" t="s">
        <v>507</v>
      </c>
      <c r="BA169" s="48" t="s">
        <v>314</v>
      </c>
      <c r="BB169" s="365" t="s">
        <v>315</v>
      </c>
      <c r="BC169" s="365"/>
      <c r="BD169" s="365" t="s">
        <v>114</v>
      </c>
      <c r="BE169" s="113">
        <f t="shared" ca="1" si="58"/>
        <v>0</v>
      </c>
      <c r="BF169" s="113"/>
      <c r="BG169" s="113" t="e">
        <f t="shared" ca="1" si="59"/>
        <v>#DIV/0!</v>
      </c>
      <c r="BH169" s="113" t="e">
        <f t="shared" ca="1" si="59"/>
        <v>#DIV/0!</v>
      </c>
      <c r="BI169" s="113"/>
    </row>
    <row r="170" spans="1:61" ht="15" customHeight="1">
      <c r="A170" s="555" t="s">
        <v>604</v>
      </c>
      <c r="B170" s="723"/>
      <c r="C170" s="613"/>
      <c r="D170" s="613"/>
      <c r="E170" s="613"/>
      <c r="F170" s="613"/>
      <c r="G170" s="613"/>
      <c r="H170" s="594"/>
      <c r="I170" s="594"/>
      <c r="J170" s="673"/>
      <c r="K170" s="667"/>
      <c r="L170" s="312"/>
      <c r="M170" s="732"/>
      <c r="N170" s="727"/>
      <c r="O170" s="727"/>
      <c r="P170" s="838"/>
      <c r="Q170" s="813"/>
      <c r="R170" s="729">
        <f ca="1">K169</f>
        <v>0</v>
      </c>
      <c r="S170" s="114" t="s">
        <v>73</v>
      </c>
      <c r="T170" s="115" t="s">
        <v>112</v>
      </c>
      <c r="U170" s="359" t="s">
        <v>284</v>
      </c>
      <c r="V170" s="166" t="s">
        <v>294</v>
      </c>
      <c r="W170" s="307" t="s">
        <v>135</v>
      </c>
      <c r="X170" s="199">
        <v>0</v>
      </c>
      <c r="Y170" s="151">
        <v>0</v>
      </c>
      <c r="Z170" s="169">
        <v>0</v>
      </c>
      <c r="AA170" s="180"/>
      <c r="AB170" s="110" t="e">
        <f t="shared" ca="1" si="49"/>
        <v>#DIV/0!</v>
      </c>
      <c r="AC170" s="181"/>
      <c r="AD170" s="182"/>
      <c r="AE170" s="245" t="s">
        <v>136</v>
      </c>
      <c r="AF170" s="245" t="s">
        <v>135</v>
      </c>
      <c r="AH170" s="161"/>
      <c r="AI170" s="161"/>
      <c r="AL170" s="7" t="s">
        <v>136</v>
      </c>
      <c r="AM170" s="102">
        <v>552003</v>
      </c>
      <c r="AN170" s="382" t="s">
        <v>54</v>
      </c>
      <c r="AO170" s="104" t="e">
        <f t="shared" ca="1" si="45"/>
        <v>#DIV/0!</v>
      </c>
      <c r="AP170" s="383"/>
      <c r="AQ170" s="161"/>
      <c r="AR170" s="112" t="str">
        <f>V170</f>
        <v xml:space="preserve"> DC 800T#10</v>
      </c>
      <c r="AS170" s="112" t="s">
        <v>284</v>
      </c>
      <c r="AT170" s="161"/>
      <c r="AU170" s="108">
        <f t="shared" si="54"/>
        <v>0</v>
      </c>
      <c r="AV170" s="161" t="s">
        <v>1</v>
      </c>
      <c r="AW170" s="161" t="s">
        <v>507</v>
      </c>
      <c r="BA170" s="48" t="s">
        <v>314</v>
      </c>
      <c r="BB170" s="365" t="s">
        <v>318</v>
      </c>
      <c r="BC170" s="365"/>
      <c r="BD170" s="365" t="s">
        <v>114</v>
      </c>
      <c r="BE170" s="113">
        <f t="shared" ca="1" si="58"/>
        <v>0</v>
      </c>
      <c r="BF170" s="113"/>
      <c r="BG170" s="113" t="e">
        <f t="shared" ca="1" si="59"/>
        <v>#DIV/0!</v>
      </c>
      <c r="BH170" s="113" t="e">
        <f t="shared" ca="1" si="59"/>
        <v>#DIV/0!</v>
      </c>
      <c r="BI170" s="113"/>
    </row>
    <row r="171" spans="1:61" ht="15" customHeight="1">
      <c r="A171" s="664"/>
      <c r="B171" s="723"/>
      <c r="C171" s="613"/>
      <c r="D171" s="613"/>
      <c r="E171" s="613"/>
      <c r="F171" s="613"/>
      <c r="G171" s="613"/>
      <c r="H171" s="594"/>
      <c r="I171" s="594"/>
      <c r="J171" s="673"/>
      <c r="K171" s="667"/>
      <c r="L171" s="312"/>
      <c r="M171" s="732"/>
      <c r="N171" s="727"/>
      <c r="O171" s="727"/>
      <c r="P171" s="838"/>
      <c r="Q171" s="813"/>
      <c r="R171" s="729"/>
      <c r="S171" s="69"/>
      <c r="T171" s="159"/>
      <c r="U171" s="359" t="s">
        <v>605</v>
      </c>
      <c r="V171" s="156" t="s">
        <v>490</v>
      </c>
      <c r="W171" s="307" t="s">
        <v>429</v>
      </c>
      <c r="X171" s="199" t="e">
        <f ca="1">R575</f>
        <v>#DIV/0!</v>
      </c>
      <c r="Y171" s="151" t="e">
        <f t="shared" ca="1" si="47"/>
        <v>#DIV/0!</v>
      </c>
      <c r="Z171" s="169" t="e">
        <f t="shared" ca="1" si="48"/>
        <v>#DIV/0!</v>
      </c>
      <c r="AA171" s="180"/>
      <c r="AB171" s="110" t="e">
        <f t="shared" ca="1" si="49"/>
        <v>#DIV/0!</v>
      </c>
      <c r="AC171" s="181"/>
      <c r="AD171" s="182"/>
      <c r="AE171" s="245" t="s">
        <v>136</v>
      </c>
      <c r="AF171" s="245" t="s">
        <v>429</v>
      </c>
      <c r="AH171" s="161"/>
      <c r="AI171" s="161"/>
      <c r="AL171" s="7" t="s">
        <v>136</v>
      </c>
      <c r="AM171" s="384">
        <v>552003</v>
      </c>
      <c r="AN171" s="385" t="s">
        <v>54</v>
      </c>
      <c r="AO171" s="386" t="e">
        <f t="shared" ca="1" si="45"/>
        <v>#DIV/0!</v>
      </c>
      <c r="AP171" s="387"/>
      <c r="AQ171" s="388"/>
      <c r="AR171" s="389" t="str">
        <f t="shared" ref="AR171:AR233" si="62">V171</f>
        <v xml:space="preserve"> DC 850T#11</v>
      </c>
      <c r="AS171" s="389" t="str">
        <f t="shared" ref="AS171:AS199" si="63">U171</f>
        <v>0451-626AK</v>
      </c>
      <c r="AT171" s="388"/>
      <c r="AU171" s="390" t="e">
        <f t="shared" ca="1" si="54"/>
        <v>#DIV/0!</v>
      </c>
      <c r="AV171" s="388" t="s">
        <v>1</v>
      </c>
      <c r="AW171" s="388" t="s">
        <v>507</v>
      </c>
      <c r="BA171" s="48" t="s">
        <v>420</v>
      </c>
      <c r="BB171" s="365" t="s">
        <v>421</v>
      </c>
      <c r="BC171" s="365"/>
      <c r="BD171" s="365" t="s">
        <v>114</v>
      </c>
      <c r="BE171" s="113" t="e">
        <f ca="1">X89</f>
        <v>#DIV/0!</v>
      </c>
      <c r="BF171" s="113"/>
      <c r="BG171" s="113">
        <f>Y89</f>
        <v>0</v>
      </c>
      <c r="BH171" s="113" t="e">
        <f ca="1">Z89</f>
        <v>#DIV/0!</v>
      </c>
      <c r="BI171" s="113"/>
    </row>
    <row r="172" spans="1:61" ht="15" customHeight="1">
      <c r="A172" s="664" t="s">
        <v>1249</v>
      </c>
      <c r="B172" s="723" t="s">
        <v>382</v>
      </c>
      <c r="C172" s="613">
        <v>1</v>
      </c>
      <c r="D172" s="595" t="s">
        <v>47</v>
      </c>
      <c r="E172" s="595"/>
      <c r="F172" s="595" t="s">
        <v>243</v>
      </c>
      <c r="G172" s="595" t="s">
        <v>49</v>
      </c>
      <c r="H172" s="665" cm="1">
        <f t="array" aca="1" ref="H172" ca="1">IFERROR(
    INDIRECT(
        "RawData!" &amp;
        ADDRESS(
            2,
            MATCH(
                TRIM(MID(A172, SEARCH(". ", A172) + 2, LEN(A172))) &amp; ".Import_kWh",
                RawData!$1:$1,
                0
            ),
            4
        )
    ),
    0
)</f>
        <v>0</v>
      </c>
      <c r="I172" s="665" cm="1">
        <f t="array" aca="1" ref="I172" ca="1">IFERROR(
    INDIRECT(
        "RawData!" &amp;
        ADDRESS(
            COUNTA(RawData!A:A),
            MATCH(
                TRIM(MID(A172, SEARCH(". ", A172) + 2, LEN(A172))) &amp; ".Import_kWh",
                RawData!$1:$1,
                0
            ),
            4
        )
    ),
    0
)</f>
        <v>0</v>
      </c>
      <c r="J172" s="666">
        <f ca="1">(I172-H172)*C172</f>
        <v>0</v>
      </c>
      <c r="K172" s="667">
        <f ca="1">J172</f>
        <v>0</v>
      </c>
      <c r="L172" s="312" t="e">
        <f ca="1">K172/J172</f>
        <v>#DIV/0!</v>
      </c>
      <c r="M172" s="732"/>
      <c r="N172" s="727"/>
      <c r="O172" s="727"/>
      <c r="P172" s="838"/>
      <c r="Q172" s="813"/>
      <c r="R172" s="729">
        <f ca="1">K172</f>
        <v>0</v>
      </c>
      <c r="S172" s="114" t="s">
        <v>73</v>
      </c>
      <c r="T172" s="115" t="s">
        <v>112</v>
      </c>
      <c r="U172" s="359" t="s">
        <v>606</v>
      </c>
      <c r="V172" s="166" t="s">
        <v>298</v>
      </c>
      <c r="W172" s="307" t="s">
        <v>135</v>
      </c>
      <c r="X172" s="199" t="e">
        <f ca="1">R541</f>
        <v>#DIV/0!</v>
      </c>
      <c r="Y172" s="151" t="e">
        <f t="shared" ca="1" si="47"/>
        <v>#DIV/0!</v>
      </c>
      <c r="Z172" s="169" t="e">
        <f t="shared" ca="1" si="48"/>
        <v>#DIV/0!</v>
      </c>
      <c r="AA172" s="180"/>
      <c r="AB172" s="110" t="e">
        <f t="shared" ca="1" si="49"/>
        <v>#DIV/0!</v>
      </c>
      <c r="AC172" s="180"/>
      <c r="AD172" s="182"/>
      <c r="AE172" s="245" t="s">
        <v>136</v>
      </c>
      <c r="AF172" s="245" t="s">
        <v>135</v>
      </c>
      <c r="AH172" s="161"/>
      <c r="AI172" s="161"/>
      <c r="AL172" s="7" t="s">
        <v>136</v>
      </c>
      <c r="AM172" s="102">
        <v>552003</v>
      </c>
      <c r="AN172" s="382" t="s">
        <v>54</v>
      </c>
      <c r="AO172" s="104" t="e">
        <f t="shared" ca="1" si="45"/>
        <v>#DIV/0!</v>
      </c>
      <c r="AP172" s="383"/>
      <c r="AQ172" s="161"/>
      <c r="AR172" s="112" t="str">
        <f t="shared" si="62"/>
        <v xml:space="preserve"> DC 800T#12</v>
      </c>
      <c r="AS172" s="112" t="str">
        <f t="shared" si="63"/>
        <v>0451-626BL</v>
      </c>
      <c r="AT172" s="161"/>
      <c r="AU172" s="108" t="e">
        <f t="shared" ca="1" si="54"/>
        <v>#DIV/0!</v>
      </c>
      <c r="AV172" s="161" t="s">
        <v>1</v>
      </c>
      <c r="AW172" s="161" t="s">
        <v>507</v>
      </c>
      <c r="BA172" s="365" t="s">
        <v>607</v>
      </c>
      <c r="BB172" s="365" t="s">
        <v>608</v>
      </c>
      <c r="BC172" s="365"/>
      <c r="BD172" s="365" t="s">
        <v>609</v>
      </c>
      <c r="BE172" s="391" t="e">
        <f ca="1">X223</f>
        <v>#DIV/0!</v>
      </c>
      <c r="BF172" s="391"/>
      <c r="BG172" s="391" t="e">
        <f ca="1">Y223</f>
        <v>#DIV/0!</v>
      </c>
      <c r="BH172" s="391" t="e">
        <f ca="1">Z223</f>
        <v>#DIV/0!</v>
      </c>
      <c r="BI172" s="391"/>
    </row>
    <row r="173" spans="1:61" ht="15" customHeight="1">
      <c r="A173" s="664" t="s">
        <v>1250</v>
      </c>
      <c r="B173" s="723" t="s">
        <v>382</v>
      </c>
      <c r="C173" s="613">
        <v>1</v>
      </c>
      <c r="D173" s="595" t="s">
        <v>47</v>
      </c>
      <c r="E173" s="595"/>
      <c r="F173" s="595" t="s">
        <v>48</v>
      </c>
      <c r="G173" s="595" t="s">
        <v>49</v>
      </c>
      <c r="H173" s="665" cm="1">
        <f t="array" aca="1" ref="H173" ca="1">IFERROR(
    INDIRECT(
        "RawData!" &amp;
        ADDRESS(
            2,
            MATCH(
                TRIM(MID(A173, SEARCH(". ", A173) + 2, LEN(A173))) &amp; ".Import_kWh",
                RawData!$1:$1,
                0
            ),
            4
        )
    ),
    0
)</f>
        <v>0</v>
      </c>
      <c r="I173" s="665" cm="1">
        <f t="array" aca="1" ref="I173" ca="1">IFERROR(
    INDIRECT(
        "RawData!" &amp;
        ADDRESS(
            COUNTA(RawData!A:A),
            MATCH(
                TRIM(MID(A173, SEARCH(". ", A173) + 2, LEN(A173))) &amp; ".Import_kWh",
                RawData!$1:$1,
                0
            ),
            4
        )
    ),
    0
)</f>
        <v>0</v>
      </c>
      <c r="J173" s="666">
        <f ca="1">(I173-H173)*C173</f>
        <v>0</v>
      </c>
      <c r="K173" s="667">
        <f ca="1">J173</f>
        <v>0</v>
      </c>
      <c r="L173" s="312" t="e">
        <f ca="1">K173/J173</f>
        <v>#DIV/0!</v>
      </c>
      <c r="M173" s="732"/>
      <c r="N173" s="727"/>
      <c r="O173" s="727"/>
      <c r="P173" s="844"/>
      <c r="Q173" s="813"/>
      <c r="R173" s="729">
        <f ca="1">K173</f>
        <v>0</v>
      </c>
      <c r="S173" s="114" t="s">
        <v>73</v>
      </c>
      <c r="T173" s="115" t="s">
        <v>112</v>
      </c>
      <c r="U173" s="359" t="s">
        <v>492</v>
      </c>
      <c r="V173" s="156" t="s">
        <v>493</v>
      </c>
      <c r="W173" s="307" t="s">
        <v>429</v>
      </c>
      <c r="X173" s="199">
        <f ca="1">R570</f>
        <v>0</v>
      </c>
      <c r="Y173" s="151" t="e">
        <f t="shared" ca="1" si="47"/>
        <v>#DIV/0!</v>
      </c>
      <c r="Z173" s="169" t="e">
        <f t="shared" ca="1" si="48"/>
        <v>#DIV/0!</v>
      </c>
      <c r="AA173" s="180"/>
      <c r="AB173" s="110" t="e">
        <f t="shared" ca="1" si="49"/>
        <v>#DIV/0!</v>
      </c>
      <c r="AC173" s="180"/>
      <c r="AD173" s="182"/>
      <c r="AE173" s="245" t="s">
        <v>136</v>
      </c>
      <c r="AF173" s="245" t="s">
        <v>429</v>
      </c>
      <c r="AL173" s="7" t="s">
        <v>136</v>
      </c>
      <c r="AM173" s="102">
        <v>552003</v>
      </c>
      <c r="AN173" s="382" t="s">
        <v>54</v>
      </c>
      <c r="AO173" s="104" t="e">
        <f t="shared" ca="1" si="45"/>
        <v>#DIV/0!</v>
      </c>
      <c r="AP173" s="383"/>
      <c r="AQ173" s="161"/>
      <c r="AR173" s="112" t="str">
        <f t="shared" si="62"/>
        <v xml:space="preserve"> DC 850T#13</v>
      </c>
      <c r="AS173" s="112" t="str">
        <f t="shared" si="63"/>
        <v>0451-626D0</v>
      </c>
      <c r="AT173" s="161"/>
      <c r="AU173" s="108" t="e">
        <f t="shared" ca="1" si="54"/>
        <v>#DIV/0!</v>
      </c>
      <c r="AV173" s="161" t="s">
        <v>1</v>
      </c>
      <c r="AW173" s="161" t="s">
        <v>507</v>
      </c>
      <c r="BA173" s="365"/>
      <c r="BB173" s="365" t="s">
        <v>610</v>
      </c>
      <c r="BC173" s="365"/>
      <c r="BD173" s="365" t="s">
        <v>611</v>
      </c>
      <c r="BE173" s="391">
        <f ca="1">X224</f>
        <v>0</v>
      </c>
      <c r="BF173" s="391"/>
      <c r="BG173" s="391" t="e">
        <f ca="1">Y224</f>
        <v>#DIV/0!</v>
      </c>
      <c r="BH173" s="391" t="e">
        <f ca="1">Z224</f>
        <v>#DIV/0!</v>
      </c>
      <c r="BI173" s="391"/>
    </row>
    <row r="174" spans="1:61" ht="15" customHeight="1">
      <c r="A174" s="695" t="s">
        <v>612</v>
      </c>
      <c r="B174" s="841"/>
      <c r="C174" s="736"/>
      <c r="D174" s="736"/>
      <c r="E174" s="736"/>
      <c r="F174" s="736"/>
      <c r="G174" s="736"/>
      <c r="H174" s="737"/>
      <c r="I174" s="737"/>
      <c r="J174" s="845"/>
      <c r="K174" s="743" t="e">
        <f ca="1">K161-(K162+K165+K169+K172+K173)</f>
        <v>#DIV/0!</v>
      </c>
      <c r="L174" s="700"/>
      <c r="M174" s="738">
        <v>28.64</v>
      </c>
      <c r="N174" s="716">
        <v>30</v>
      </c>
      <c r="O174" s="716">
        <v>40</v>
      </c>
      <c r="P174" s="846"/>
      <c r="Q174" s="847"/>
      <c r="R174" s="740" t="e">
        <f ca="1">K174</f>
        <v>#DIV/0!</v>
      </c>
      <c r="S174" s="114" t="s">
        <v>309</v>
      </c>
      <c r="T174" s="115" t="s">
        <v>310</v>
      </c>
      <c r="U174" s="116" t="s">
        <v>485</v>
      </c>
      <c r="V174" s="166" t="s">
        <v>495</v>
      </c>
      <c r="W174" s="307" t="s">
        <v>429</v>
      </c>
      <c r="X174" s="199">
        <f ca="1">R594</f>
        <v>0</v>
      </c>
      <c r="Y174" s="151" t="e">
        <f t="shared" ca="1" si="47"/>
        <v>#DIV/0!</v>
      </c>
      <c r="Z174" s="169" t="e">
        <f t="shared" ca="1" si="48"/>
        <v>#DIV/0!</v>
      </c>
      <c r="AA174" s="180"/>
      <c r="AB174" s="110" t="e">
        <f t="shared" ca="1" si="49"/>
        <v>#DIV/0!</v>
      </c>
      <c r="AC174" s="180"/>
      <c r="AD174" s="182"/>
      <c r="AE174" s="245" t="s">
        <v>136</v>
      </c>
      <c r="AF174" s="245" t="s">
        <v>429</v>
      </c>
      <c r="AL174" s="7" t="s">
        <v>136</v>
      </c>
      <c r="AM174" s="102">
        <v>552003</v>
      </c>
      <c r="AN174" s="382" t="s">
        <v>54</v>
      </c>
      <c r="AO174" s="104" t="e">
        <f t="shared" ca="1" si="45"/>
        <v>#DIV/0!</v>
      </c>
      <c r="AP174" s="383"/>
      <c r="AQ174" s="161"/>
      <c r="AR174" s="112" t="str">
        <f t="shared" si="62"/>
        <v xml:space="preserve"> DC 850T#15</v>
      </c>
      <c r="AS174" s="112" t="str">
        <f t="shared" si="63"/>
        <v>0451-626A0</v>
      </c>
      <c r="AT174" s="161"/>
      <c r="AU174" s="108" t="e">
        <f t="shared" ca="1" si="54"/>
        <v>#DIV/0!</v>
      </c>
      <c r="AV174" s="161" t="s">
        <v>1</v>
      </c>
      <c r="AW174" s="161" t="s">
        <v>507</v>
      </c>
      <c r="BA174" s="48" t="s">
        <v>98</v>
      </c>
      <c r="BB174" s="48" t="s">
        <v>513</v>
      </c>
      <c r="BC174" s="48"/>
      <c r="BD174" s="48" t="s">
        <v>75</v>
      </c>
      <c r="BE174" s="113" t="e">
        <f ca="1">X124</f>
        <v>#DIV/0!</v>
      </c>
      <c r="BF174" s="113"/>
      <c r="BG174" s="113">
        <f>Y124</f>
        <v>0</v>
      </c>
      <c r="BH174" s="113" t="e">
        <f ca="1">Z124</f>
        <v>#DIV/0!</v>
      </c>
      <c r="BI174" s="113"/>
    </row>
    <row r="175" spans="1:61" ht="15" customHeight="1">
      <c r="A175" s="664"/>
      <c r="B175" s="723"/>
      <c r="C175" s="613"/>
      <c r="D175" s="613"/>
      <c r="E175" s="613"/>
      <c r="F175" s="613"/>
      <c r="G175" s="613"/>
      <c r="H175" s="594"/>
      <c r="I175" s="594"/>
      <c r="J175" s="673"/>
      <c r="K175" s="568"/>
      <c r="L175" s="312"/>
      <c r="M175" s="732"/>
      <c r="N175" s="727"/>
      <c r="O175" s="727"/>
      <c r="P175" s="844"/>
      <c r="Q175" s="813"/>
      <c r="R175" s="729"/>
      <c r="S175" s="69"/>
      <c r="T175" s="159"/>
      <c r="U175" s="375" t="s">
        <v>485</v>
      </c>
      <c r="V175" s="254" t="s">
        <v>496</v>
      </c>
      <c r="W175" s="315" t="s">
        <v>429</v>
      </c>
      <c r="X175" s="238" t="e">
        <f ca="1">R598</f>
        <v>#DIV/0!</v>
      </c>
      <c r="Y175" s="239" t="e">
        <f t="shared" ca="1" si="47"/>
        <v>#DIV/0!</v>
      </c>
      <c r="Z175" s="240" t="e">
        <f t="shared" ca="1" si="48"/>
        <v>#DIV/0!</v>
      </c>
      <c r="AA175" s="241" t="e">
        <f ca="1">SUM(Z163:Z175)</f>
        <v>#DIV/0!</v>
      </c>
      <c r="AB175" s="129" t="e">
        <f t="shared" ca="1" si="49"/>
        <v>#DIV/0!</v>
      </c>
      <c r="AC175" s="241" t="e">
        <f ca="1">SUM(AB163:AB175)</f>
        <v>#DIV/0!</v>
      </c>
      <c r="AD175" s="243"/>
      <c r="AE175" s="245" t="s">
        <v>136</v>
      </c>
      <c r="AF175" s="245" t="s">
        <v>429</v>
      </c>
      <c r="AL175" s="7" t="s">
        <v>136</v>
      </c>
      <c r="AM175" s="102">
        <v>552003</v>
      </c>
      <c r="AN175" s="382" t="s">
        <v>54</v>
      </c>
      <c r="AO175" s="104" t="e">
        <f t="shared" ca="1" si="45"/>
        <v>#DIV/0!</v>
      </c>
      <c r="AP175" s="383"/>
      <c r="AQ175" s="161"/>
      <c r="AR175" s="112" t="str">
        <f t="shared" si="62"/>
        <v xml:space="preserve"> DC 850T#16</v>
      </c>
      <c r="AS175" s="112" t="str">
        <f t="shared" si="63"/>
        <v>0451-626A0</v>
      </c>
      <c r="AT175" s="161"/>
      <c r="AU175" s="108" t="e">
        <f t="shared" ca="1" si="54"/>
        <v>#DIV/0!</v>
      </c>
      <c r="AV175" s="161" t="s">
        <v>1</v>
      </c>
      <c r="AW175" s="161" t="s">
        <v>507</v>
      </c>
      <c r="BA175" s="48" t="s">
        <v>321</v>
      </c>
      <c r="BB175" s="365" t="s">
        <v>322</v>
      </c>
      <c r="BC175" s="365"/>
      <c r="BD175" s="365" t="s">
        <v>114</v>
      </c>
      <c r="BE175" s="113">
        <f ca="1">X60</f>
        <v>0</v>
      </c>
      <c r="BF175" s="113"/>
      <c r="BG175" s="113" t="e">
        <f ca="1">Y60</f>
        <v>#DIV/0!</v>
      </c>
      <c r="BH175" s="113" t="e">
        <f ca="1">Z60</f>
        <v>#DIV/0!</v>
      </c>
      <c r="BI175" s="113"/>
    </row>
    <row r="176" spans="1:61" ht="15" customHeight="1">
      <c r="A176" s="664" t="s">
        <v>613</v>
      </c>
      <c r="B176" s="723" t="s">
        <v>72</v>
      </c>
      <c r="C176" s="613">
        <v>1</v>
      </c>
      <c r="D176" s="595" t="s">
        <v>47</v>
      </c>
      <c r="E176" s="595"/>
      <c r="F176" s="595" t="s">
        <v>48</v>
      </c>
      <c r="G176" s="595" t="s">
        <v>49</v>
      </c>
      <c r="H176" s="665" cm="1">
        <f t="array" aca="1" ref="H176" ca="1">IFERROR(
    INDIRECT(
        "RawData!" &amp;
        ADDRESS(
            2,
            MATCH(
                TRIM(MID(A176, SEARCH(". ", A176) + 2, LEN(A176))) &amp; ".Import_kWh",
                RawData!$1:$1,
                0
            ),
            4
        )
    ),
    0
)</f>
        <v>0</v>
      </c>
      <c r="I176" s="665" cm="1">
        <f t="array" aca="1" ref="I176" ca="1">IFERROR(
    INDIRECT(
        "RawData!" &amp;
        ADDRESS(
            COUNTA(RawData!A:A),
            MATCH(
                TRIM(MID(A176, SEARCH(". ", A176) + 2, LEN(A176))) &amp; ".Import_kWh",
                RawData!$1:$1,
                0
            ),
            4
        )
    ),
    0
)</f>
        <v>0</v>
      </c>
      <c r="J176" s="666">
        <f ca="1">(I176-H176)*C176</f>
        <v>0</v>
      </c>
      <c r="K176" s="688" t="e">
        <f ca="1">J176*K$160/(J$161+J$176+J$180+J$181)</f>
        <v>#DIV/0!</v>
      </c>
      <c r="L176" s="312" t="e">
        <f ca="1">K176/J176</f>
        <v>#DIV/0!</v>
      </c>
      <c r="M176" s="825" t="e">
        <f ca="1">R177</f>
        <v>#DIV/0!</v>
      </c>
      <c r="N176" s="727"/>
      <c r="O176" s="727"/>
      <c r="P176" s="838"/>
      <c r="Q176" s="813"/>
      <c r="R176" s="729"/>
      <c r="S176" s="69"/>
      <c r="T176" s="159"/>
      <c r="U176" s="378" t="s">
        <v>269</v>
      </c>
      <c r="V176" s="379" t="s">
        <v>302</v>
      </c>
      <c r="W176" s="307" t="s">
        <v>135</v>
      </c>
      <c r="X176" s="199">
        <f ca="1">R495</f>
        <v>0</v>
      </c>
      <c r="Y176" s="151"/>
      <c r="Z176" s="361" t="e">
        <f t="shared" ca="1" si="48"/>
        <v>#DIV/0!</v>
      </c>
      <c r="AA176" s="180"/>
      <c r="AB176" s="110" t="e">
        <f t="shared" ca="1" si="49"/>
        <v>#DIV/0!</v>
      </c>
      <c r="AC176" s="180"/>
      <c r="AD176" s="182"/>
      <c r="AE176" s="245" t="s">
        <v>136</v>
      </c>
      <c r="AF176" s="245" t="s">
        <v>135</v>
      </c>
      <c r="AL176" s="7" t="s">
        <v>136</v>
      </c>
      <c r="AM176" s="102">
        <v>552003</v>
      </c>
      <c r="AN176" s="103" t="s">
        <v>54</v>
      </c>
      <c r="AO176" s="104" t="e">
        <f t="shared" ca="1" si="45"/>
        <v>#DIV/0!</v>
      </c>
      <c r="AP176" s="49"/>
      <c r="AR176" s="112" t="str">
        <f t="shared" si="62"/>
        <v xml:space="preserve"> ELETRIC HOLDING FURNACE DC800T#1</v>
      </c>
      <c r="AS176" s="112" t="str">
        <f t="shared" si="63"/>
        <v>0451-626C0</v>
      </c>
      <c r="AU176" s="108" t="e">
        <f t="shared" ca="1" si="54"/>
        <v>#DIV/0!</v>
      </c>
      <c r="AV176" s="7" t="s">
        <v>1</v>
      </c>
      <c r="AW176" s="7" t="s">
        <v>507</v>
      </c>
      <c r="BA176" s="1195"/>
      <c r="BB176" s="1196"/>
      <c r="BC176" s="1196"/>
      <c r="BD176" s="1196"/>
      <c r="BE176" s="1196"/>
      <c r="BF176" s="1196"/>
      <c r="BG176" s="1197"/>
      <c r="BH176" s="392" t="e">
        <f ca="1">SUM(BH138:BH175)</f>
        <v>#DIV/0!</v>
      </c>
      <c r="BI176" s="393"/>
    </row>
    <row r="177" spans="1:61" ht="15" customHeight="1">
      <c r="A177" s="664" t="s">
        <v>614</v>
      </c>
      <c r="B177" s="848"/>
      <c r="C177" s="837"/>
      <c r="D177" s="837"/>
      <c r="E177" s="837"/>
      <c r="F177" s="837"/>
      <c r="G177" s="837"/>
      <c r="H177" s="594"/>
      <c r="I177" s="594"/>
      <c r="J177" s="673"/>
      <c r="K177" s="667">
        <f>195*O177</f>
        <v>8190</v>
      </c>
      <c r="L177" s="312"/>
      <c r="M177" s="777">
        <v>98.08</v>
      </c>
      <c r="N177" s="669">
        <v>29</v>
      </c>
      <c r="O177" s="669">
        <v>42</v>
      </c>
      <c r="P177" s="838">
        <f>M177*O177</f>
        <v>4119.3599999999997</v>
      </c>
      <c r="Q177" s="603">
        <f>P177/(P$177+P$178)</f>
        <v>1</v>
      </c>
      <c r="R177" s="569" t="e">
        <f ca="1">Q177*K$176</f>
        <v>#DIV/0!</v>
      </c>
      <c r="S177" s="114" t="s">
        <v>234</v>
      </c>
      <c r="T177" s="115" t="s">
        <v>239</v>
      </c>
      <c r="U177" s="380" t="s">
        <v>269</v>
      </c>
      <c r="V177" s="381" t="s">
        <v>307</v>
      </c>
      <c r="W177" s="307" t="s">
        <v>135</v>
      </c>
      <c r="X177" s="199">
        <f ca="1">R523</f>
        <v>0</v>
      </c>
      <c r="Y177" s="151"/>
      <c r="Z177" s="169" t="e">
        <f t="shared" ca="1" si="48"/>
        <v>#DIV/0!</v>
      </c>
      <c r="AA177" s="180"/>
      <c r="AB177" s="110" t="e">
        <f t="shared" ca="1" si="49"/>
        <v>#DIV/0!</v>
      </c>
      <c r="AC177" s="180"/>
      <c r="AD177" s="182"/>
      <c r="AE177" s="245" t="s">
        <v>136</v>
      </c>
      <c r="AF177" s="245" t="s">
        <v>135</v>
      </c>
      <c r="AL177" s="7" t="s">
        <v>136</v>
      </c>
      <c r="AM177" s="102">
        <v>552003</v>
      </c>
      <c r="AN177" s="103" t="s">
        <v>54</v>
      </c>
      <c r="AO177" s="104" t="e">
        <f t="shared" ca="1" si="45"/>
        <v>#DIV/0!</v>
      </c>
      <c r="AP177" s="49"/>
      <c r="AR177" s="112" t="str">
        <f t="shared" si="62"/>
        <v xml:space="preserve"> ELETRIC HOLDING FURNACE DC800T#6</v>
      </c>
      <c r="AS177" s="112" t="str">
        <f t="shared" si="63"/>
        <v>0451-626C0</v>
      </c>
      <c r="AU177" s="108" t="e">
        <f t="shared" ca="1" si="54"/>
        <v>#DIV/0!</v>
      </c>
      <c r="AV177" s="7" t="s">
        <v>1</v>
      </c>
      <c r="AW177" s="7" t="s">
        <v>507</v>
      </c>
      <c r="BA177" s="48" t="s">
        <v>83</v>
      </c>
      <c r="BB177" s="394" t="s">
        <v>84</v>
      </c>
      <c r="BC177" s="394"/>
      <c r="BD177" s="394" t="s">
        <v>77</v>
      </c>
      <c r="BE177" s="113" t="e">
        <f t="shared" ref="BE177:BE190" ca="1" si="64">X61</f>
        <v>#DIV/0!</v>
      </c>
      <c r="BF177" s="113"/>
      <c r="BG177" s="113" t="e">
        <f t="shared" ref="BG177:BH190" ca="1" si="65">Y61</f>
        <v>#DIV/0!</v>
      </c>
      <c r="BH177" s="113" t="e">
        <f t="shared" ca="1" si="65"/>
        <v>#DIV/0!</v>
      </c>
      <c r="BI177" s="113"/>
    </row>
    <row r="178" spans="1:61" ht="14.25" customHeight="1">
      <c r="A178" s="775"/>
      <c r="B178" s="848"/>
      <c r="C178" s="849"/>
      <c r="D178" s="849"/>
      <c r="E178" s="849"/>
      <c r="F178" s="849"/>
      <c r="G178" s="849"/>
      <c r="H178" s="594"/>
      <c r="I178" s="594"/>
      <c r="J178" s="673"/>
      <c r="K178" s="568"/>
      <c r="L178" s="312"/>
      <c r="M178" s="570"/>
      <c r="N178" s="669"/>
      <c r="O178" s="669"/>
      <c r="P178" s="838"/>
      <c r="Q178" s="603"/>
      <c r="R178" s="569"/>
      <c r="S178" s="69"/>
      <c r="T178" s="159"/>
      <c r="U178" s="380" t="s">
        <v>276</v>
      </c>
      <c r="V178" s="381" t="s">
        <v>311</v>
      </c>
      <c r="W178" s="307" t="s">
        <v>135</v>
      </c>
      <c r="X178" s="199">
        <f ca="1">R484</f>
        <v>0</v>
      </c>
      <c r="Y178" s="151"/>
      <c r="Z178" s="169" t="e">
        <f t="shared" ca="1" si="48"/>
        <v>#DIV/0!</v>
      </c>
      <c r="AA178" s="180"/>
      <c r="AB178" s="110" t="e">
        <f t="shared" ca="1" si="49"/>
        <v>#DIV/0!</v>
      </c>
      <c r="AC178" s="180"/>
      <c r="AD178" s="182"/>
      <c r="AE178" s="245" t="s">
        <v>136</v>
      </c>
      <c r="AF178" s="245" t="s">
        <v>135</v>
      </c>
      <c r="AL178" s="7" t="s">
        <v>136</v>
      </c>
      <c r="AM178" s="102">
        <v>552003</v>
      </c>
      <c r="AN178" s="103" t="s">
        <v>54</v>
      </c>
      <c r="AO178" s="104" t="e">
        <f t="shared" ca="1" si="45"/>
        <v>#DIV/0!</v>
      </c>
      <c r="AP178" s="49"/>
      <c r="AR178" s="112" t="str">
        <f t="shared" si="62"/>
        <v xml:space="preserve"> ELETRIC HOLDING FURNACE DC800T#2</v>
      </c>
      <c r="AS178" s="112" t="str">
        <f t="shared" si="63"/>
        <v>0451-626F0</v>
      </c>
      <c r="AU178" s="108" t="e">
        <f t="shared" ca="1" si="54"/>
        <v>#DIV/0!</v>
      </c>
      <c r="AV178" s="7" t="s">
        <v>1</v>
      </c>
      <c r="AW178" s="7" t="s">
        <v>507</v>
      </c>
      <c r="BA178" s="48" t="s">
        <v>195</v>
      </c>
      <c r="BB178" s="394" t="s">
        <v>196</v>
      </c>
      <c r="BC178" s="394"/>
      <c r="BD178" s="394" t="s">
        <v>77</v>
      </c>
      <c r="BE178" s="113" t="e">
        <f t="shared" ca="1" si="64"/>
        <v>#DIV/0!</v>
      </c>
      <c r="BF178" s="113"/>
      <c r="BG178" s="113" t="e">
        <f t="shared" ca="1" si="65"/>
        <v>#DIV/0!</v>
      </c>
      <c r="BH178" s="113" t="e">
        <f t="shared" ca="1" si="65"/>
        <v>#DIV/0!</v>
      </c>
      <c r="BI178" s="113"/>
    </row>
    <row r="179" spans="1:61" ht="15" customHeight="1">
      <c r="A179" s="664"/>
      <c r="B179" s="850"/>
      <c r="C179" s="595"/>
      <c r="D179" s="595"/>
      <c r="E179" s="595"/>
      <c r="F179" s="595"/>
      <c r="G179" s="595"/>
      <c r="H179" s="594"/>
      <c r="I179" s="594"/>
      <c r="J179" s="673"/>
      <c r="K179" s="568"/>
      <c r="L179" s="312"/>
      <c r="M179" s="570"/>
      <c r="N179" s="669"/>
      <c r="O179" s="669"/>
      <c r="P179" s="838"/>
      <c r="Q179" s="603"/>
      <c r="R179" s="569"/>
      <c r="S179" s="69"/>
      <c r="T179" s="159"/>
      <c r="U179" s="380" t="s">
        <v>492</v>
      </c>
      <c r="V179" s="381" t="s">
        <v>499</v>
      </c>
      <c r="W179" s="307" t="s">
        <v>429</v>
      </c>
      <c r="X179" s="199">
        <f ca="1">R568</f>
        <v>0</v>
      </c>
      <c r="Y179" s="151"/>
      <c r="Z179" s="169" t="e">
        <f t="shared" ca="1" si="48"/>
        <v>#DIV/0!</v>
      </c>
      <c r="AA179" s="180"/>
      <c r="AB179" s="110" t="e">
        <f t="shared" ca="1" si="49"/>
        <v>#DIV/0!</v>
      </c>
      <c r="AC179" s="180"/>
      <c r="AD179" s="182"/>
      <c r="AE179" s="245" t="s">
        <v>136</v>
      </c>
      <c r="AF179" s="245" t="s">
        <v>429</v>
      </c>
      <c r="AL179" s="7" t="s">
        <v>136</v>
      </c>
      <c r="AM179" s="102">
        <v>552003</v>
      </c>
      <c r="AN179" s="103" t="s">
        <v>54</v>
      </c>
      <c r="AO179" s="104" t="e">
        <f t="shared" ca="1" si="45"/>
        <v>#DIV/0!</v>
      </c>
      <c r="AP179" s="49"/>
      <c r="AR179" s="112" t="str">
        <f t="shared" si="62"/>
        <v xml:space="preserve"> ELETRIC HOLDING FURNACE DC850T#13</v>
      </c>
      <c r="AS179" s="112" t="str">
        <f t="shared" si="63"/>
        <v>0451-626D0</v>
      </c>
      <c r="AU179" s="108" t="e">
        <f t="shared" ca="1" si="54"/>
        <v>#DIV/0!</v>
      </c>
      <c r="AV179" s="7" t="s">
        <v>1</v>
      </c>
      <c r="AW179" s="7" t="s">
        <v>507</v>
      </c>
      <c r="BA179" s="48" t="s">
        <v>162</v>
      </c>
      <c r="BB179" s="394" t="s">
        <v>163</v>
      </c>
      <c r="BC179" s="394"/>
      <c r="BD179" s="394" t="s">
        <v>77</v>
      </c>
      <c r="BE179" s="113" t="e">
        <f t="shared" ca="1" si="64"/>
        <v>#DIV/0!</v>
      </c>
      <c r="BF179" s="113"/>
      <c r="BG179" s="113" t="e">
        <f t="shared" ca="1" si="65"/>
        <v>#DIV/0!</v>
      </c>
      <c r="BH179" s="113" t="e">
        <f t="shared" ca="1" si="65"/>
        <v>#DIV/0!</v>
      </c>
      <c r="BI179" s="113"/>
    </row>
    <row r="180" spans="1:61" ht="15" customHeight="1">
      <c r="A180" s="664" t="s">
        <v>1172</v>
      </c>
      <c r="B180" s="595" t="s">
        <v>101</v>
      </c>
      <c r="C180" s="595">
        <v>1</v>
      </c>
      <c r="D180" s="595" t="s">
        <v>47</v>
      </c>
      <c r="E180" s="595"/>
      <c r="F180" s="595" t="s">
        <v>243</v>
      </c>
      <c r="G180" s="595" t="s">
        <v>615</v>
      </c>
      <c r="H180" s="665" cm="1">
        <f t="array" aca="1" ref="H180" ca="1">IFERROR(
    INDIRECT(
        "RawData!" &amp;
        ADDRESS(
            2,
            MATCH(
                TRIM(MID(A180, SEARCH(". ", A180) + 2, LEN(A180))) &amp; ".Import_kWh",
                RawData!$1:$1,
                0
            ),
            4
        )
    ),
    0
)</f>
        <v>0</v>
      </c>
      <c r="I180" s="665" cm="1">
        <f t="array" aca="1" ref="I180" ca="1">IFERROR(
    INDIRECT(
        "RawData!" &amp;
        ADDRESS(
            COUNTA(RawData!A:A),
            MATCH(
                TRIM(MID(A180, SEARCH(". ", A180) + 2, LEN(A180))) &amp; ".Import_kWh",
                RawData!$1:$1,
                0
            ),
            4
        )
    ),
    0
)</f>
        <v>0</v>
      </c>
      <c r="J180" s="666">
        <f ca="1">(I180-H180)*C180</f>
        <v>0</v>
      </c>
      <c r="K180" s="688" t="e">
        <f ca="1">J180*K$160/(J$161+J$176+J$180+J$181)</f>
        <v>#DIV/0!</v>
      </c>
      <c r="L180" s="312" t="e">
        <f ca="1">K180/J180</f>
        <v>#DIV/0!</v>
      </c>
      <c r="M180" s="570"/>
      <c r="N180" s="669"/>
      <c r="O180" s="669"/>
      <c r="P180" s="800"/>
      <c r="Q180" s="603"/>
      <c r="R180" s="569" t="e">
        <f ca="1">K180</f>
        <v>#DIV/0!</v>
      </c>
      <c r="S180" s="231" t="s">
        <v>51</v>
      </c>
      <c r="T180" s="159"/>
      <c r="U180" s="380" t="s">
        <v>289</v>
      </c>
      <c r="V180" s="381" t="s">
        <v>313</v>
      </c>
      <c r="W180" s="307" t="s">
        <v>135</v>
      </c>
      <c r="X180" s="199">
        <f ca="1">R485</f>
        <v>0</v>
      </c>
      <c r="Y180" s="151"/>
      <c r="Z180" s="169" t="e">
        <f t="shared" ca="1" si="48"/>
        <v>#DIV/0!</v>
      </c>
      <c r="AA180" s="180"/>
      <c r="AB180" s="110" t="e">
        <f t="shared" ca="1" si="49"/>
        <v>#DIV/0!</v>
      </c>
      <c r="AC180" s="180"/>
      <c r="AD180" s="182"/>
      <c r="AE180" s="245" t="s">
        <v>136</v>
      </c>
      <c r="AF180" s="245" t="s">
        <v>135</v>
      </c>
      <c r="AL180" s="7" t="s">
        <v>136</v>
      </c>
      <c r="AM180" s="102">
        <v>552003</v>
      </c>
      <c r="AN180" s="103" t="s">
        <v>54</v>
      </c>
      <c r="AO180" s="104" t="e">
        <f t="shared" ca="1" si="45"/>
        <v>#DIV/0!</v>
      </c>
      <c r="AP180" s="49"/>
      <c r="AR180" s="112" t="str">
        <f t="shared" si="62"/>
        <v xml:space="preserve"> ELETRIC HOLDING FURNACE DC850T#9</v>
      </c>
      <c r="AS180" s="112" t="str">
        <f t="shared" si="63"/>
        <v>0451-626H0</v>
      </c>
      <c r="AU180" s="108" t="e">
        <f t="shared" ca="1" si="54"/>
        <v>#DIV/0!</v>
      </c>
      <c r="AV180" s="7" t="s">
        <v>1</v>
      </c>
      <c r="AW180" s="7" t="s">
        <v>507</v>
      </c>
      <c r="BA180" s="48" t="s">
        <v>168</v>
      </c>
      <c r="BB180" s="394" t="s">
        <v>169</v>
      </c>
      <c r="BC180" s="394"/>
      <c r="BD180" s="394" t="s">
        <v>77</v>
      </c>
      <c r="BE180" s="113" t="e">
        <f t="shared" ca="1" si="64"/>
        <v>#DIV/0!</v>
      </c>
      <c r="BF180" s="113"/>
      <c r="BG180" s="113" t="e">
        <f t="shared" ca="1" si="65"/>
        <v>#DIV/0!</v>
      </c>
      <c r="BH180" s="113" t="e">
        <f t="shared" ca="1" si="65"/>
        <v>#DIV/0!</v>
      </c>
      <c r="BI180" s="113"/>
    </row>
    <row r="181" spans="1:61" ht="15" customHeight="1">
      <c r="A181" s="664" t="s">
        <v>1171</v>
      </c>
      <c r="B181" s="595"/>
      <c r="C181" s="595">
        <v>1</v>
      </c>
      <c r="D181" s="595"/>
      <c r="E181" s="595"/>
      <c r="F181" s="595"/>
      <c r="G181" s="595"/>
      <c r="H181" s="665" cm="1">
        <f t="array" aca="1" ref="H181" ca="1">IFERROR(
    INDIRECT(
        "RawData!" &amp;
        ADDRESS(
            2,
            MATCH(
                TRIM(MID(A181, SEARCH(". ", A181) + 2, LEN(A181))) &amp; ".Import_kWh",
                RawData!$1:$1,
                0
            ),
            4
        )
    ),
    0
)</f>
        <v>0</v>
      </c>
      <c r="I181" s="665" cm="1">
        <f t="array" aca="1" ref="I181" ca="1">IFERROR(
    INDIRECT(
        "RawData!" &amp;
        ADDRESS(
            COUNTA(RawData!A:A),
            MATCH(
                TRIM(MID(A181, SEARCH(". ", A181) + 2, LEN(A181))) &amp; ".Import_kWh",
                RawData!$1:$1,
                0
            ),
            4
        )
    ),
    0
)</f>
        <v>0</v>
      </c>
      <c r="J181" s="666">
        <f ca="1">(I181-H181)*C181</f>
        <v>0</v>
      </c>
      <c r="K181" s="667" t="e">
        <f ca="1">J181*K$160/(J$161+J$176+J$180+J$181)</f>
        <v>#DIV/0!</v>
      </c>
      <c r="L181" s="312" t="e">
        <f ca="1">K181/J181</f>
        <v>#DIV/0!</v>
      </c>
      <c r="M181" s="570"/>
      <c r="N181" s="669"/>
      <c r="O181" s="669"/>
      <c r="P181" s="800"/>
      <c r="Q181" s="603"/>
      <c r="R181" s="569" t="e">
        <f ca="1">K181</f>
        <v>#DIV/0!</v>
      </c>
      <c r="S181" s="231" t="s">
        <v>51</v>
      </c>
      <c r="T181" s="159"/>
      <c r="U181" s="380" t="s">
        <v>468</v>
      </c>
      <c r="V181" s="381" t="s">
        <v>502</v>
      </c>
      <c r="W181" s="307" t="s">
        <v>429</v>
      </c>
      <c r="X181" s="199">
        <f ca="1">R584</f>
        <v>0</v>
      </c>
      <c r="Y181" s="151"/>
      <c r="Z181" s="169" t="e">
        <f t="shared" ca="1" si="48"/>
        <v>#DIV/0!</v>
      </c>
      <c r="AA181" s="180"/>
      <c r="AB181" s="110" t="e">
        <f t="shared" ca="1" si="49"/>
        <v>#DIV/0!</v>
      </c>
      <c r="AC181" s="180"/>
      <c r="AD181" s="182"/>
      <c r="AE181" s="245" t="s">
        <v>136</v>
      </c>
      <c r="AF181" s="245" t="s">
        <v>429</v>
      </c>
      <c r="AL181" s="7" t="s">
        <v>136</v>
      </c>
      <c r="AM181" s="102">
        <v>552003</v>
      </c>
      <c r="AN181" s="103" t="s">
        <v>54</v>
      </c>
      <c r="AO181" s="104" t="e">
        <f t="shared" ca="1" si="45"/>
        <v>#DIV/0!</v>
      </c>
      <c r="AP181" s="49"/>
      <c r="AR181" s="112" t="str">
        <f t="shared" si="62"/>
        <v xml:space="preserve"> ELETRIC HOLDING FURNACE DC 800T#5</v>
      </c>
      <c r="AS181" s="112" t="str">
        <f t="shared" si="63"/>
        <v>0451-626N0</v>
      </c>
      <c r="AU181" s="108" t="e">
        <f t="shared" ca="1" si="54"/>
        <v>#DIV/0!</v>
      </c>
      <c r="AV181" s="7" t="s">
        <v>1</v>
      </c>
      <c r="AW181" s="7" t="s">
        <v>507</v>
      </c>
      <c r="BA181" s="48" t="s">
        <v>175</v>
      </c>
      <c r="BB181" s="394" t="s">
        <v>176</v>
      </c>
      <c r="BC181" s="394"/>
      <c r="BD181" s="394" t="s">
        <v>77</v>
      </c>
      <c r="BE181" s="113" t="e">
        <f t="shared" ca="1" si="64"/>
        <v>#DIV/0!</v>
      </c>
      <c r="BF181" s="113"/>
      <c r="BG181" s="113" t="e">
        <f t="shared" ca="1" si="65"/>
        <v>#DIV/0!</v>
      </c>
      <c r="BH181" s="113" t="e">
        <f t="shared" ca="1" si="65"/>
        <v>#DIV/0!</v>
      </c>
      <c r="BI181" s="113"/>
    </row>
    <row r="182" spans="1:61" ht="15" customHeight="1">
      <c r="A182" s="678" t="s">
        <v>616</v>
      </c>
      <c r="B182" s="754"/>
      <c r="C182" s="851"/>
      <c r="D182" s="851"/>
      <c r="E182" s="851"/>
      <c r="F182" s="851"/>
      <c r="G182" s="851"/>
      <c r="H182" s="852"/>
      <c r="I182" s="852"/>
      <c r="J182" s="853"/>
      <c r="K182" s="573"/>
      <c r="L182" s="681"/>
      <c r="M182" s="854"/>
      <c r="N182" s="683"/>
      <c r="O182" s="683"/>
      <c r="P182" s="855"/>
      <c r="Q182" s="856"/>
      <c r="R182" s="575"/>
      <c r="S182" s="69"/>
      <c r="T182" s="159"/>
      <c r="U182" s="380" t="s">
        <v>485</v>
      </c>
      <c r="V182" s="381" t="s">
        <v>504</v>
      </c>
      <c r="W182" s="307" t="s">
        <v>429</v>
      </c>
      <c r="X182" s="199">
        <f ca="1">R593</f>
        <v>0</v>
      </c>
      <c r="Y182" s="151"/>
      <c r="Z182" s="169" t="e">
        <f t="shared" ca="1" si="48"/>
        <v>#DIV/0!</v>
      </c>
      <c r="AA182" s="180"/>
      <c r="AB182" s="110" t="e">
        <f t="shared" ca="1" si="49"/>
        <v>#DIV/0!</v>
      </c>
      <c r="AC182" s="180"/>
      <c r="AD182" s="182"/>
      <c r="AE182" s="245" t="s">
        <v>136</v>
      </c>
      <c r="AF182" s="245" t="s">
        <v>429</v>
      </c>
      <c r="AL182" s="7" t="s">
        <v>136</v>
      </c>
      <c r="AM182" s="102">
        <v>552003</v>
      </c>
      <c r="AN182" s="103" t="s">
        <v>54</v>
      </c>
      <c r="AO182" s="104" t="e">
        <f t="shared" ca="1" si="45"/>
        <v>#DIV/0!</v>
      </c>
      <c r="AP182" s="49"/>
      <c r="AR182" s="112" t="str">
        <f t="shared" si="62"/>
        <v xml:space="preserve"> ELETRIC HOLDING FURNACE DC 850T#15</v>
      </c>
      <c r="AS182" s="112" t="str">
        <f t="shared" si="63"/>
        <v>0451-626A0</v>
      </c>
      <c r="AU182" s="108" t="e">
        <f t="shared" ca="1" si="54"/>
        <v>#DIV/0!</v>
      </c>
      <c r="AV182" s="7" t="s">
        <v>1</v>
      </c>
      <c r="AW182" s="7" t="s">
        <v>507</v>
      </c>
      <c r="BA182" s="48" t="s">
        <v>105</v>
      </c>
      <c r="BB182" s="394" t="s">
        <v>106</v>
      </c>
      <c r="BC182" s="394"/>
      <c r="BD182" s="394" t="s">
        <v>77</v>
      </c>
      <c r="BE182" s="113" t="e">
        <f t="shared" ca="1" si="64"/>
        <v>#DIV/0!</v>
      </c>
      <c r="BF182" s="113"/>
      <c r="BG182" s="113" t="e">
        <f t="shared" ca="1" si="65"/>
        <v>#DIV/0!</v>
      </c>
      <c r="BH182" s="113" t="e">
        <f t="shared" ca="1" si="65"/>
        <v>#DIV/0!</v>
      </c>
      <c r="BI182" s="113"/>
    </row>
    <row r="183" spans="1:61" ht="15" customHeight="1">
      <c r="A183" s="678" t="s">
        <v>1149</v>
      </c>
      <c r="B183" s="857" t="s">
        <v>382</v>
      </c>
      <c r="C183" s="858">
        <v>20</v>
      </c>
      <c r="D183" s="757" t="s">
        <v>335</v>
      </c>
      <c r="E183" s="859" t="s">
        <v>336</v>
      </c>
      <c r="F183" s="757" t="s">
        <v>243</v>
      </c>
      <c r="G183" s="757" t="s">
        <v>49</v>
      </c>
      <c r="H183" s="655" cm="1">
        <f t="array" aca="1" ref="H183" ca="1">IFERROR(
    INDIRECT(
        "RawData!" &amp;
        ADDRESS(
            2,
            MATCH(
                TRIM(MID(A183, SEARCH(". ", A183) + 2, LEN(A183))) &amp; ".Import_kWh",
                RawData!$1:$1,
                0
            ),
            4
        )
    ),
    0
)</f>
        <v>0</v>
      </c>
      <c r="I183" s="655" cm="1">
        <f t="array" aca="1" ref="I183" ca="1">IFERROR(
    INDIRECT(
        "RawData!" &amp;
        ADDRESS(
            COUNTA(RawData!A:A),
            MATCH(
                TRIM(MID(A183, SEARCH(". ", A183) + 2, LEN(A183))) &amp; ".Import_kWh",
                RawData!$1:$1,
                0
            ),
            4
        )
    ),
    0
)</f>
        <v>0</v>
      </c>
      <c r="J183" s="853">
        <f ca="1">(I183-H183)*C183</f>
        <v>0</v>
      </c>
      <c r="K183" s="824" t="e">
        <f ca="1">J183*K$138/(J$139+J$147+J$160+J$183+J$187+J$190+J$202+J$210)</f>
        <v>#DIV/0!</v>
      </c>
      <c r="L183" s="681" t="e">
        <f ca="1">K183/J183</f>
        <v>#DIV/0!</v>
      </c>
      <c r="M183" s="682" t="e">
        <f ca="1">R184+R185</f>
        <v>#DIV/0!</v>
      </c>
      <c r="N183" s="683"/>
      <c r="O183" s="683"/>
      <c r="P183" s="855"/>
      <c r="Q183" s="856"/>
      <c r="R183" s="575"/>
      <c r="S183" s="69"/>
      <c r="T183" s="159"/>
      <c r="U183" s="380" t="s">
        <v>485</v>
      </c>
      <c r="V183" s="381" t="s">
        <v>508</v>
      </c>
      <c r="W183" s="307" t="s">
        <v>429</v>
      </c>
      <c r="X183" s="151">
        <f ca="1">R644</f>
        <v>0</v>
      </c>
      <c r="Y183" s="151"/>
      <c r="Z183" s="169" t="e">
        <f ca="1">X183+(Y183*$AI$7)/100</f>
        <v>#DIV/0!</v>
      </c>
      <c r="AA183" s="180"/>
      <c r="AB183" s="110" t="e">
        <f t="shared" ca="1" si="49"/>
        <v>#DIV/0!</v>
      </c>
      <c r="AC183" s="180"/>
      <c r="AD183" s="182"/>
      <c r="AE183" s="245" t="s">
        <v>136</v>
      </c>
      <c r="AF183" s="245" t="s">
        <v>429</v>
      </c>
      <c r="AL183" s="395" t="s">
        <v>136</v>
      </c>
      <c r="AM183" s="396">
        <v>552003</v>
      </c>
      <c r="AN183" s="397" t="s">
        <v>54</v>
      </c>
      <c r="AO183" s="398" t="e">
        <f t="shared" ca="1" si="45"/>
        <v>#DIV/0!</v>
      </c>
      <c r="AP183" s="399"/>
      <c r="AQ183" s="395"/>
      <c r="AR183" s="201" t="str">
        <f t="shared" si="62"/>
        <v xml:space="preserve"> ELETRIC HOLDING FURNACE DC 850T#7</v>
      </c>
      <c r="AS183" s="201" t="str">
        <f t="shared" si="63"/>
        <v>0451-626A0</v>
      </c>
      <c r="AT183" s="395"/>
      <c r="AU183" s="400" t="e">
        <f t="shared" ca="1" si="54"/>
        <v>#DIV/0!</v>
      </c>
      <c r="AV183" s="395" t="s">
        <v>1</v>
      </c>
      <c r="AW183" s="395" t="s">
        <v>507</v>
      </c>
      <c r="BA183" s="48" t="s">
        <v>110</v>
      </c>
      <c r="BB183" s="394" t="s">
        <v>111</v>
      </c>
      <c r="BC183" s="394"/>
      <c r="BD183" s="394" t="s">
        <v>77</v>
      </c>
      <c r="BE183" s="113" t="e">
        <f t="shared" ca="1" si="64"/>
        <v>#DIV/0!</v>
      </c>
      <c r="BF183" s="113"/>
      <c r="BG183" s="113" t="e">
        <f t="shared" ca="1" si="65"/>
        <v>#DIV/0!</v>
      </c>
      <c r="BH183" s="113" t="e">
        <f t="shared" ca="1" si="65"/>
        <v>#DIV/0!</v>
      </c>
      <c r="BI183" s="113"/>
    </row>
    <row r="184" spans="1:61" ht="15" customHeight="1">
      <c r="A184" s="664" t="s">
        <v>617</v>
      </c>
      <c r="B184" s="794"/>
      <c r="C184" s="613"/>
      <c r="D184" s="613"/>
      <c r="E184" s="613"/>
      <c r="F184" s="613"/>
      <c r="G184" s="613"/>
      <c r="H184" s="762"/>
      <c r="I184" s="762"/>
      <c r="J184" s="673"/>
      <c r="K184" s="568"/>
      <c r="L184" s="312" t="s">
        <v>432</v>
      </c>
      <c r="M184" s="732">
        <v>14</v>
      </c>
      <c r="N184" s="669"/>
      <c r="O184" s="669"/>
      <c r="P184" s="838"/>
      <c r="Q184" s="603">
        <f>M184/(M$184+M$185)</f>
        <v>0.30434782608695654</v>
      </c>
      <c r="R184" s="569" t="e">
        <f ca="1">K$183*Q184</f>
        <v>#DIV/0!</v>
      </c>
      <c r="S184" s="114" t="s">
        <v>73</v>
      </c>
      <c r="T184" s="115" t="s">
        <v>96</v>
      </c>
      <c r="U184" s="401" t="s">
        <v>485</v>
      </c>
      <c r="V184" s="402" t="s">
        <v>510</v>
      </c>
      <c r="W184" s="315" t="s">
        <v>429</v>
      </c>
      <c r="X184" s="238">
        <f ca="1">R576</f>
        <v>0</v>
      </c>
      <c r="Y184" s="239"/>
      <c r="Z184" s="240" t="e">
        <f ca="1">X184+(Y184*$AI$7)/100</f>
        <v>#DIV/0!</v>
      </c>
      <c r="AA184" s="241"/>
      <c r="AB184" s="129" t="e">
        <f t="shared" ca="1" si="49"/>
        <v>#DIV/0!</v>
      </c>
      <c r="AC184" s="241"/>
      <c r="AD184" s="243"/>
      <c r="AE184" s="245" t="s">
        <v>136</v>
      </c>
      <c r="AF184" s="245" t="s">
        <v>429</v>
      </c>
      <c r="AL184" s="280" t="s">
        <v>136</v>
      </c>
      <c r="AM184" s="276">
        <v>552003</v>
      </c>
      <c r="AN184" s="277" t="s">
        <v>54</v>
      </c>
      <c r="AO184" s="278" t="e">
        <f t="shared" ca="1" si="45"/>
        <v>#DIV/0!</v>
      </c>
      <c r="AP184" s="279"/>
      <c r="AQ184" s="280"/>
      <c r="AR184" s="281" t="str">
        <f t="shared" si="62"/>
        <v xml:space="preserve"> ELETRIC HOLDING FURNACE DC 850T#11</v>
      </c>
      <c r="AS184" s="281" t="str">
        <f t="shared" si="63"/>
        <v>0451-626A0</v>
      </c>
      <c r="AT184" s="280"/>
      <c r="AU184" s="282" t="e">
        <f t="shared" ca="1" si="54"/>
        <v>#DIV/0!</v>
      </c>
      <c r="AV184" s="280" t="s">
        <v>1</v>
      </c>
      <c r="AW184" s="280" t="s">
        <v>507</v>
      </c>
      <c r="BA184" s="48" t="s">
        <v>272</v>
      </c>
      <c r="BB184" s="394" t="s">
        <v>273</v>
      </c>
      <c r="BC184" s="394"/>
      <c r="BD184" s="394" t="s">
        <v>77</v>
      </c>
      <c r="BE184" s="113">
        <f t="shared" ca="1" si="64"/>
        <v>0</v>
      </c>
      <c r="BF184" s="113"/>
      <c r="BG184" s="113" t="e">
        <f t="shared" ca="1" si="65"/>
        <v>#DIV/0!</v>
      </c>
      <c r="BH184" s="113" t="e">
        <f t="shared" ca="1" si="65"/>
        <v>#DIV/0!</v>
      </c>
      <c r="BI184" s="113"/>
    </row>
    <row r="185" spans="1:61" ht="15" customHeight="1">
      <c r="A185" s="664" t="s">
        <v>618</v>
      </c>
      <c r="B185" s="794"/>
      <c r="C185" s="613"/>
      <c r="D185" s="613"/>
      <c r="E185" s="613"/>
      <c r="F185" s="613"/>
      <c r="G185" s="613"/>
      <c r="H185" s="762"/>
      <c r="I185" s="762"/>
      <c r="J185" s="673"/>
      <c r="K185" s="568"/>
      <c r="L185" s="312" t="s">
        <v>432</v>
      </c>
      <c r="M185" s="732">
        <v>32</v>
      </c>
      <c r="N185" s="669"/>
      <c r="O185" s="669"/>
      <c r="P185" s="838"/>
      <c r="Q185" s="603">
        <f>M185/(M$184+M$185)</f>
        <v>0.69565217391304346</v>
      </c>
      <c r="R185" s="569" t="e">
        <f ca="1">K$183*Q185</f>
        <v>#DIV/0!</v>
      </c>
      <c r="S185" s="114" t="s">
        <v>98</v>
      </c>
      <c r="T185" s="115" t="s">
        <v>513</v>
      </c>
      <c r="U185" s="178" t="s">
        <v>619</v>
      </c>
      <c r="V185" s="156" t="s">
        <v>515</v>
      </c>
      <c r="W185" s="307" t="s">
        <v>429</v>
      </c>
      <c r="X185" s="199" t="e">
        <f ca="1">R590+R595</f>
        <v>#DIV/0!</v>
      </c>
      <c r="Y185" s="151" t="e">
        <f t="shared" ref="Y185:Y191" ca="1" si="66">(X185/$AI$10)*100</f>
        <v>#DIV/0!</v>
      </c>
      <c r="Z185" s="169" t="e">
        <f t="shared" ca="1" si="48"/>
        <v>#DIV/0!</v>
      </c>
      <c r="AA185" s="180"/>
      <c r="AB185" s="110" t="e">
        <f t="shared" ca="1" si="49"/>
        <v>#DIV/0!</v>
      </c>
      <c r="AC185" s="261"/>
      <c r="AD185" s="182"/>
      <c r="AE185" s="245" t="s">
        <v>136</v>
      </c>
      <c r="AF185" s="245" t="s">
        <v>135</v>
      </c>
      <c r="AL185" s="7" t="s">
        <v>136</v>
      </c>
      <c r="AM185" s="102">
        <v>552003</v>
      </c>
      <c r="AN185" s="103" t="s">
        <v>54</v>
      </c>
      <c r="AO185" s="104" t="e">
        <f t="shared" ca="1" si="45"/>
        <v>#DIV/0!</v>
      </c>
      <c r="AP185" s="49"/>
      <c r="AR185" s="112" t="str">
        <f t="shared" si="62"/>
        <v xml:space="preserve"> DC 1250T#1</v>
      </c>
      <c r="AS185" s="112" t="str">
        <f t="shared" si="63"/>
        <v>0451-627B1</v>
      </c>
      <c r="AU185" s="108" t="e">
        <f t="shared" ca="1" si="54"/>
        <v>#DIV/0!</v>
      </c>
      <c r="AV185" s="7" t="s">
        <v>1</v>
      </c>
      <c r="AW185" s="7" t="s">
        <v>507</v>
      </c>
      <c r="BA185" s="48" t="s">
        <v>348</v>
      </c>
      <c r="BB185" s="394" t="s">
        <v>349</v>
      </c>
      <c r="BC185" s="394"/>
      <c r="BD185" s="394" t="s">
        <v>77</v>
      </c>
      <c r="BE185" s="113" t="e">
        <f t="shared" ca="1" si="64"/>
        <v>#DIV/0!</v>
      </c>
      <c r="BF185" s="113"/>
      <c r="BG185" s="113" t="e">
        <f t="shared" ca="1" si="65"/>
        <v>#DIV/0!</v>
      </c>
      <c r="BH185" s="113" t="e">
        <f t="shared" ca="1" si="65"/>
        <v>#DIV/0!</v>
      </c>
      <c r="BI185" s="113"/>
    </row>
    <row r="186" spans="1:61" ht="15" customHeight="1">
      <c r="A186" s="798" t="s">
        <v>620</v>
      </c>
      <c r="B186" s="794"/>
      <c r="C186" s="613"/>
      <c r="D186" s="613"/>
      <c r="E186" s="613"/>
      <c r="F186" s="613"/>
      <c r="G186" s="613"/>
      <c r="H186" s="762"/>
      <c r="I186" s="762"/>
      <c r="J186" s="673"/>
      <c r="K186" s="568"/>
      <c r="L186" s="312"/>
      <c r="M186" s="732"/>
      <c r="N186" s="669"/>
      <c r="O186" s="669"/>
      <c r="P186" s="838"/>
      <c r="Q186" s="603"/>
      <c r="R186" s="569"/>
      <c r="S186" s="69"/>
      <c r="T186" s="159"/>
      <c r="U186" s="178" t="s">
        <v>514</v>
      </c>
      <c r="V186" s="156" t="s">
        <v>517</v>
      </c>
      <c r="W186" s="307" t="s">
        <v>429</v>
      </c>
      <c r="X186" s="199" t="e">
        <f ca="1">R582+R587</f>
        <v>#DIV/0!</v>
      </c>
      <c r="Y186" s="151" t="e">
        <f t="shared" ca="1" si="66"/>
        <v>#DIV/0!</v>
      </c>
      <c r="Z186" s="169" t="e">
        <f t="shared" ca="1" si="48"/>
        <v>#DIV/0!</v>
      </c>
      <c r="AA186" s="180"/>
      <c r="AB186" s="110" t="e">
        <f t="shared" ca="1" si="49"/>
        <v>#DIV/0!</v>
      </c>
      <c r="AC186" s="181"/>
      <c r="AD186" s="182"/>
      <c r="AE186" s="245" t="s">
        <v>136</v>
      </c>
      <c r="AF186" s="245" t="s">
        <v>135</v>
      </c>
      <c r="AL186" s="7" t="s">
        <v>136</v>
      </c>
      <c r="AM186" s="102">
        <v>552003</v>
      </c>
      <c r="AN186" s="103" t="s">
        <v>54</v>
      </c>
      <c r="AO186" s="104" t="e">
        <f t="shared" ca="1" si="45"/>
        <v>#DIV/0!</v>
      </c>
      <c r="AP186" s="403"/>
      <c r="AR186" s="112" t="str">
        <f t="shared" si="62"/>
        <v xml:space="preserve"> DC 1250T#3</v>
      </c>
      <c r="AS186" s="112" t="str">
        <f t="shared" si="63"/>
        <v>0451-627B0</v>
      </c>
      <c r="AU186" s="108" t="e">
        <f t="shared" ca="1" si="54"/>
        <v>#DIV/0!</v>
      </c>
      <c r="AV186" s="7" t="s">
        <v>1</v>
      </c>
      <c r="AW186" s="7" t="s">
        <v>507</v>
      </c>
      <c r="BA186" s="48" t="s">
        <v>352</v>
      </c>
      <c r="BB186" s="394" t="s">
        <v>353</v>
      </c>
      <c r="BC186" s="394"/>
      <c r="BD186" s="394" t="s">
        <v>77</v>
      </c>
      <c r="BE186" s="113" t="e">
        <f t="shared" ca="1" si="64"/>
        <v>#DIV/0!</v>
      </c>
      <c r="BF186" s="113"/>
      <c r="BG186" s="113" t="e">
        <f t="shared" ca="1" si="65"/>
        <v>#DIV/0!</v>
      </c>
      <c r="BH186" s="113" t="e">
        <f t="shared" ca="1" si="65"/>
        <v>#DIV/0!</v>
      </c>
      <c r="BI186" s="113"/>
    </row>
    <row r="187" spans="1:61" ht="15" customHeight="1">
      <c r="A187" s="678" t="s">
        <v>621</v>
      </c>
      <c r="B187" s="861" t="s">
        <v>72</v>
      </c>
      <c r="C187" s="757">
        <v>1</v>
      </c>
      <c r="D187" s="654" t="s">
        <v>47</v>
      </c>
      <c r="E187" s="859"/>
      <c r="F187" s="757" t="s">
        <v>243</v>
      </c>
      <c r="G187" s="757" t="s">
        <v>49</v>
      </c>
      <c r="H187" s="655" cm="1">
        <f t="array" aca="1" ref="H187" ca="1">IFERROR(
    INDIRECT(
        "RawData!" &amp;
        ADDRESS(
            2,
            MATCH(
                TRIM(MID(A187, SEARCH(". ", A187) + 2, LEN(A187))) &amp; ".Import_kWh",
                RawData!$1:$1,
                0
            ),
            4
        )
    ),
    0
)</f>
        <v>0</v>
      </c>
      <c r="I187" s="655" cm="1">
        <f t="array" aca="1" ref="I187" ca="1">IFERROR(
    INDIRECT(
        "RawData!" &amp;
        ADDRESS(
            COUNTA(RawData!A:A),
            MATCH(
                TRIM(MID(A187, SEARCH(". ", A187) + 2, LEN(A187))) &amp; ".Import_kWh",
                RawData!$1:$1,
                0
            ),
            4
        )
    ),
    0
)</f>
        <v>0</v>
      </c>
      <c r="J187" s="863">
        <f ca="1">(I187-H187)*C187</f>
        <v>0</v>
      </c>
      <c r="K187" s="657" t="e">
        <f ca="1">J187*K$138/(J$139+J$147+J$160+J$183+J$187+J$190+J$202+J$210)</f>
        <v>#DIV/0!</v>
      </c>
      <c r="L187" s="681" t="e">
        <f ca="1">K187/J187</f>
        <v>#DIV/0!</v>
      </c>
      <c r="M187" s="864"/>
      <c r="N187" s="719"/>
      <c r="O187" s="719"/>
      <c r="P187" s="855"/>
      <c r="Q187" s="856"/>
      <c r="R187" s="575" t="e">
        <f ca="1">K187</f>
        <v>#DIV/0!</v>
      </c>
      <c r="S187" s="114" t="s">
        <v>98</v>
      </c>
      <c r="T187" s="115" t="s">
        <v>99</v>
      </c>
      <c r="U187" s="178" t="s">
        <v>157</v>
      </c>
      <c r="V187" s="156" t="s">
        <v>317</v>
      </c>
      <c r="W187" s="307" t="s">
        <v>135</v>
      </c>
      <c r="X187" s="199"/>
      <c r="Y187" s="151" t="e">
        <f t="shared" ca="1" si="66"/>
        <v>#DIV/0!</v>
      </c>
      <c r="Z187" s="169" t="e">
        <f t="shared" ca="1" si="48"/>
        <v>#DIV/0!</v>
      </c>
      <c r="AA187" s="180"/>
      <c r="AB187" s="110" t="e">
        <f t="shared" ca="1" si="49"/>
        <v>#DIV/0!</v>
      </c>
      <c r="AC187" s="181"/>
      <c r="AD187" s="182"/>
      <c r="AE187" s="245" t="s">
        <v>136</v>
      </c>
      <c r="AF187" s="245" t="s">
        <v>135</v>
      </c>
      <c r="AL187" s="7" t="s">
        <v>136</v>
      </c>
      <c r="AM187" s="102">
        <v>552003</v>
      </c>
      <c r="AN187" s="103" t="s">
        <v>54</v>
      </c>
      <c r="AO187" s="104" t="e">
        <f t="shared" ca="1" si="45"/>
        <v>#DIV/0!</v>
      </c>
      <c r="AP187" s="403"/>
      <c r="AR187" s="112" t="str">
        <f t="shared" si="62"/>
        <v xml:space="preserve"> DC 1250T#5</v>
      </c>
      <c r="AS187" s="112" t="str">
        <f t="shared" si="63"/>
        <v>0451-31100</v>
      </c>
      <c r="AU187" s="108" t="e">
        <f t="shared" ca="1" si="54"/>
        <v>#DIV/0!</v>
      </c>
      <c r="AV187" s="7" t="s">
        <v>1</v>
      </c>
      <c r="AW187" s="7" t="s">
        <v>507</v>
      </c>
      <c r="BA187" s="48" t="s">
        <v>327</v>
      </c>
      <c r="BB187" s="394" t="s">
        <v>328</v>
      </c>
      <c r="BC187" s="394"/>
      <c r="BD187" s="394" t="s">
        <v>77</v>
      </c>
      <c r="BE187" s="113" t="e">
        <f t="shared" ca="1" si="64"/>
        <v>#DIV/0!</v>
      </c>
      <c r="BF187" s="113"/>
      <c r="BG187" s="113" t="e">
        <f t="shared" ca="1" si="65"/>
        <v>#DIV/0!</v>
      </c>
      <c r="BH187" s="113" t="e">
        <f t="shared" ca="1" si="65"/>
        <v>#DIV/0!</v>
      </c>
      <c r="BI187" s="113"/>
    </row>
    <row r="188" spans="1:61" ht="15" customHeight="1">
      <c r="A188" s="664" t="s">
        <v>622</v>
      </c>
      <c r="B188" s="865"/>
      <c r="C188" s="595"/>
      <c r="D188" s="595"/>
      <c r="E188" s="595"/>
      <c r="F188" s="595"/>
      <c r="G188" s="595"/>
      <c r="H188" s="672"/>
      <c r="I188" s="672"/>
      <c r="J188" s="673"/>
      <c r="K188" s="667"/>
      <c r="L188" s="799"/>
      <c r="M188" s="568"/>
      <c r="N188" s="669"/>
      <c r="O188" s="669"/>
      <c r="P188" s="866"/>
      <c r="Q188" s="603"/>
      <c r="R188" s="569"/>
      <c r="U188" s="178" t="s">
        <v>316</v>
      </c>
      <c r="V188" s="156" t="s">
        <v>319</v>
      </c>
      <c r="W188" s="307" t="s">
        <v>135</v>
      </c>
      <c r="X188" s="199">
        <v>0</v>
      </c>
      <c r="Y188" s="151" t="e">
        <f t="shared" ca="1" si="66"/>
        <v>#DIV/0!</v>
      </c>
      <c r="Z188" s="169" t="e">
        <f t="shared" ca="1" si="48"/>
        <v>#DIV/0!</v>
      </c>
      <c r="AA188" s="180"/>
      <c r="AB188" s="110" t="e">
        <f t="shared" ca="1" si="49"/>
        <v>#DIV/0!</v>
      </c>
      <c r="AC188" s="181"/>
      <c r="AD188" s="182"/>
      <c r="AE188" s="245" t="s">
        <v>136</v>
      </c>
      <c r="AF188" s="245" t="s">
        <v>135</v>
      </c>
      <c r="AL188" s="7" t="s">
        <v>136</v>
      </c>
      <c r="AM188" s="102">
        <v>552003</v>
      </c>
      <c r="AN188" s="103" t="s">
        <v>54</v>
      </c>
      <c r="AO188" s="104" t="e">
        <f t="shared" ca="1" si="45"/>
        <v>#DIV/0!</v>
      </c>
      <c r="AP188" s="49"/>
      <c r="AR188" s="112" t="str">
        <f t="shared" si="62"/>
        <v xml:space="preserve"> DC 1250T#6</v>
      </c>
      <c r="AS188" s="112" t="str">
        <f t="shared" si="63"/>
        <v>0451-627A0</v>
      </c>
      <c r="AU188" s="108" t="e">
        <f t="shared" ca="1" si="54"/>
        <v>#DIV/0!</v>
      </c>
      <c r="AV188" s="7" t="s">
        <v>1</v>
      </c>
      <c r="AW188" s="7" t="s">
        <v>507</v>
      </c>
      <c r="BA188" s="48" t="s">
        <v>264</v>
      </c>
      <c r="BB188" s="394" t="s">
        <v>265</v>
      </c>
      <c r="BC188" s="394"/>
      <c r="BD188" s="394" t="s">
        <v>77</v>
      </c>
      <c r="BE188" s="113">
        <f t="shared" ca="1" si="64"/>
        <v>0</v>
      </c>
      <c r="BF188" s="113"/>
      <c r="BG188" s="113" t="e">
        <f t="shared" ca="1" si="65"/>
        <v>#DIV/0!</v>
      </c>
      <c r="BH188" s="113" t="e">
        <f t="shared" ca="1" si="65"/>
        <v>#DIV/0!</v>
      </c>
      <c r="BI188" s="113"/>
    </row>
    <row r="189" spans="1:61" ht="15" customHeight="1">
      <c r="A189" s="775"/>
      <c r="B189" s="865"/>
      <c r="C189" s="595"/>
      <c r="D189" s="595"/>
      <c r="E189" s="595"/>
      <c r="F189" s="595"/>
      <c r="G189" s="595"/>
      <c r="H189" s="672"/>
      <c r="I189" s="672"/>
      <c r="J189" s="673"/>
      <c r="K189" s="667"/>
      <c r="L189" s="312"/>
      <c r="M189" s="472"/>
      <c r="N189" s="669"/>
      <c r="O189" s="669"/>
      <c r="P189" s="866"/>
      <c r="Q189" s="603"/>
      <c r="R189" s="569"/>
      <c r="S189" s="114"/>
      <c r="T189" s="115"/>
      <c r="U189" s="178" t="s">
        <v>316</v>
      </c>
      <c r="V189" s="156" t="s">
        <v>323</v>
      </c>
      <c r="W189" s="307" t="s">
        <v>135</v>
      </c>
      <c r="X189" s="199">
        <f ca="1">R493+R525</f>
        <v>0</v>
      </c>
      <c r="Y189" s="151" t="e">
        <f t="shared" ca="1" si="66"/>
        <v>#DIV/0!</v>
      </c>
      <c r="Z189" s="169" t="e">
        <f t="shared" ca="1" si="48"/>
        <v>#DIV/0!</v>
      </c>
      <c r="AA189" s="180"/>
      <c r="AB189" s="110" t="e">
        <f t="shared" ca="1" si="49"/>
        <v>#DIV/0!</v>
      </c>
      <c r="AC189" s="180"/>
      <c r="AD189" s="182"/>
      <c r="AE189" s="245" t="s">
        <v>136</v>
      </c>
      <c r="AF189" s="245" t="s">
        <v>429</v>
      </c>
      <c r="AL189" s="7" t="s">
        <v>136</v>
      </c>
      <c r="AM189" s="102">
        <v>552003</v>
      </c>
      <c r="AN189" s="103" t="s">
        <v>54</v>
      </c>
      <c r="AO189" s="104" t="e">
        <f t="shared" ca="1" si="45"/>
        <v>#DIV/0!</v>
      </c>
      <c r="AP189" s="49"/>
      <c r="AR189" s="112" t="str">
        <f t="shared" si="62"/>
        <v xml:space="preserve"> DC 1250T#7</v>
      </c>
      <c r="AS189" s="112" t="str">
        <f t="shared" si="63"/>
        <v>0451-627A0</v>
      </c>
      <c r="AU189" s="108" t="e">
        <f t="shared" ca="1" si="54"/>
        <v>#DIV/0!</v>
      </c>
      <c r="AV189" s="7" t="s">
        <v>1</v>
      </c>
      <c r="AW189" s="7" t="s">
        <v>507</v>
      </c>
      <c r="BA189" s="48" t="s">
        <v>359</v>
      </c>
      <c r="BB189" s="394" t="s">
        <v>207</v>
      </c>
      <c r="BC189" s="394"/>
      <c r="BD189" s="394" t="s">
        <v>77</v>
      </c>
      <c r="BE189" s="113" t="e">
        <f t="shared" ca="1" si="64"/>
        <v>#DIV/0!</v>
      </c>
      <c r="BF189" s="113"/>
      <c r="BG189" s="113" t="e">
        <f t="shared" ca="1" si="65"/>
        <v>#DIV/0!</v>
      </c>
      <c r="BH189" s="113" t="e">
        <f t="shared" ca="1" si="65"/>
        <v>#DIV/0!</v>
      </c>
      <c r="BI189" s="113"/>
    </row>
    <row r="190" spans="1:61" ht="15" customHeight="1">
      <c r="A190" s="678" t="s">
        <v>623</v>
      </c>
      <c r="B190" s="679" t="s">
        <v>64</v>
      </c>
      <c r="C190" s="679">
        <v>1</v>
      </c>
      <c r="D190" s="654" t="s">
        <v>47</v>
      </c>
      <c r="E190" s="654"/>
      <c r="F190" s="654" t="s">
        <v>48</v>
      </c>
      <c r="G190" s="654" t="s">
        <v>49</v>
      </c>
      <c r="H190" s="655" cm="1">
        <f t="array" aca="1" ref="H190" ca="1">IFERROR(
    INDIRECT(
        "RawData!" &amp;
        ADDRESS(
            2,
            MATCH(
                TRIM(MID(A190, SEARCH(". ", A190) + 2, LEN(A190))) &amp; ".Import_kWh",
                RawData!$1:$1,
                0
            ),
            4
        )
    ),
    0
)</f>
        <v>0</v>
      </c>
      <c r="I190" s="655" cm="1">
        <f t="array" aca="1" ref="I190" ca="1">IFERROR(
    INDIRECT(
        "RawData!" &amp;
        ADDRESS(
            COUNTA(RawData!A:A),
            MATCH(
                TRIM(MID(A190, SEARCH(". ", A190) + 2, LEN(A190))) &amp; ".Import_kWh",
                RawData!$1:$1,
                0
            ),
            4
        )
    ),
    0
)</f>
        <v>0</v>
      </c>
      <c r="J190" s="680">
        <f ca="1">(I190-H190)*C190</f>
        <v>0</v>
      </c>
      <c r="K190" s="824" t="e">
        <f ca="1">J190*K$138/(J$139+J$147+J$160+J$183+J$187+J$190+J$202+J$210)</f>
        <v>#DIV/0!</v>
      </c>
      <c r="L190" s="681" t="e">
        <f ca="1">K190/J190</f>
        <v>#DIV/0!</v>
      </c>
      <c r="M190" s="682" t="e">
        <f ca="1">R192+R194+R195+R197+R198+R201</f>
        <v>#DIV/0!</v>
      </c>
      <c r="N190" s="683"/>
      <c r="O190" s="683"/>
      <c r="P190" s="867"/>
      <c r="Q190" s="868"/>
      <c r="R190" s="575"/>
      <c r="S190" s="69"/>
      <c r="T190" s="159"/>
      <c r="U190" s="178" t="s">
        <v>624</v>
      </c>
      <c r="V190" s="156" t="s">
        <v>325</v>
      </c>
      <c r="W190" s="307" t="s">
        <v>135</v>
      </c>
      <c r="X190" s="151" t="e">
        <f ca="1">R481+R530+R535</f>
        <v>#DIV/0!</v>
      </c>
      <c r="Y190" s="151" t="e">
        <f t="shared" ca="1" si="66"/>
        <v>#DIV/0!</v>
      </c>
      <c r="Z190" s="169" t="e">
        <f t="shared" ca="1" si="48"/>
        <v>#DIV/0!</v>
      </c>
      <c r="AA190" s="180"/>
      <c r="AB190" s="110" t="e">
        <f t="shared" ca="1" si="49"/>
        <v>#DIV/0!</v>
      </c>
      <c r="AC190" s="180"/>
      <c r="AD190" s="182"/>
      <c r="AE190" s="245" t="s">
        <v>136</v>
      </c>
      <c r="AF190" s="245" t="s">
        <v>429</v>
      </c>
      <c r="AL190" s="7" t="s">
        <v>136</v>
      </c>
      <c r="AM190" s="102">
        <v>552003</v>
      </c>
      <c r="AN190" s="103" t="s">
        <v>54</v>
      </c>
      <c r="AO190" s="104" t="e">
        <f t="shared" ca="1" si="45"/>
        <v>#DIV/0!</v>
      </c>
      <c r="AP190" s="49"/>
      <c r="AR190" s="112" t="str">
        <f t="shared" si="62"/>
        <v xml:space="preserve"> DC 1250T#8</v>
      </c>
      <c r="AS190" s="112" t="str">
        <f t="shared" si="63"/>
        <v>0451-627A8</v>
      </c>
      <c r="AU190" s="108" t="e">
        <f t="shared" ca="1" si="54"/>
        <v>#DIV/0!</v>
      </c>
      <c r="AV190" s="7" t="s">
        <v>1</v>
      </c>
      <c r="AW190" s="7" t="s">
        <v>507</v>
      </c>
      <c r="BA190" s="48" t="s">
        <v>304</v>
      </c>
      <c r="BB190" s="394" t="s">
        <v>305</v>
      </c>
      <c r="BC190" s="394"/>
      <c r="BD190" s="394" t="s">
        <v>77</v>
      </c>
      <c r="BE190" s="113">
        <f t="shared" ca="1" si="64"/>
        <v>0</v>
      </c>
      <c r="BF190" s="113"/>
      <c r="BG190" s="113" t="e">
        <f t="shared" ca="1" si="65"/>
        <v>#DIV/0!</v>
      </c>
      <c r="BH190" s="113" t="e">
        <f t="shared" ca="1" si="65"/>
        <v>#DIV/0!</v>
      </c>
      <c r="BI190" s="113"/>
    </row>
    <row r="191" spans="1:61" ht="15" customHeight="1">
      <c r="A191" s="664" t="s">
        <v>625</v>
      </c>
      <c r="B191" s="595" t="s">
        <v>72</v>
      </c>
      <c r="C191" s="595">
        <v>1</v>
      </c>
      <c r="D191" s="595" t="s">
        <v>47</v>
      </c>
      <c r="E191" s="595"/>
      <c r="F191" s="595" t="s">
        <v>48</v>
      </c>
      <c r="G191" s="595" t="s">
        <v>49</v>
      </c>
      <c r="H191" s="665" cm="1">
        <f t="array" aca="1" ref="H191" ca="1">IFERROR(
    INDIRECT(
        "RawData!" &amp;
        ADDRESS(
            2,
            MATCH(
                TRIM(MID(A191, SEARCH(". ", A191) + 2, LEN(A191))) &amp; ".Import_kWh",
                RawData!$1:$1,
                0
            ),
            4
        )
    ),
    0
)</f>
        <v>0</v>
      </c>
      <c r="I191" s="665" cm="1">
        <f t="array" aca="1" ref="I191" ca="1">IFERROR(
    INDIRECT(
        "RawData!" &amp;
        ADDRESS(
            COUNTA(RawData!A:A),
            MATCH(
                TRIM(MID(A191, SEARCH(". ", A191) + 2, LEN(A191))) &amp; ".Import_kWh",
                RawData!$1:$1,
                0
            ),
            4
        )
    ),
    0
)</f>
        <v>0</v>
      </c>
      <c r="J191" s="666">
        <f ca="1">(I191-H191)*C191</f>
        <v>0</v>
      </c>
      <c r="K191" s="667" t="e">
        <f ca="1">J191*K$190/(J$191+J$193+J$196+J$200)</f>
        <v>#DIV/0!</v>
      </c>
      <c r="L191" s="312" t="e">
        <f ca="1">K191/J191</f>
        <v>#DIV/0!</v>
      </c>
      <c r="M191" s="668" t="e">
        <f ca="1">R192</f>
        <v>#DIV/0!</v>
      </c>
      <c r="N191" s="669"/>
      <c r="O191" s="669"/>
      <c r="P191" s="689"/>
      <c r="Q191" s="869"/>
      <c r="R191" s="569"/>
      <c r="S191" s="69"/>
      <c r="T191" s="159"/>
      <c r="U191" s="236" t="s">
        <v>514</v>
      </c>
      <c r="V191" s="237" t="s">
        <v>519</v>
      </c>
      <c r="W191" s="315" t="s">
        <v>429</v>
      </c>
      <c r="X191" s="238" t="e">
        <f ca="1">R566+R571</f>
        <v>#DIV/0!</v>
      </c>
      <c r="Y191" s="239" t="e">
        <f t="shared" ca="1" si="66"/>
        <v>#DIV/0!</v>
      </c>
      <c r="Z191" s="240" t="e">
        <f t="shared" ca="1" si="48"/>
        <v>#DIV/0!</v>
      </c>
      <c r="AA191" s="241" t="e">
        <f ca="1">SUM(Z185:Z191)</f>
        <v>#DIV/0!</v>
      </c>
      <c r="AB191" s="129" t="e">
        <f t="shared" ca="1" si="49"/>
        <v>#DIV/0!</v>
      </c>
      <c r="AC191" s="241" t="e">
        <f ca="1">SUM(AB185:AB191)</f>
        <v>#DIV/0!</v>
      </c>
      <c r="AD191" s="243"/>
      <c r="AE191" s="245" t="s">
        <v>136</v>
      </c>
      <c r="AF191" s="245" t="s">
        <v>429</v>
      </c>
      <c r="AL191" s="7" t="s">
        <v>136</v>
      </c>
      <c r="AM191" s="102">
        <v>552003</v>
      </c>
      <c r="AN191" s="103" t="s">
        <v>54</v>
      </c>
      <c r="AO191" s="104" t="e">
        <f t="shared" ca="1" si="45"/>
        <v>#DIV/0!</v>
      </c>
      <c r="AP191" s="403"/>
      <c r="AR191" s="112" t="str">
        <f t="shared" si="62"/>
        <v xml:space="preserve"> DC 1250T#9</v>
      </c>
      <c r="AS191" s="112" t="str">
        <f t="shared" si="63"/>
        <v>0451-627B0</v>
      </c>
      <c r="AU191" s="108" t="e">
        <f t="shared" ca="1" si="54"/>
        <v>#DIV/0!</v>
      </c>
      <c r="AV191" s="7" t="s">
        <v>1</v>
      </c>
      <c r="AW191" s="7" t="s">
        <v>507</v>
      </c>
      <c r="BA191" s="48" t="s">
        <v>626</v>
      </c>
      <c r="BB191" s="394" t="s">
        <v>627</v>
      </c>
      <c r="BC191" s="394"/>
      <c r="BD191" s="394" t="s">
        <v>77</v>
      </c>
      <c r="BE191" s="113" t="e">
        <f>#REF!</f>
        <v>#REF!</v>
      </c>
      <c r="BF191" s="113"/>
      <c r="BG191" s="113" t="e">
        <f>#REF!</f>
        <v>#REF!</v>
      </c>
      <c r="BH191" s="113" t="e">
        <f>#REF!</f>
        <v>#REF!</v>
      </c>
      <c r="BI191" s="113"/>
    </row>
    <row r="192" spans="1:61" ht="15" customHeight="1">
      <c r="A192" s="664" t="s">
        <v>628</v>
      </c>
      <c r="B192" s="595" t="s">
        <v>629</v>
      </c>
      <c r="C192" s="595"/>
      <c r="D192" s="595"/>
      <c r="E192" s="595"/>
      <c r="F192" s="595"/>
      <c r="G192" s="595"/>
      <c r="H192" s="672"/>
      <c r="I192" s="672"/>
      <c r="J192" s="673"/>
      <c r="K192" s="667"/>
      <c r="L192" s="312"/>
      <c r="M192" s="870">
        <f>30.4+23.92+10.4+11.2</f>
        <v>75.92</v>
      </c>
      <c r="N192" s="669">
        <v>10</v>
      </c>
      <c r="O192" s="669">
        <v>14</v>
      </c>
      <c r="P192" s="689"/>
      <c r="Q192" s="603"/>
      <c r="R192" s="569" t="e">
        <f ca="1">K191</f>
        <v>#DIV/0!</v>
      </c>
      <c r="S192" s="114" t="s">
        <v>164</v>
      </c>
      <c r="T192" s="115" t="s">
        <v>165</v>
      </c>
      <c r="U192" s="318" t="s">
        <v>514</v>
      </c>
      <c r="V192" s="156" t="s">
        <v>520</v>
      </c>
      <c r="W192" s="320" t="s">
        <v>429</v>
      </c>
      <c r="X192" s="321">
        <f ca="1">R591</f>
        <v>0</v>
      </c>
      <c r="Y192" s="360"/>
      <c r="Z192" s="361" t="e">
        <f t="shared" ca="1" si="48"/>
        <v>#DIV/0!</v>
      </c>
      <c r="AA192" s="322"/>
      <c r="AB192" s="110" t="e">
        <f t="shared" ca="1" si="49"/>
        <v>#DIV/0!</v>
      </c>
      <c r="AC192" s="404"/>
      <c r="AD192" s="182"/>
      <c r="AE192" s="245" t="s">
        <v>136</v>
      </c>
      <c r="AF192" s="245" t="s">
        <v>429</v>
      </c>
      <c r="AL192" s="7" t="s">
        <v>136</v>
      </c>
      <c r="AM192" s="102">
        <v>552003</v>
      </c>
      <c r="AN192" s="103" t="s">
        <v>54</v>
      </c>
      <c r="AO192" s="104" t="e">
        <f t="shared" ca="1" si="45"/>
        <v>#DIV/0!</v>
      </c>
      <c r="AP192" s="49"/>
      <c r="AR192" s="112" t="str">
        <f t="shared" si="62"/>
        <v xml:space="preserve"> ELETRIC HOLDING FURNACE DC1250T#1</v>
      </c>
      <c r="AS192" s="112" t="str">
        <f t="shared" si="63"/>
        <v>0451-627B0</v>
      </c>
      <c r="AU192" s="108" t="e">
        <f t="shared" ca="1" si="54"/>
        <v>#DIV/0!</v>
      </c>
      <c r="AV192" s="7" t="s">
        <v>1</v>
      </c>
      <c r="AW192" s="7" t="s">
        <v>507</v>
      </c>
      <c r="BA192" s="48" t="s">
        <v>365</v>
      </c>
      <c r="BB192" s="394" t="s">
        <v>366</v>
      </c>
      <c r="BC192" s="394"/>
      <c r="BD192" s="394" t="s">
        <v>77</v>
      </c>
      <c r="BE192" s="113" t="e">
        <f ca="1">X75</f>
        <v>#DIV/0!</v>
      </c>
      <c r="BF192" s="113"/>
      <c r="BG192" s="113" t="e">
        <f ca="1">Y75</f>
        <v>#DIV/0!</v>
      </c>
      <c r="BH192" s="113" t="e">
        <f ca="1">Z75</f>
        <v>#DIV/0!</v>
      </c>
      <c r="BI192" s="113"/>
    </row>
    <row r="193" spans="1:61" ht="15" customHeight="1">
      <c r="A193" s="664" t="s">
        <v>1150</v>
      </c>
      <c r="B193" s="595" t="s">
        <v>447</v>
      </c>
      <c r="C193" s="595">
        <v>1</v>
      </c>
      <c r="D193" s="595" t="s">
        <v>47</v>
      </c>
      <c r="E193" s="595"/>
      <c r="F193" s="595" t="s">
        <v>48</v>
      </c>
      <c r="G193" s="595" t="s">
        <v>49</v>
      </c>
      <c r="H193" s="665" cm="1">
        <f t="array" aca="1" ref="H193" ca="1">IFERROR(
    INDIRECT(
        "RawData!" &amp;
        ADDRESS(
            2,
            MATCH(
                TRIM(MID(A193, SEARCH(". ", A193) + 2, LEN(A193))) &amp; ".Import_kWh",
                RawData!$1:$1,
                0
            ),
            4
        )
    ),
    0
)</f>
        <v>0</v>
      </c>
      <c r="I193" s="665" cm="1">
        <f t="array" aca="1" ref="I193" ca="1">IFERROR(
    INDIRECT(
        "RawData!" &amp;
        ADDRESS(
            COUNTA(RawData!A:A),
            MATCH(
                TRIM(MID(A193, SEARCH(". ", A193) + 2, LEN(A193))) &amp; ".Import_kWh",
                RawData!$1:$1,
                0
            ),
            4
        )
    ),
    0
)</f>
        <v>0</v>
      </c>
      <c r="J193" s="666">
        <f ca="1">(I193-H193)*C193</f>
        <v>0</v>
      </c>
      <c r="K193" s="667" t="e">
        <f ca="1">J193*K$190/(J$191+J$193+J$196+J$200)</f>
        <v>#DIV/0!</v>
      </c>
      <c r="L193" s="312" t="e">
        <f ca="1">K193/J193</f>
        <v>#DIV/0!</v>
      </c>
      <c r="M193" s="668" t="e">
        <f ca="1">R194+R195</f>
        <v>#DIV/0!</v>
      </c>
      <c r="N193" s="669"/>
      <c r="O193" s="669"/>
      <c r="P193" s="689"/>
      <c r="Q193" s="603"/>
      <c r="R193" s="569"/>
      <c r="S193" s="69"/>
      <c r="T193" s="159"/>
      <c r="U193" s="178" t="s">
        <v>514</v>
      </c>
      <c r="V193" s="156" t="s">
        <v>522</v>
      </c>
      <c r="W193" s="307" t="s">
        <v>429</v>
      </c>
      <c r="X193" s="199">
        <f ca="1">R583</f>
        <v>0</v>
      </c>
      <c r="Y193" s="151"/>
      <c r="Z193" s="169" t="e">
        <f t="shared" ca="1" si="48"/>
        <v>#DIV/0!</v>
      </c>
      <c r="AA193" s="180"/>
      <c r="AB193" s="110" t="e">
        <f t="shared" ca="1" si="49"/>
        <v>#DIV/0!</v>
      </c>
      <c r="AC193" s="180"/>
      <c r="AD193" s="182"/>
      <c r="AE193" s="245" t="s">
        <v>136</v>
      </c>
      <c r="AF193" s="245" t="s">
        <v>135</v>
      </c>
      <c r="AL193" s="7" t="s">
        <v>136</v>
      </c>
      <c r="AM193" s="102">
        <v>552003</v>
      </c>
      <c r="AN193" s="103" t="s">
        <v>54</v>
      </c>
      <c r="AO193" s="104" t="e">
        <f t="shared" ca="1" si="45"/>
        <v>#DIV/0!</v>
      </c>
      <c r="AP193" s="49"/>
      <c r="AR193" s="112" t="str">
        <f t="shared" si="62"/>
        <v xml:space="preserve"> ELETRIC HOLDING FURNACE DC1250T#3</v>
      </c>
      <c r="AS193" s="112" t="str">
        <f t="shared" si="63"/>
        <v>0451-627B0</v>
      </c>
      <c r="AU193" s="108" t="e">
        <f t="shared" ca="1" si="54"/>
        <v>#DIV/0!</v>
      </c>
      <c r="AV193" s="7" t="s">
        <v>1</v>
      </c>
      <c r="AW193" s="7" t="s">
        <v>507</v>
      </c>
      <c r="BA193" s="48" t="s">
        <v>369</v>
      </c>
      <c r="BB193" s="394" t="s">
        <v>370</v>
      </c>
      <c r="BC193" s="394"/>
      <c r="BD193" s="394" t="s">
        <v>77</v>
      </c>
      <c r="BE193" s="113" t="e">
        <f ca="1">X76</f>
        <v>#DIV/0!</v>
      </c>
      <c r="BF193" s="113"/>
      <c r="BG193" s="113" t="e">
        <f t="shared" ref="BG193:BH196" ca="1" si="67">Y76</f>
        <v>#DIV/0!</v>
      </c>
      <c r="BH193" s="113" t="e">
        <f t="shared" ca="1" si="67"/>
        <v>#DIV/0!</v>
      </c>
      <c r="BI193" s="113"/>
    </row>
    <row r="194" spans="1:61" ht="15" customHeight="1">
      <c r="A194" s="695" t="s">
        <v>630</v>
      </c>
      <c r="B194" s="595"/>
      <c r="C194" s="595"/>
      <c r="D194" s="595"/>
      <c r="E194" s="595"/>
      <c r="F194" s="595"/>
      <c r="G194" s="595"/>
      <c r="H194" s="672"/>
      <c r="I194" s="672"/>
      <c r="J194" s="673"/>
      <c r="K194" s="568"/>
      <c r="L194" s="312"/>
      <c r="M194" s="664">
        <f>10.4+10.4+2.4+1.6</f>
        <v>24.8</v>
      </c>
      <c r="N194" s="727">
        <v>1</v>
      </c>
      <c r="O194" s="727">
        <v>1</v>
      </c>
      <c r="P194" s="689">
        <f>M194*O194</f>
        <v>24.8</v>
      </c>
      <c r="Q194" s="603">
        <f>P194/(P$194+P$195)</f>
        <v>1</v>
      </c>
      <c r="R194" s="569" t="e">
        <f ca="1">Q194*K$193</f>
        <v>#DIV/0!</v>
      </c>
      <c r="S194" s="114" t="s">
        <v>177</v>
      </c>
      <c r="T194" s="115" t="s">
        <v>178</v>
      </c>
      <c r="U194" s="236" t="s">
        <v>514</v>
      </c>
      <c r="V194" s="254" t="s">
        <v>525</v>
      </c>
      <c r="W194" s="315" t="s">
        <v>429</v>
      </c>
      <c r="X194" s="238">
        <f ca="1">R567</f>
        <v>0</v>
      </c>
      <c r="Y194" s="239"/>
      <c r="Z194" s="240" t="e">
        <f ca="1">X194+(Y194*$AI$7)/100</f>
        <v>#DIV/0!</v>
      </c>
      <c r="AA194" s="241" t="e">
        <f ca="1">SUM(Z193:Z194)</f>
        <v>#DIV/0!</v>
      </c>
      <c r="AB194" s="129" t="e">
        <f t="shared" ca="1" si="49"/>
        <v>#DIV/0!</v>
      </c>
      <c r="AC194" s="241" t="e">
        <f ca="1">SUM(AB193:AB194)</f>
        <v>#DIV/0!</v>
      </c>
      <c r="AD194" s="243"/>
      <c r="AE194" s="245" t="s">
        <v>136</v>
      </c>
      <c r="AF194" s="245" t="s">
        <v>135</v>
      </c>
      <c r="AL194" s="7" t="s">
        <v>136</v>
      </c>
      <c r="AM194" s="102">
        <v>552003</v>
      </c>
      <c r="AN194" s="103" t="s">
        <v>54</v>
      </c>
      <c r="AO194" s="104" t="e">
        <f t="shared" ref="AO194:AO199" ca="1" si="68">ROUND(AB194,2)</f>
        <v>#DIV/0!</v>
      </c>
      <c r="AP194" s="49"/>
      <c r="AR194" s="112" t="str">
        <f t="shared" si="62"/>
        <v xml:space="preserve"> ELETRIC HOLDING FURNACE DC1250T#9</v>
      </c>
      <c r="AS194" s="112" t="str">
        <f t="shared" si="63"/>
        <v>0451-627B0</v>
      </c>
      <c r="AU194" s="108" t="e">
        <f t="shared" ca="1" si="54"/>
        <v>#DIV/0!</v>
      </c>
      <c r="AV194" s="7" t="s">
        <v>1</v>
      </c>
      <c r="AW194" s="7" t="s">
        <v>507</v>
      </c>
      <c r="BA194" s="48" t="s">
        <v>373</v>
      </c>
      <c r="BB194" s="394" t="s">
        <v>374</v>
      </c>
      <c r="BC194" s="394"/>
      <c r="BD194" s="394" t="s">
        <v>77</v>
      </c>
      <c r="BE194" s="113" t="e">
        <f ca="1">X77</f>
        <v>#DIV/0!</v>
      </c>
      <c r="BF194" s="113"/>
      <c r="BG194" s="113" t="e">
        <f t="shared" ca="1" si="67"/>
        <v>#DIV/0!</v>
      </c>
      <c r="BH194" s="113" t="e">
        <f t="shared" ca="1" si="67"/>
        <v>#DIV/0!</v>
      </c>
      <c r="BI194" s="113"/>
    </row>
    <row r="195" spans="1:61" ht="15" customHeight="1">
      <c r="A195" s="664" t="s">
        <v>631</v>
      </c>
      <c r="B195" s="595" t="s">
        <v>629</v>
      </c>
      <c r="C195" s="595"/>
      <c r="D195" s="595"/>
      <c r="E195" s="595"/>
      <c r="F195" s="595"/>
      <c r="G195" s="595"/>
      <c r="H195" s="672"/>
      <c r="I195" s="672"/>
      <c r="J195" s="673"/>
      <c r="K195" s="568"/>
      <c r="L195" s="312"/>
      <c r="M195" s="870">
        <v>90.24</v>
      </c>
      <c r="N195" s="669">
        <v>0</v>
      </c>
      <c r="O195" s="669">
        <v>0</v>
      </c>
      <c r="P195" s="689">
        <f>M195*O195</f>
        <v>0</v>
      </c>
      <c r="Q195" s="603">
        <f>P195/(P$194+P$195)</f>
        <v>0</v>
      </c>
      <c r="R195" s="569" t="e">
        <f ca="1">Q195*K$193</f>
        <v>#DIV/0!</v>
      </c>
      <c r="S195" s="114" t="s">
        <v>550</v>
      </c>
      <c r="T195" s="115" t="s">
        <v>551</v>
      </c>
      <c r="U195" s="178" t="s">
        <v>329</v>
      </c>
      <c r="V195" s="156" t="s">
        <v>330</v>
      </c>
      <c r="W195" s="307" t="s">
        <v>135</v>
      </c>
      <c r="X195" s="199" t="e">
        <f ca="1">R527</f>
        <v>#DIV/0!</v>
      </c>
      <c r="Y195" s="360" t="e">
        <f t="shared" ref="Y195:Y198" ca="1" si="69">(X195/$AI$10)*100</f>
        <v>#DIV/0!</v>
      </c>
      <c r="Z195" s="361" t="e">
        <f t="shared" ca="1" si="48"/>
        <v>#DIV/0!</v>
      </c>
      <c r="AA195" s="180"/>
      <c r="AB195" s="110" t="e">
        <f t="shared" ca="1" si="49"/>
        <v>#DIV/0!</v>
      </c>
      <c r="AC195" s="324"/>
      <c r="AD195" s="182"/>
      <c r="AE195" s="245" t="s">
        <v>136</v>
      </c>
      <c r="AF195" s="245" t="s">
        <v>429</v>
      </c>
      <c r="AL195" s="7" t="s">
        <v>136</v>
      </c>
      <c r="AM195" s="102">
        <v>552003</v>
      </c>
      <c r="AN195" s="103" t="s">
        <v>54</v>
      </c>
      <c r="AO195" s="104" t="e">
        <f t="shared" ca="1" si="68"/>
        <v>#DIV/0!</v>
      </c>
      <c r="AP195" s="403"/>
      <c r="AR195" s="112" t="str">
        <f t="shared" si="62"/>
        <v xml:space="preserve"> DC 1650T#1</v>
      </c>
      <c r="AS195" s="112" t="str">
        <f t="shared" si="63"/>
        <v>0451-628A0</v>
      </c>
      <c r="AU195" s="108" t="e">
        <f t="shared" ca="1" si="54"/>
        <v>#DIV/0!</v>
      </c>
      <c r="AV195" s="7" t="s">
        <v>1</v>
      </c>
      <c r="AW195" s="7" t="s">
        <v>507</v>
      </c>
      <c r="BA195" s="48" t="s">
        <v>247</v>
      </c>
      <c r="BB195" s="394" t="s">
        <v>248</v>
      </c>
      <c r="BC195" s="394"/>
      <c r="BD195" s="394" t="s">
        <v>77</v>
      </c>
      <c r="BE195" s="113" t="e">
        <f ca="1">X78</f>
        <v>#DIV/0!</v>
      </c>
      <c r="BF195" s="113"/>
      <c r="BG195" s="113" t="e">
        <f t="shared" ca="1" si="67"/>
        <v>#DIV/0!</v>
      </c>
      <c r="BH195" s="113" t="e">
        <f t="shared" ca="1" si="67"/>
        <v>#DIV/0!</v>
      </c>
      <c r="BI195" s="113"/>
    </row>
    <row r="196" spans="1:61" ht="15" customHeight="1">
      <c r="A196" s="664" t="s">
        <v>632</v>
      </c>
      <c r="B196" s="595" t="s">
        <v>72</v>
      </c>
      <c r="C196" s="595">
        <v>1</v>
      </c>
      <c r="D196" s="595" t="s">
        <v>47</v>
      </c>
      <c r="E196" s="595"/>
      <c r="F196" s="595" t="s">
        <v>48</v>
      </c>
      <c r="G196" s="595" t="s">
        <v>49</v>
      </c>
      <c r="H196" s="665" cm="1">
        <f t="array" aca="1" ref="H196" ca="1">IFERROR(
    INDIRECT(
        "RawData!" &amp;
        ADDRESS(
            2,
            MATCH(
                TRIM(MID(A196, SEARCH(". ", A196) + 2, LEN(A196))) &amp; ".Import_kWh",
                RawData!$1:$1,
                0
            ),
            4
        )
    ),
    0
)</f>
        <v>0</v>
      </c>
      <c r="I196" s="665" cm="1">
        <f t="array" aca="1" ref="I196" ca="1">IFERROR(
    INDIRECT(
        "RawData!" &amp;
        ADDRESS(
            COUNTA(RawData!A:A),
            MATCH(
                TRIM(MID(A196, SEARCH(". ", A196) + 2, LEN(A196))) &amp; ".Import_kWh",
                RawData!$1:$1,
                0
            ),
            4
        )
    ),
    0
)</f>
        <v>0</v>
      </c>
      <c r="J196" s="666">
        <f ca="1">(I196-H196)*C196</f>
        <v>0</v>
      </c>
      <c r="K196" s="667" t="e">
        <f ca="1">J196*K$190/(J$191+J$193+J$196+J$200)</f>
        <v>#DIV/0!</v>
      </c>
      <c r="L196" s="312" t="e">
        <f ca="1">K196/J196</f>
        <v>#DIV/0!</v>
      </c>
      <c r="M196" s="677" t="e">
        <f ca="1">R197</f>
        <v>#DIV/0!</v>
      </c>
      <c r="N196" s="669"/>
      <c r="O196" s="669"/>
      <c r="P196" s="689"/>
      <c r="Q196" s="603"/>
      <c r="R196" s="569"/>
      <c r="S196" s="69"/>
      <c r="T196" s="159"/>
      <c r="U196" s="178" t="s">
        <v>329</v>
      </c>
      <c r="V196" s="156" t="s">
        <v>331</v>
      </c>
      <c r="W196" s="307" t="s">
        <v>135</v>
      </c>
      <c r="X196" s="199" t="e">
        <f ca="1">R519+R476</f>
        <v>#DIV/0!</v>
      </c>
      <c r="Y196" s="151" t="e">
        <f t="shared" ca="1" si="69"/>
        <v>#DIV/0!</v>
      </c>
      <c r="Z196" s="169" t="e">
        <f t="shared" ca="1" si="48"/>
        <v>#DIV/0!</v>
      </c>
      <c r="AA196" s="180"/>
      <c r="AB196" s="110" t="e">
        <f t="shared" ref="AB196:AB233" ca="1" si="70">Z196*Y$255</f>
        <v>#DIV/0!</v>
      </c>
      <c r="AC196" s="181"/>
      <c r="AD196" s="182"/>
      <c r="AE196" s="245" t="s">
        <v>136</v>
      </c>
      <c r="AF196" s="245" t="s">
        <v>429</v>
      </c>
      <c r="AL196" s="7" t="s">
        <v>136</v>
      </c>
      <c r="AM196" s="102">
        <v>552003</v>
      </c>
      <c r="AN196" s="103" t="s">
        <v>54</v>
      </c>
      <c r="AO196" s="104" t="e">
        <f t="shared" ca="1" si="68"/>
        <v>#DIV/0!</v>
      </c>
      <c r="AP196" s="49"/>
      <c r="AR196" s="112" t="str">
        <f t="shared" si="62"/>
        <v xml:space="preserve"> DC 1650T#2</v>
      </c>
      <c r="AS196" s="112" t="str">
        <f t="shared" si="63"/>
        <v>0451-628A0</v>
      </c>
      <c r="AU196" s="108" t="e">
        <f t="shared" ca="1" si="54"/>
        <v>#DIV/0!</v>
      </c>
      <c r="AV196" s="7" t="s">
        <v>1</v>
      </c>
      <c r="AW196" s="7" t="s">
        <v>507</v>
      </c>
      <c r="BA196" s="48" t="s">
        <v>220</v>
      </c>
      <c r="BB196" s="394" t="s">
        <v>221</v>
      </c>
      <c r="BC196" s="394"/>
      <c r="BD196" s="394" t="s">
        <v>77</v>
      </c>
      <c r="BE196" s="113">
        <f>X79</f>
        <v>0</v>
      </c>
      <c r="BF196" s="113"/>
      <c r="BG196" s="113" t="e">
        <f t="shared" ca="1" si="67"/>
        <v>#DIV/0!</v>
      </c>
      <c r="BH196" s="113" t="e">
        <f t="shared" ca="1" si="67"/>
        <v>#DIV/0!</v>
      </c>
      <c r="BI196" s="113"/>
    </row>
    <row r="197" spans="1:61" ht="15" customHeight="1">
      <c r="A197" s="664" t="s">
        <v>633</v>
      </c>
      <c r="B197" s="690"/>
      <c r="C197" s="595"/>
      <c r="D197" s="595"/>
      <c r="E197" s="595"/>
      <c r="F197" s="595"/>
      <c r="G197" s="595"/>
      <c r="H197" s="672"/>
      <c r="I197" s="672"/>
      <c r="J197" s="673"/>
      <c r="K197" s="568"/>
      <c r="L197" s="312"/>
      <c r="M197" s="870">
        <v>52.5</v>
      </c>
      <c r="N197" s="669">
        <v>3</v>
      </c>
      <c r="O197" s="669">
        <v>9</v>
      </c>
      <c r="P197" s="689">
        <f>M197*O197</f>
        <v>472.5</v>
      </c>
      <c r="Q197" s="603">
        <f>P197/(P$197)</f>
        <v>1</v>
      </c>
      <c r="R197" s="569" t="e">
        <f ca="1">K$196*Q197</f>
        <v>#DIV/0!</v>
      </c>
      <c r="S197" s="114" t="s">
        <v>300</v>
      </c>
      <c r="T197" s="115" t="s">
        <v>301</v>
      </c>
      <c r="U197" s="178" t="s">
        <v>634</v>
      </c>
      <c r="V197" s="166" t="s">
        <v>528</v>
      </c>
      <c r="W197" s="307" t="s">
        <v>429</v>
      </c>
      <c r="X197" s="199" t="e">
        <f ca="1">R578+R580</f>
        <v>#DIV/0!</v>
      </c>
      <c r="Y197" s="151" t="e">
        <f t="shared" ca="1" si="69"/>
        <v>#DIV/0!</v>
      </c>
      <c r="Z197" s="169" t="e">
        <f t="shared" ca="1" si="48"/>
        <v>#DIV/0!</v>
      </c>
      <c r="AA197" s="180"/>
      <c r="AB197" s="110" t="e">
        <f t="shared" ca="1" si="70"/>
        <v>#DIV/0!</v>
      </c>
      <c r="AC197" s="181"/>
      <c r="AD197" s="182"/>
      <c r="AE197" s="245" t="s">
        <v>136</v>
      </c>
      <c r="AF197" s="245" t="s">
        <v>429</v>
      </c>
      <c r="AL197" s="7" t="s">
        <v>136</v>
      </c>
      <c r="AM197" s="102">
        <v>552003</v>
      </c>
      <c r="AN197" s="103" t="s">
        <v>54</v>
      </c>
      <c r="AO197" s="104" t="e">
        <f t="shared" ca="1" si="68"/>
        <v>#DIV/0!</v>
      </c>
      <c r="AP197" s="49"/>
      <c r="AR197" s="112" t="str">
        <f t="shared" si="62"/>
        <v xml:space="preserve"> DC 1650T#3</v>
      </c>
      <c r="AS197" s="112" t="str">
        <f t="shared" si="63"/>
        <v>0451-628B3</v>
      </c>
      <c r="AU197" s="108" t="e">
        <f t="shared" ca="1" si="54"/>
        <v>#DIV/0!</v>
      </c>
      <c r="AV197" s="7" t="s">
        <v>1</v>
      </c>
      <c r="AW197" s="7" t="s">
        <v>507</v>
      </c>
      <c r="BA197" s="48" t="s">
        <v>635</v>
      </c>
      <c r="BB197" s="394" t="s">
        <v>636</v>
      </c>
      <c r="BC197" s="394"/>
      <c r="BD197" s="394" t="s">
        <v>77</v>
      </c>
      <c r="BE197" s="113" t="e">
        <f>#REF!</f>
        <v>#REF!</v>
      </c>
      <c r="BF197" s="113"/>
      <c r="BG197" s="113" t="e">
        <f>#REF!</f>
        <v>#REF!</v>
      </c>
      <c r="BH197" s="113" t="e">
        <f>#REF!</f>
        <v>#REF!</v>
      </c>
      <c r="BI197" s="113"/>
    </row>
    <row r="198" spans="1:61" ht="15" customHeight="1">
      <c r="A198" s="664"/>
      <c r="B198" s="734"/>
      <c r="C198" s="613"/>
      <c r="D198" s="613"/>
      <c r="E198" s="613"/>
      <c r="F198" s="613"/>
      <c r="G198" s="613"/>
      <c r="H198" s="762"/>
      <c r="I198" s="762"/>
      <c r="J198" s="673"/>
      <c r="K198" s="568"/>
      <c r="L198" s="312"/>
      <c r="M198" s="732"/>
      <c r="N198" s="727"/>
      <c r="O198" s="727"/>
      <c r="P198" s="689"/>
      <c r="Q198" s="603"/>
      <c r="R198" s="569"/>
      <c r="S198" s="69"/>
      <c r="T198" s="159"/>
      <c r="U198" s="178" t="s">
        <v>637</v>
      </c>
      <c r="V198" s="166" t="s">
        <v>531</v>
      </c>
      <c r="W198" s="307" t="s">
        <v>429</v>
      </c>
      <c r="X198" s="199" t="e">
        <f ca="1">R635+R637</f>
        <v>#DIV/0!</v>
      </c>
      <c r="Y198" s="151" t="e">
        <f t="shared" ca="1" si="69"/>
        <v>#DIV/0!</v>
      </c>
      <c r="Z198" s="169" t="e">
        <f t="shared" ca="1" si="48"/>
        <v>#DIV/0!</v>
      </c>
      <c r="AA198" s="180"/>
      <c r="AB198" s="110" t="e">
        <f t="shared" ca="1" si="70"/>
        <v>#DIV/0!</v>
      </c>
      <c r="AC198" s="181"/>
      <c r="AD198" s="182"/>
      <c r="AE198" s="245" t="s">
        <v>136</v>
      </c>
      <c r="AF198" s="245" t="s">
        <v>429</v>
      </c>
      <c r="AL198" s="7" t="s">
        <v>136</v>
      </c>
      <c r="AM198" s="102">
        <v>552003</v>
      </c>
      <c r="AN198" s="103" t="s">
        <v>54</v>
      </c>
      <c r="AO198" s="104" t="e">
        <f t="shared" ca="1" si="68"/>
        <v>#DIV/0!</v>
      </c>
      <c r="AP198" s="49"/>
      <c r="AR198" s="112" t="str">
        <f t="shared" si="62"/>
        <v xml:space="preserve"> DC 1650T#5</v>
      </c>
      <c r="AS198" s="112" t="str">
        <f t="shared" si="63"/>
        <v>0451-628B5</v>
      </c>
      <c r="AU198" s="108" t="e">
        <f t="shared" ca="1" si="54"/>
        <v>#DIV/0!</v>
      </c>
      <c r="AV198" s="7" t="s">
        <v>1</v>
      </c>
      <c r="AW198" s="7" t="s">
        <v>507</v>
      </c>
      <c r="BA198" s="48" t="s">
        <v>386</v>
      </c>
      <c r="BB198" s="394" t="s">
        <v>387</v>
      </c>
      <c r="BC198" s="394"/>
      <c r="BD198" s="394" t="s">
        <v>77</v>
      </c>
      <c r="BE198" s="113" t="e">
        <f ca="1">X80</f>
        <v>#DIV/0!</v>
      </c>
      <c r="BF198" s="113"/>
      <c r="BG198" s="113" t="e">
        <f t="shared" ref="BG198:BH200" ca="1" si="71">Y80</f>
        <v>#DIV/0!</v>
      </c>
      <c r="BH198" s="113" t="e">
        <f t="shared" ca="1" si="71"/>
        <v>#DIV/0!</v>
      </c>
      <c r="BI198" s="113"/>
    </row>
    <row r="199" spans="1:61" ht="15" customHeight="1">
      <c r="A199" s="664"/>
      <c r="B199" s="690"/>
      <c r="C199" s="595"/>
      <c r="D199" s="595"/>
      <c r="E199" s="595"/>
      <c r="F199" s="595"/>
      <c r="G199" s="595"/>
      <c r="H199" s="672"/>
      <c r="I199" s="672"/>
      <c r="J199" s="673"/>
      <c r="K199" s="568"/>
      <c r="L199" s="312"/>
      <c r="M199" s="568"/>
      <c r="N199" s="669"/>
      <c r="O199" s="669"/>
      <c r="P199" s="689"/>
      <c r="Q199" s="603"/>
      <c r="R199" s="569"/>
      <c r="S199" s="69"/>
      <c r="T199" s="159"/>
      <c r="U199" s="178" t="s">
        <v>527</v>
      </c>
      <c r="V199" s="166" t="s">
        <v>533</v>
      </c>
      <c r="W199" s="307" t="s">
        <v>429</v>
      </c>
      <c r="X199" s="199" t="e">
        <f ca="1">R640</f>
        <v>#DIV/0!</v>
      </c>
      <c r="Y199" s="151" t="e">
        <f ca="1">(X199/$AI$10)*100</f>
        <v>#DIV/0!</v>
      </c>
      <c r="Z199" s="169" t="e">
        <f ca="1">X199+(Y199*$AI$7)/100</f>
        <v>#DIV/0!</v>
      </c>
      <c r="AA199" s="180"/>
      <c r="AB199" s="110" t="e">
        <f t="shared" ca="1" si="70"/>
        <v>#DIV/0!</v>
      </c>
      <c r="AC199" s="181"/>
      <c r="AD199" s="182"/>
      <c r="AE199" s="245" t="s">
        <v>136</v>
      </c>
      <c r="AF199" s="245" t="s">
        <v>429</v>
      </c>
      <c r="AL199" s="7" t="s">
        <v>136</v>
      </c>
      <c r="AM199" s="102">
        <v>552003</v>
      </c>
      <c r="AN199" s="103" t="s">
        <v>54</v>
      </c>
      <c r="AO199" s="104" t="e">
        <f t="shared" ca="1" si="68"/>
        <v>#DIV/0!</v>
      </c>
      <c r="AP199" s="49"/>
      <c r="AR199" s="112" t="str">
        <f t="shared" si="62"/>
        <v xml:space="preserve"> DC 1650T#6</v>
      </c>
      <c r="AS199" s="112" t="str">
        <f t="shared" si="63"/>
        <v>0451-628B0</v>
      </c>
      <c r="AU199" s="108" t="e">
        <f t="shared" ca="1" si="54"/>
        <v>#DIV/0!</v>
      </c>
      <c r="AV199" s="7" t="s">
        <v>1</v>
      </c>
      <c r="AW199" s="7" t="s">
        <v>507</v>
      </c>
      <c r="BA199" s="48" t="s">
        <v>232</v>
      </c>
      <c r="BB199" s="394" t="s">
        <v>233</v>
      </c>
      <c r="BC199" s="394"/>
      <c r="BD199" s="394" t="s">
        <v>77</v>
      </c>
      <c r="BE199" s="113" t="e">
        <f ca="1">X81</f>
        <v>#DIV/0!</v>
      </c>
      <c r="BF199" s="113"/>
      <c r="BG199" s="113" t="e">
        <f t="shared" ca="1" si="71"/>
        <v>#DIV/0!</v>
      </c>
      <c r="BH199" s="113" t="e">
        <f t="shared" ca="1" si="71"/>
        <v>#DIV/0!</v>
      </c>
      <c r="BI199" s="113"/>
    </row>
    <row r="200" spans="1:61" ht="15" customHeight="1">
      <c r="A200" s="871" t="s">
        <v>638</v>
      </c>
      <c r="B200" s="595" t="s">
        <v>382</v>
      </c>
      <c r="C200" s="595">
        <v>1</v>
      </c>
      <c r="D200" s="595" t="s">
        <v>47</v>
      </c>
      <c r="E200" s="595"/>
      <c r="F200" s="595" t="s">
        <v>48</v>
      </c>
      <c r="G200" s="595" t="s">
        <v>49</v>
      </c>
      <c r="H200" s="665" cm="1">
        <f t="array" aca="1" ref="H200" ca="1">IFERROR(
    INDIRECT(
        "RawData!" &amp;
        ADDRESS(
            2,
            MATCH(
                TRIM(MID(A200, SEARCH(". ", A200) + 2, LEN(A200))) &amp; ".Import_kWh",
                RawData!$1:$1,
                0
            ),
            4
        )
    ),
    0
)</f>
        <v>0</v>
      </c>
      <c r="I200" s="665" cm="1">
        <f t="array" aca="1" ref="I200" ca="1">IFERROR(
    INDIRECT(
        "RawData!" &amp;
        ADDRESS(
            COUNTA(RawData!A:A),
            MATCH(
                TRIM(MID(A200, SEARCH(". ", A200) + 2, LEN(A200))) &amp; ".Import_kWh",
                RawData!$1:$1,
                0
            ),
            4
        )
    ),
    0
)</f>
        <v>0</v>
      </c>
      <c r="J200" s="666">
        <f ca="1">(I200-H200)*C200</f>
        <v>0</v>
      </c>
      <c r="K200" s="667" t="e">
        <f ca="1">J200*K$190/(J$191+J$193+J$196+J$200)</f>
        <v>#DIV/0!</v>
      </c>
      <c r="L200" s="312" t="e">
        <f ca="1">K200/J200</f>
        <v>#DIV/0!</v>
      </c>
      <c r="M200" s="455"/>
      <c r="N200" s="669"/>
      <c r="O200" s="669"/>
      <c r="P200" s="689"/>
      <c r="Q200" s="603"/>
      <c r="R200" s="569"/>
      <c r="S200" s="69"/>
      <c r="T200" s="159"/>
      <c r="U200" s="236"/>
      <c r="V200" s="254" t="s">
        <v>639</v>
      </c>
      <c r="W200" s="315" t="s">
        <v>135</v>
      </c>
      <c r="X200" s="238" t="e">
        <f ca="1">R506</f>
        <v>#DIV/0!</v>
      </c>
      <c r="Y200" s="239" t="e">
        <f ca="1">(X200/$AI$10)*100</f>
        <v>#DIV/0!</v>
      </c>
      <c r="Z200" s="240" t="e">
        <f ca="1">X200+(Y200*$AI$7)/100</f>
        <v>#DIV/0!</v>
      </c>
      <c r="AA200" s="241"/>
      <c r="AB200" s="129" t="e">
        <f t="shared" ca="1" si="70"/>
        <v>#DIV/0!</v>
      </c>
      <c r="AC200" s="242"/>
      <c r="AD200" s="243"/>
      <c r="AE200" s="245" t="s">
        <v>136</v>
      </c>
      <c r="AF200" s="245" t="s">
        <v>429</v>
      </c>
      <c r="AL200" s="7" t="s">
        <v>136</v>
      </c>
      <c r="AM200" s="102">
        <v>552003</v>
      </c>
      <c r="AN200" s="103" t="s">
        <v>54</v>
      </c>
      <c r="AO200" s="104" t="e">
        <f ca="1">AB200</f>
        <v>#DIV/0!</v>
      </c>
      <c r="AP200" s="49"/>
      <c r="AR200" s="112" t="str">
        <f t="shared" si="62"/>
        <v xml:space="preserve"> DC 1650T#7</v>
      </c>
      <c r="AS200" s="112"/>
      <c r="AU200" s="108" t="e">
        <f ca="1">Z200</f>
        <v>#DIV/0!</v>
      </c>
      <c r="AV200" s="7" t="s">
        <v>1</v>
      </c>
      <c r="AW200" s="7" t="s">
        <v>507</v>
      </c>
      <c r="BA200" s="48" t="s">
        <v>392</v>
      </c>
      <c r="BB200" s="394" t="s">
        <v>393</v>
      </c>
      <c r="BC200" s="394"/>
      <c r="BD200" s="394" t="s">
        <v>77</v>
      </c>
      <c r="BE200" s="113" t="e">
        <f ca="1">X82</f>
        <v>#DIV/0!</v>
      </c>
      <c r="BF200" s="113"/>
      <c r="BG200" s="113" t="e">
        <f t="shared" ca="1" si="71"/>
        <v>#DIV/0!</v>
      </c>
      <c r="BH200" s="113" t="e">
        <f t="shared" ca="1" si="71"/>
        <v>#DIV/0!</v>
      </c>
      <c r="BI200" s="113"/>
    </row>
    <row r="201" spans="1:61" ht="15" customHeight="1">
      <c r="A201" s="664" t="s">
        <v>640</v>
      </c>
      <c r="B201" s="690"/>
      <c r="C201" s="595"/>
      <c r="D201" s="595"/>
      <c r="E201" s="595"/>
      <c r="F201" s="595"/>
      <c r="G201" s="595"/>
      <c r="H201" s="672"/>
      <c r="I201" s="672"/>
      <c r="J201" s="673"/>
      <c r="K201" s="568"/>
      <c r="L201" s="312"/>
      <c r="M201" s="667">
        <f>28.6+28.6+8+8+0.03+28.6</f>
        <v>101.83000000000001</v>
      </c>
      <c r="N201" s="669">
        <v>1</v>
      </c>
      <c r="O201" s="669">
        <v>1</v>
      </c>
      <c r="P201" s="689"/>
      <c r="Q201" s="603"/>
      <c r="R201" s="569" t="e">
        <f ca="1">K200</f>
        <v>#DIV/0!</v>
      </c>
      <c r="S201" s="114" t="s">
        <v>181</v>
      </c>
      <c r="T201" s="115" t="s">
        <v>182</v>
      </c>
      <c r="U201" s="178" t="s">
        <v>527</v>
      </c>
      <c r="V201" s="156" t="s">
        <v>535</v>
      </c>
      <c r="W201" s="307" t="s">
        <v>429</v>
      </c>
      <c r="X201" s="199">
        <f ca="1">R579</f>
        <v>0</v>
      </c>
      <c r="Y201" s="151"/>
      <c r="Z201" s="169" t="e">
        <f t="shared" ca="1" si="48"/>
        <v>#DIV/0!</v>
      </c>
      <c r="AA201" s="180"/>
      <c r="AB201" s="110" t="e">
        <f t="shared" ca="1" si="70"/>
        <v>#DIV/0!</v>
      </c>
      <c r="AC201" s="181"/>
      <c r="AD201" s="182"/>
      <c r="AE201" s="245" t="s">
        <v>136</v>
      </c>
      <c r="AF201" s="245" t="s">
        <v>429</v>
      </c>
      <c r="AL201" s="7" t="s">
        <v>136</v>
      </c>
      <c r="AM201" s="102">
        <v>552003</v>
      </c>
      <c r="AN201" s="103" t="s">
        <v>54</v>
      </c>
      <c r="AO201" s="104" t="e">
        <f t="shared" ref="AO201:AO232" ca="1" si="72">ROUND(AB201,2)</f>
        <v>#DIV/0!</v>
      </c>
      <c r="AP201" s="49"/>
      <c r="AR201" s="112" t="str">
        <f t="shared" si="62"/>
        <v xml:space="preserve"> ELETRIC HOLDING FURNACE DC1650T#3</v>
      </c>
      <c r="AS201" s="112" t="str">
        <f t="shared" ref="AS201:AS233" si="73">U201</f>
        <v>0451-628B0</v>
      </c>
      <c r="AU201" s="108" t="e">
        <f t="shared" ref="AU201:AU233" ca="1" si="74">ROUND(Z201,2)</f>
        <v>#DIV/0!</v>
      </c>
      <c r="AV201" s="7" t="s">
        <v>1</v>
      </c>
      <c r="AW201" s="7" t="s">
        <v>507</v>
      </c>
      <c r="BA201" s="48" t="s">
        <v>98</v>
      </c>
      <c r="BB201" s="48" t="s">
        <v>434</v>
      </c>
      <c r="BC201" s="48"/>
      <c r="BD201" s="48" t="s">
        <v>75</v>
      </c>
      <c r="BE201" s="113">
        <f ca="1">X123</f>
        <v>0</v>
      </c>
      <c r="BF201" s="113"/>
      <c r="BG201" s="113">
        <f>Y123</f>
        <v>0</v>
      </c>
      <c r="BH201" s="113">
        <f ca="1">Z123</f>
        <v>0</v>
      </c>
      <c r="BI201" s="113"/>
    </row>
    <row r="202" spans="1:61" ht="15" customHeight="1">
      <c r="A202" s="678" t="s">
        <v>641</v>
      </c>
      <c r="B202" s="679" t="s">
        <v>64</v>
      </c>
      <c r="C202" s="679">
        <v>1</v>
      </c>
      <c r="D202" s="654" t="s">
        <v>47</v>
      </c>
      <c r="E202" s="679"/>
      <c r="F202" s="757" t="s">
        <v>243</v>
      </c>
      <c r="G202" s="757" t="s">
        <v>49</v>
      </c>
      <c r="H202" s="655" cm="1">
        <f t="array" aca="1" ref="H202" ca="1">IFERROR(
    INDIRECT(
        "RawData!" &amp;
        ADDRESS(
            2,
            MATCH(
                TRIM(MID(A202, SEARCH(". ", A202) + 2, LEN(A202))) &amp; ".Import_kWh",
                RawData!$1:$1,
                0
            ),
            4
        )
    ),
    0
)</f>
        <v>0</v>
      </c>
      <c r="I202" s="655" cm="1">
        <f t="array" aca="1" ref="I202" ca="1">IFERROR(
    INDIRECT(
        "RawData!" &amp;
        ADDRESS(
            COUNTA(RawData!A:A),
            MATCH(
                TRIM(MID(A202, SEARCH(". ", A202) + 2, LEN(A202))) &amp; ".Import_kWh",
                RawData!$1:$1,
                0
            ),
            4
        )
    ),
    0
)</f>
        <v>0</v>
      </c>
      <c r="J202" s="680">
        <f ca="1">(I202-H202)*C202</f>
        <v>0</v>
      </c>
      <c r="K202" s="824" t="e">
        <f ca="1">J202*K$138/(J$139+J$147+J$160+J$183+J$187+J$190+J$202+J$210)</f>
        <v>#DIV/0!</v>
      </c>
      <c r="L202" s="681" t="e">
        <f ca="1">K202/J202</f>
        <v>#DIV/0!</v>
      </c>
      <c r="M202" s="872" t="e">
        <f ca="1">R204+R207+R208</f>
        <v>#DIV/0!</v>
      </c>
      <c r="N202" s="683"/>
      <c r="O202" s="683"/>
      <c r="P202" s="867"/>
      <c r="Q202" s="856"/>
      <c r="R202" s="575"/>
      <c r="S202" s="69"/>
      <c r="T202" s="159"/>
      <c r="U202" s="178" t="s">
        <v>527</v>
      </c>
      <c r="V202" s="166" t="s">
        <v>539</v>
      </c>
      <c r="W202" s="307" t="s">
        <v>429</v>
      </c>
      <c r="X202" s="199">
        <f ca="1">R636</f>
        <v>0</v>
      </c>
      <c r="Y202" s="151"/>
      <c r="Z202" s="169" t="e">
        <f t="shared" ref="Z202:Z227" ca="1" si="75">X202+(Y202*$AI$7)/100</f>
        <v>#DIV/0!</v>
      </c>
      <c r="AA202" s="180"/>
      <c r="AB202" s="110" t="e">
        <f t="shared" ca="1" si="70"/>
        <v>#DIV/0!</v>
      </c>
      <c r="AC202" s="181"/>
      <c r="AD202" s="182"/>
      <c r="AE202" s="245" t="s">
        <v>136</v>
      </c>
      <c r="AF202" s="245" t="s">
        <v>429</v>
      </c>
      <c r="AL202" s="7" t="s">
        <v>136</v>
      </c>
      <c r="AM202" s="102">
        <v>552003</v>
      </c>
      <c r="AN202" s="103" t="s">
        <v>54</v>
      </c>
      <c r="AO202" s="104" t="e">
        <f t="shared" ca="1" si="72"/>
        <v>#DIV/0!</v>
      </c>
      <c r="AP202" s="49"/>
      <c r="AR202" s="112" t="str">
        <f t="shared" si="62"/>
        <v xml:space="preserve"> ELETRIC HOLDING FURNACE DC1650T#5</v>
      </c>
      <c r="AS202" s="112" t="str">
        <f t="shared" si="73"/>
        <v>0451-628B0</v>
      </c>
      <c r="AU202" s="108" t="e">
        <f t="shared" ca="1" si="74"/>
        <v>#DIV/0!</v>
      </c>
      <c r="AV202" s="7" t="s">
        <v>1</v>
      </c>
      <c r="AW202" s="7" t="s">
        <v>507</v>
      </c>
      <c r="BA202" s="48" t="s">
        <v>73</v>
      </c>
      <c r="BB202" s="48" t="s">
        <v>74</v>
      </c>
      <c r="BC202" s="48"/>
      <c r="BD202" s="48" t="s">
        <v>75</v>
      </c>
      <c r="BE202" s="113">
        <f ca="1">X7</f>
        <v>0</v>
      </c>
      <c r="BF202" s="113"/>
      <c r="BG202" s="113">
        <f>Y7</f>
        <v>0</v>
      </c>
      <c r="BH202" s="113">
        <f ca="1">Z7</f>
        <v>0</v>
      </c>
      <c r="BI202" s="113"/>
    </row>
    <row r="203" spans="1:61" ht="15" customHeight="1">
      <c r="A203" s="664"/>
      <c r="B203" s="595"/>
      <c r="C203" s="595"/>
      <c r="D203" s="595"/>
      <c r="E203" s="595"/>
      <c r="F203" s="595"/>
      <c r="G203" s="595"/>
      <c r="H203" s="672"/>
      <c r="I203" s="672"/>
      <c r="J203" s="673"/>
      <c r="K203" s="568"/>
      <c r="L203" s="312"/>
      <c r="M203" s="873"/>
      <c r="N203" s="669"/>
      <c r="O203" s="669"/>
      <c r="P203" s="689"/>
      <c r="Q203" s="603"/>
      <c r="R203" s="569"/>
      <c r="S203" s="69"/>
      <c r="T203" s="159"/>
      <c r="U203" s="236" t="s">
        <v>527</v>
      </c>
      <c r="V203" s="156" t="s">
        <v>540</v>
      </c>
      <c r="W203" s="307" t="s">
        <v>429</v>
      </c>
      <c r="X203" s="199">
        <f ca="1">R641</f>
        <v>0</v>
      </c>
      <c r="Y203" s="151"/>
      <c r="Z203" s="240" t="e">
        <f t="shared" ca="1" si="75"/>
        <v>#DIV/0!</v>
      </c>
      <c r="AA203" s="180" t="e">
        <f ca="1">SUM(Z195:Z203)</f>
        <v>#DIV/0!</v>
      </c>
      <c r="AB203" s="129" t="e">
        <f t="shared" ca="1" si="70"/>
        <v>#DIV/0!</v>
      </c>
      <c r="AC203" s="181" t="e">
        <f ca="1">SUM(AB195:AB203)</f>
        <v>#DIV/0!</v>
      </c>
      <c r="AD203" s="182"/>
      <c r="AE203" s="245" t="s">
        <v>136</v>
      </c>
      <c r="AF203" s="245" t="s">
        <v>429</v>
      </c>
      <c r="AL203" s="7" t="s">
        <v>136</v>
      </c>
      <c r="AM203" s="102">
        <v>552003</v>
      </c>
      <c r="AN203" s="103" t="s">
        <v>54</v>
      </c>
      <c r="AO203" s="104" t="e">
        <f t="shared" ca="1" si="72"/>
        <v>#DIV/0!</v>
      </c>
      <c r="AP203" s="49"/>
      <c r="AR203" s="112" t="str">
        <f t="shared" si="62"/>
        <v xml:space="preserve"> ELETRIC HOLDING FURNACE DC1650T#6</v>
      </c>
      <c r="AS203" s="112" t="str">
        <f t="shared" si="73"/>
        <v>0451-628B0</v>
      </c>
      <c r="AU203" s="108" t="e">
        <f t="shared" ca="1" si="74"/>
        <v>#DIV/0!</v>
      </c>
      <c r="AV203" s="7" t="s">
        <v>1</v>
      </c>
      <c r="AW203" s="7" t="s">
        <v>507</v>
      </c>
      <c r="BA203" s="48" t="s">
        <v>395</v>
      </c>
      <c r="BB203" s="394" t="s">
        <v>396</v>
      </c>
      <c r="BC203" s="394"/>
      <c r="BD203" s="394" t="s">
        <v>77</v>
      </c>
      <c r="BE203" s="113">
        <f>X83</f>
        <v>0</v>
      </c>
      <c r="BF203" s="113"/>
      <c r="BG203" s="113" t="e">
        <f ca="1">Y83</f>
        <v>#DIV/0!</v>
      </c>
      <c r="BH203" s="113" t="e">
        <f ca="1">Z83</f>
        <v>#DIV/0!</v>
      </c>
      <c r="BI203" s="113"/>
    </row>
    <row r="204" spans="1:61" ht="15" customHeight="1">
      <c r="A204" s="664" t="s">
        <v>1173</v>
      </c>
      <c r="B204" s="595"/>
      <c r="C204" s="595">
        <v>1</v>
      </c>
      <c r="D204" s="595" t="s">
        <v>47</v>
      </c>
      <c r="E204" s="595"/>
      <c r="F204" s="613" t="s">
        <v>243</v>
      </c>
      <c r="G204" s="613" t="s">
        <v>49</v>
      </c>
      <c r="H204" s="665" cm="1">
        <f t="array" aca="1" ref="H204" ca="1">IFERROR(
    INDIRECT(
        "RawData!" &amp;
        ADDRESS(
            2,
            MATCH(
                TRIM(MID(A204, SEARCH(". ", A204) + 2, LEN(A204))) &amp; ".Import_kWh",
                RawData!$1:$1,
                0
            ),
            4
        )
    ),
    0
)</f>
        <v>0</v>
      </c>
      <c r="I204" s="665" cm="1">
        <f t="array" aca="1" ref="I204" ca="1">IFERROR(
    INDIRECT(
        "RawData!" &amp;
        ADDRESS(
            COUNTA(RawData!A:A),
            MATCH(
                TRIM(MID(A204, SEARCH(". ", A204) + 2, LEN(A204))) &amp; ".Import_kWh",
                RawData!$1:$1,
                0
            ),
            4
        )
    ),
    0
)</f>
        <v>0</v>
      </c>
      <c r="J204" s="666">
        <f ca="1">(I204-H204)*C204</f>
        <v>0</v>
      </c>
      <c r="K204" s="667">
        <f ca="1">J204</f>
        <v>0</v>
      </c>
      <c r="L204" s="312"/>
      <c r="M204" s="676"/>
      <c r="N204" s="669"/>
      <c r="O204" s="669"/>
      <c r="P204" s="689"/>
      <c r="Q204" s="603"/>
      <c r="R204" s="569">
        <f ca="1">K204</f>
        <v>0</v>
      </c>
      <c r="S204" s="114" t="s">
        <v>223</v>
      </c>
      <c r="T204" s="115" t="s">
        <v>224</v>
      </c>
      <c r="U204" s="318" t="s">
        <v>345</v>
      </c>
      <c r="V204" s="405" t="s">
        <v>346</v>
      </c>
      <c r="W204" s="320" t="s">
        <v>343</v>
      </c>
      <c r="X204" s="321" t="e">
        <f ca="1">R730</f>
        <v>#DIV/0!</v>
      </c>
      <c r="Y204" s="360"/>
      <c r="Z204" s="361" t="e">
        <f t="shared" ca="1" si="75"/>
        <v>#DIV/0!</v>
      </c>
      <c r="AA204" s="322"/>
      <c r="AB204" s="110" t="e">
        <f t="shared" ca="1" si="70"/>
        <v>#DIV/0!</v>
      </c>
      <c r="AC204" s="324"/>
      <c r="AD204" s="325"/>
      <c r="AE204" s="245" t="s">
        <v>136</v>
      </c>
      <c r="AF204" s="245" t="s">
        <v>463</v>
      </c>
      <c r="AI204" s="49"/>
      <c r="AL204" s="7" t="s">
        <v>136</v>
      </c>
      <c r="AM204" s="102">
        <v>552003</v>
      </c>
      <c r="AN204" s="103" t="s">
        <v>54</v>
      </c>
      <c r="AO204" s="104" t="e">
        <f t="shared" ca="1" si="72"/>
        <v>#DIV/0!</v>
      </c>
      <c r="AP204" s="49"/>
      <c r="AR204" s="112" t="str">
        <f t="shared" si="62"/>
        <v xml:space="preserve"> ELETRIC HOLDING FURNACE G/C1-1,1-11</v>
      </c>
      <c r="AS204" s="112" t="str">
        <f t="shared" si="73"/>
        <v>0451-67000</v>
      </c>
      <c r="AU204" s="108" t="e">
        <f t="shared" ca="1" si="74"/>
        <v>#DIV/0!</v>
      </c>
      <c r="AV204" s="7" t="s">
        <v>1</v>
      </c>
      <c r="AW204" s="7" t="s">
        <v>507</v>
      </c>
      <c r="BA204" s="48"/>
      <c r="BB204" s="394" t="s">
        <v>400</v>
      </c>
      <c r="BC204" s="394"/>
      <c r="BD204" s="394" t="s">
        <v>77</v>
      </c>
      <c r="BE204" s="113" t="e">
        <f ca="1">X84</f>
        <v>#DIV/0!</v>
      </c>
      <c r="BF204" s="113"/>
      <c r="BG204" s="113" t="e">
        <f t="shared" ref="BG204:BH205" ca="1" si="76">Y84</f>
        <v>#DIV/0!</v>
      </c>
      <c r="BH204" s="113" t="e">
        <f t="shared" ca="1" si="76"/>
        <v>#DIV/0!</v>
      </c>
      <c r="BI204" s="113"/>
    </row>
    <row r="205" spans="1:61" ht="15" customHeight="1">
      <c r="A205" s="664" t="s">
        <v>642</v>
      </c>
      <c r="B205" s="595"/>
      <c r="C205" s="595"/>
      <c r="D205" s="595"/>
      <c r="E205" s="595"/>
      <c r="F205" s="595"/>
      <c r="G205" s="595"/>
      <c r="H205" s="672"/>
      <c r="I205" s="672"/>
      <c r="J205" s="673"/>
      <c r="K205" s="568"/>
      <c r="L205" s="312"/>
      <c r="M205" s="676"/>
      <c r="N205" s="669"/>
      <c r="O205" s="669"/>
      <c r="P205" s="689"/>
      <c r="Q205" s="603"/>
      <c r="R205" s="569"/>
      <c r="S205" s="69"/>
      <c r="T205" s="159"/>
      <c r="U205" s="178" t="s">
        <v>345</v>
      </c>
      <c r="V205" s="406" t="s">
        <v>350</v>
      </c>
      <c r="W205" s="307" t="s">
        <v>343</v>
      </c>
      <c r="X205" s="199" t="e">
        <f ca="1">R748</f>
        <v>#DIV/0!</v>
      </c>
      <c r="Y205" s="151"/>
      <c r="Z205" s="169" t="e">
        <f t="shared" ca="1" si="75"/>
        <v>#DIV/0!</v>
      </c>
      <c r="AA205" s="180"/>
      <c r="AB205" s="110" t="e">
        <f t="shared" ca="1" si="70"/>
        <v>#DIV/0!</v>
      </c>
      <c r="AC205" s="181"/>
      <c r="AD205" s="182"/>
      <c r="AE205" s="245" t="s">
        <v>136</v>
      </c>
      <c r="AF205" s="245" t="s">
        <v>463</v>
      </c>
      <c r="AL205" s="7" t="s">
        <v>136</v>
      </c>
      <c r="AM205" s="102">
        <v>552003</v>
      </c>
      <c r="AN205" s="103" t="s">
        <v>54</v>
      </c>
      <c r="AO205" s="104" t="e">
        <f t="shared" ca="1" si="72"/>
        <v>#DIV/0!</v>
      </c>
      <c r="AP205" s="49"/>
      <c r="AR205" s="112" t="str">
        <f t="shared" si="62"/>
        <v xml:space="preserve"> ELETRIC HOLDING FURNACE G/C1-7,1-13</v>
      </c>
      <c r="AS205" s="112" t="str">
        <f t="shared" si="73"/>
        <v>0451-67000</v>
      </c>
      <c r="AU205" s="108" t="e">
        <f t="shared" ca="1" si="74"/>
        <v>#DIV/0!</v>
      </c>
      <c r="AV205" s="7" t="s">
        <v>1</v>
      </c>
      <c r="AW205" s="7" t="s">
        <v>507</v>
      </c>
      <c r="BA205" s="48"/>
      <c r="BB205" s="394" t="s">
        <v>260</v>
      </c>
      <c r="BC205" s="394"/>
      <c r="BD205" s="394" t="s">
        <v>77</v>
      </c>
      <c r="BE205" s="113">
        <f t="shared" ref="BE205" si="77">X85</f>
        <v>0</v>
      </c>
      <c r="BF205" s="113"/>
      <c r="BG205" s="113" t="e">
        <f t="shared" ca="1" si="76"/>
        <v>#DIV/0!</v>
      </c>
      <c r="BH205" s="113" t="e">
        <f t="shared" ca="1" si="76"/>
        <v>#DIV/0!</v>
      </c>
      <c r="BI205" s="113"/>
    </row>
    <row r="206" spans="1:61" ht="15" customHeight="1">
      <c r="A206" s="664" t="s">
        <v>643</v>
      </c>
      <c r="B206" s="595"/>
      <c r="C206" s="595"/>
      <c r="D206" s="595"/>
      <c r="E206" s="595"/>
      <c r="F206" s="595"/>
      <c r="G206" s="595"/>
      <c r="H206" s="672"/>
      <c r="I206" s="672"/>
      <c r="J206" s="673"/>
      <c r="K206" s="568"/>
      <c r="L206" s="312"/>
      <c r="M206" s="676"/>
      <c r="N206" s="669"/>
      <c r="O206" s="669"/>
      <c r="P206" s="689"/>
      <c r="Q206" s="603"/>
      <c r="R206" s="569"/>
      <c r="S206" s="69"/>
      <c r="T206" s="159"/>
      <c r="U206" s="178" t="s">
        <v>345</v>
      </c>
      <c r="V206" s="406" t="s">
        <v>354</v>
      </c>
      <c r="W206" s="307" t="s">
        <v>343</v>
      </c>
      <c r="X206" s="199">
        <f ca="1">R617</f>
        <v>0</v>
      </c>
      <c r="Y206" s="151"/>
      <c r="Z206" s="169" t="e">
        <f t="shared" ca="1" si="75"/>
        <v>#DIV/0!</v>
      </c>
      <c r="AA206" s="180"/>
      <c r="AB206" s="110" t="e">
        <f t="shared" ca="1" si="70"/>
        <v>#DIV/0!</v>
      </c>
      <c r="AC206" s="181"/>
      <c r="AD206" s="182"/>
      <c r="AE206" s="245" t="s">
        <v>136</v>
      </c>
      <c r="AF206" s="245" t="s">
        <v>463</v>
      </c>
      <c r="AL206" s="7" t="s">
        <v>136</v>
      </c>
      <c r="AM206" s="102">
        <v>552003</v>
      </c>
      <c r="AN206" s="103" t="s">
        <v>54</v>
      </c>
      <c r="AO206" s="104" t="e">
        <f t="shared" ca="1" si="72"/>
        <v>#DIV/0!</v>
      </c>
      <c r="AP206" s="49"/>
      <c r="AR206" s="112" t="str">
        <f t="shared" si="62"/>
        <v xml:space="preserve"> ELETRIC HOLDING FURNACE G/C1-19,1-20</v>
      </c>
      <c r="AS206" s="112" t="str">
        <f t="shared" si="73"/>
        <v>0451-67000</v>
      </c>
      <c r="AU206" s="108" t="e">
        <f t="shared" ca="1" si="74"/>
        <v>#DIV/0!</v>
      </c>
      <c r="AV206" s="7" t="s">
        <v>1</v>
      </c>
      <c r="AW206" s="7" t="s">
        <v>507</v>
      </c>
      <c r="BA206" s="1195"/>
      <c r="BB206" s="1196"/>
      <c r="BC206" s="1196"/>
      <c r="BD206" s="1196"/>
      <c r="BE206" s="1196"/>
      <c r="BF206" s="1196"/>
      <c r="BG206" s="1197"/>
      <c r="BH206" s="202" t="e">
        <f ca="1">SUM(BH177:BH205)</f>
        <v>#DIV/0!</v>
      </c>
      <c r="BI206" s="203"/>
    </row>
    <row r="207" spans="1:61" ht="15" customHeight="1">
      <c r="A207" s="664" t="s">
        <v>644</v>
      </c>
      <c r="B207" s="595"/>
      <c r="C207" s="595"/>
      <c r="D207" s="595"/>
      <c r="E207" s="595"/>
      <c r="F207" s="595"/>
      <c r="G207" s="595"/>
      <c r="H207" s="672"/>
      <c r="I207" s="672"/>
      <c r="J207" s="673"/>
      <c r="K207" s="667" t="e">
        <f ca="1">K202-(K204+K208)</f>
        <v>#DIV/0!</v>
      </c>
      <c r="L207" s="312"/>
      <c r="M207" s="676"/>
      <c r="N207" s="669"/>
      <c r="O207" s="669"/>
      <c r="P207" s="689"/>
      <c r="Q207" s="603"/>
      <c r="R207" s="569" t="e">
        <f ca="1">K207</f>
        <v>#DIV/0!</v>
      </c>
      <c r="S207" s="114" t="s">
        <v>228</v>
      </c>
      <c r="T207" s="115" t="s">
        <v>229</v>
      </c>
      <c r="U207" s="178" t="s">
        <v>345</v>
      </c>
      <c r="V207" s="406" t="s">
        <v>355</v>
      </c>
      <c r="W207" s="307" t="s">
        <v>343</v>
      </c>
      <c r="X207" s="199" t="e">
        <f ca="1">R752</f>
        <v>#DIV/0!</v>
      </c>
      <c r="Y207" s="151"/>
      <c r="Z207" s="169" t="e">
        <f t="shared" ca="1" si="75"/>
        <v>#DIV/0!</v>
      </c>
      <c r="AA207" s="180"/>
      <c r="AB207" s="110" t="e">
        <f t="shared" ca="1" si="70"/>
        <v>#DIV/0!</v>
      </c>
      <c r="AC207" s="181"/>
      <c r="AD207" s="182"/>
      <c r="AE207" s="245" t="s">
        <v>136</v>
      </c>
      <c r="AF207" s="245" t="s">
        <v>463</v>
      </c>
      <c r="AL207" s="7" t="s">
        <v>136</v>
      </c>
      <c r="AM207" s="102">
        <v>552003</v>
      </c>
      <c r="AN207" s="103" t="s">
        <v>54</v>
      </c>
      <c r="AO207" s="104" t="e">
        <f t="shared" ca="1" si="72"/>
        <v>#DIV/0!</v>
      </c>
      <c r="AP207" s="49"/>
      <c r="AR207" s="112" t="str">
        <f t="shared" si="62"/>
        <v xml:space="preserve"> ELETRIC HOLDING FURNACE G/C1-16,1-17</v>
      </c>
      <c r="AS207" s="112" t="str">
        <f t="shared" si="73"/>
        <v>0451-67000</v>
      </c>
      <c r="AU207" s="108" t="e">
        <f t="shared" ca="1" si="74"/>
        <v>#DIV/0!</v>
      </c>
      <c r="AV207" s="7" t="s">
        <v>1</v>
      </c>
      <c r="AW207" s="7" t="s">
        <v>507</v>
      </c>
      <c r="BA207" s="407" t="s">
        <v>426</v>
      </c>
      <c r="BB207" s="407" t="s">
        <v>439</v>
      </c>
      <c r="BC207" s="407"/>
      <c r="BD207" s="407" t="s">
        <v>75</v>
      </c>
      <c r="BE207" s="408">
        <f ca="1">X95</f>
        <v>0</v>
      </c>
      <c r="BF207" s="408"/>
      <c r="BG207" s="408">
        <f>Y95</f>
        <v>0</v>
      </c>
      <c r="BH207" s="408">
        <f ca="1">Z95</f>
        <v>0</v>
      </c>
      <c r="BI207" s="408"/>
    </row>
    <row r="208" spans="1:61" ht="12.75" customHeight="1">
      <c r="A208" s="664" t="s">
        <v>1175</v>
      </c>
      <c r="B208" s="595" t="s">
        <v>382</v>
      </c>
      <c r="C208" s="595">
        <v>1</v>
      </c>
      <c r="D208" s="595" t="s">
        <v>645</v>
      </c>
      <c r="E208" s="595"/>
      <c r="F208" s="613" t="s">
        <v>243</v>
      </c>
      <c r="G208" s="613" t="s">
        <v>49</v>
      </c>
      <c r="H208" s="665" cm="1">
        <f t="array" aca="1" ref="H208" ca="1">IFERROR(
    INDIRECT(
        "RawData!" &amp;
        ADDRESS(
            2,
            MATCH(
                TRIM(MID(A208, SEARCH(". ", A208) + 2, LEN(A208))) &amp; ".Import_kWh",
                RawData!$1:$1,
                0
            ),
            4
        )
    ),
    0
)</f>
        <v>0</v>
      </c>
      <c r="I208" s="665" cm="1">
        <f t="array" aca="1" ref="I208" ca="1">IFERROR(
    INDIRECT(
        "RawData!" &amp;
        ADDRESS(
            COUNTA(RawData!A:A),
            MATCH(
                TRIM(MID(A208, SEARCH(". ", A208) + 2, LEN(A208))) &amp; ".Import_kWh",
                RawData!$1:$1,
                0
            ),
            4
        )
    ),
    0
)</f>
        <v>0</v>
      </c>
      <c r="J208" s="666">
        <f ca="1">(I208-H208)*C208</f>
        <v>0</v>
      </c>
      <c r="K208" s="667">
        <f ca="1">J208</f>
        <v>0</v>
      </c>
      <c r="L208" s="312"/>
      <c r="M208" s="676"/>
      <c r="N208" s="669"/>
      <c r="O208" s="669"/>
      <c r="P208" s="689"/>
      <c r="Q208" s="603"/>
      <c r="R208" s="569">
        <f ca="1">K208</f>
        <v>0</v>
      </c>
      <c r="S208" s="114" t="s">
        <v>240</v>
      </c>
      <c r="T208" s="115" t="s">
        <v>241</v>
      </c>
      <c r="U208" s="178" t="s">
        <v>345</v>
      </c>
      <c r="V208" s="406" t="s">
        <v>357</v>
      </c>
      <c r="W208" s="307" t="s">
        <v>343</v>
      </c>
      <c r="X208" s="199" t="e">
        <f ca="1">R754</f>
        <v>#DIV/0!</v>
      </c>
      <c r="Y208" s="151"/>
      <c r="Z208" s="169" t="e">
        <f t="shared" ca="1" si="75"/>
        <v>#DIV/0!</v>
      </c>
      <c r="AA208" s="180"/>
      <c r="AB208" s="110" t="e">
        <f t="shared" ca="1" si="70"/>
        <v>#DIV/0!</v>
      </c>
      <c r="AC208" s="181"/>
      <c r="AD208" s="182"/>
      <c r="AE208" s="245" t="s">
        <v>136</v>
      </c>
      <c r="AF208" s="245" t="s">
        <v>463</v>
      </c>
      <c r="AL208" s="7" t="s">
        <v>136</v>
      </c>
      <c r="AM208" s="102">
        <v>552003</v>
      </c>
      <c r="AN208" s="103" t="s">
        <v>54</v>
      </c>
      <c r="AO208" s="104" t="e">
        <f t="shared" ca="1" si="72"/>
        <v>#DIV/0!</v>
      </c>
      <c r="AP208" s="49"/>
      <c r="AR208" s="112" t="str">
        <f t="shared" si="62"/>
        <v xml:space="preserve"> ELETRIC HOLDING FURNACE G/C2-6,1-10</v>
      </c>
      <c r="AS208" s="112" t="str">
        <f t="shared" si="73"/>
        <v>0451-67000</v>
      </c>
      <c r="AU208" s="108" t="e">
        <f t="shared" ca="1" si="74"/>
        <v>#DIV/0!</v>
      </c>
      <c r="AV208" s="7" t="s">
        <v>1</v>
      </c>
      <c r="AW208" s="7" t="s">
        <v>507</v>
      </c>
      <c r="BA208" s="407" t="s">
        <v>426</v>
      </c>
      <c r="BB208" s="407" t="s">
        <v>448</v>
      </c>
      <c r="BC208" s="407"/>
      <c r="BD208" s="407" t="s">
        <v>75</v>
      </c>
      <c r="BE208" s="408" t="e">
        <f ca="1">X99</f>
        <v>#DIV/0!</v>
      </c>
      <c r="BF208" s="408"/>
      <c r="BG208" s="408">
        <f>Y99</f>
        <v>0</v>
      </c>
      <c r="BH208" s="408" t="e">
        <f ca="1">Z99</f>
        <v>#DIV/0!</v>
      </c>
      <c r="BI208" s="408"/>
    </row>
    <row r="209" spans="1:61" ht="12.75" customHeight="1">
      <c r="A209" s="664"/>
      <c r="B209" s="595"/>
      <c r="C209" s="595"/>
      <c r="D209" s="595"/>
      <c r="E209" s="595"/>
      <c r="F209" s="595"/>
      <c r="G209" s="595"/>
      <c r="H209" s="672"/>
      <c r="I209" s="672"/>
      <c r="J209" s="673"/>
      <c r="K209" s="568"/>
      <c r="L209" s="312"/>
      <c r="M209" s="676"/>
      <c r="N209" s="669"/>
      <c r="O209" s="669"/>
      <c r="P209" s="689"/>
      <c r="Q209" s="603"/>
      <c r="R209" s="569"/>
      <c r="S209" s="69"/>
      <c r="T209" s="69"/>
      <c r="U209" s="178" t="s">
        <v>345</v>
      </c>
      <c r="V209" s="406" t="s">
        <v>360</v>
      </c>
      <c r="W209" s="307" t="s">
        <v>343</v>
      </c>
      <c r="X209" s="199" t="e">
        <f ca="1">R765</f>
        <v>#DIV/0!</v>
      </c>
      <c r="Y209" s="151"/>
      <c r="Z209" s="169" t="e">
        <f t="shared" ca="1" si="75"/>
        <v>#DIV/0!</v>
      </c>
      <c r="AA209" s="180"/>
      <c r="AB209" s="110" t="e">
        <f t="shared" ca="1" si="70"/>
        <v>#DIV/0!</v>
      </c>
      <c r="AC209" s="181"/>
      <c r="AD209" s="182"/>
      <c r="AE209" s="245" t="s">
        <v>136</v>
      </c>
      <c r="AF209" s="245" t="s">
        <v>463</v>
      </c>
      <c r="AL209" s="7" t="s">
        <v>136</v>
      </c>
      <c r="AM209" s="102">
        <v>552003</v>
      </c>
      <c r="AN209" s="103" t="s">
        <v>54</v>
      </c>
      <c r="AO209" s="104" t="e">
        <f t="shared" ca="1" si="72"/>
        <v>#DIV/0!</v>
      </c>
      <c r="AP209" s="49"/>
      <c r="AR209" s="112" t="str">
        <f t="shared" si="62"/>
        <v xml:space="preserve"> ELETRIC HOLDING FURNACE G/C1-6,1-18</v>
      </c>
      <c r="AS209" s="112" t="str">
        <f t="shared" si="73"/>
        <v>0451-67000</v>
      </c>
      <c r="AU209" s="108" t="e">
        <f t="shared" ca="1" si="74"/>
        <v>#DIV/0!</v>
      </c>
      <c r="AV209" s="7" t="s">
        <v>1</v>
      </c>
      <c r="AW209" s="7" t="s">
        <v>507</v>
      </c>
      <c r="BA209" s="407" t="s">
        <v>223</v>
      </c>
      <c r="BB209" s="407" t="s">
        <v>646</v>
      </c>
      <c r="BC209" s="407"/>
      <c r="BD209" s="407" t="s">
        <v>75</v>
      </c>
      <c r="BE209" s="408" t="e">
        <f ca="1">X228</f>
        <v>#DIV/0!</v>
      </c>
      <c r="BF209" s="408"/>
      <c r="BG209" s="408">
        <f>Y228</f>
        <v>0</v>
      </c>
      <c r="BH209" s="408" t="e">
        <f ca="1">Z228</f>
        <v>#DIV/0!</v>
      </c>
      <c r="BI209" s="408"/>
    </row>
    <row r="210" spans="1:61" ht="12.75" customHeight="1">
      <c r="A210" s="678" t="s">
        <v>647</v>
      </c>
      <c r="B210" s="679" t="s">
        <v>64</v>
      </c>
      <c r="C210" s="679">
        <v>1</v>
      </c>
      <c r="D210" s="654" t="s">
        <v>47</v>
      </c>
      <c r="E210" s="679"/>
      <c r="F210" s="757" t="s">
        <v>243</v>
      </c>
      <c r="G210" s="757" t="s">
        <v>49</v>
      </c>
      <c r="H210" s="655" cm="1">
        <f t="array" aca="1" ref="H210" ca="1">IFERROR(
    INDIRECT(
        "RawData!" &amp;
        ADDRESS(
            2,
            MATCH(
                TRIM(MID(A210, SEARCH(". ", A210) + 2, LEN(A210))) &amp; ".Import_kWh",
                RawData!$1:$1,
                0
            ),
            4
        )
    ),
    0
)</f>
        <v>0</v>
      </c>
      <c r="I210" s="655" cm="1">
        <f t="array" aca="1" ref="I210" ca="1">IFERROR(
    INDIRECT(
        "RawData!" &amp;
        ADDRESS(
            COUNTA(RawData!A:A),
            MATCH(
                TRIM(MID(A210, SEARCH(". ", A210) + 2, LEN(A210))) &amp; ".Import_kWh",
                RawData!$1:$1,
                0
            ),
            4
        )
    ),
    0
)</f>
        <v>0</v>
      </c>
      <c r="J210" s="680">
        <f ca="1">(I210-H210)*C210</f>
        <v>0</v>
      </c>
      <c r="K210" s="824" t="e">
        <f ca="1">J210*K$138/(J$139+J$147+J$160+J$183+J$187+J$190+J$202+J$210)</f>
        <v>#DIV/0!</v>
      </c>
      <c r="L210" s="681" t="e">
        <f ca="1">K210/J210</f>
        <v>#DIV/0!</v>
      </c>
      <c r="M210" s="874" t="e">
        <f ca="1">R211</f>
        <v>#DIV/0!</v>
      </c>
      <c r="N210" s="683"/>
      <c r="O210" s="683"/>
      <c r="P210" s="867"/>
      <c r="Q210" s="856"/>
      <c r="R210" s="575"/>
      <c r="S210" s="69"/>
      <c r="T210" s="69"/>
      <c r="U210" s="178" t="s">
        <v>345</v>
      </c>
      <c r="V210" s="406" t="s">
        <v>648</v>
      </c>
      <c r="W210" s="307" t="s">
        <v>343</v>
      </c>
      <c r="X210" s="199" t="e">
        <f ca="1">R750</f>
        <v>#DIV/0!</v>
      </c>
      <c r="Y210" s="151"/>
      <c r="Z210" s="169" t="e">
        <f t="shared" ca="1" si="75"/>
        <v>#DIV/0!</v>
      </c>
      <c r="AA210" s="180"/>
      <c r="AB210" s="110" t="e">
        <f t="shared" ca="1" si="70"/>
        <v>#DIV/0!</v>
      </c>
      <c r="AC210" s="181"/>
      <c r="AD210" s="182"/>
      <c r="AE210" s="245" t="s">
        <v>136</v>
      </c>
      <c r="AF210" s="245" t="s">
        <v>463</v>
      </c>
      <c r="AL210" s="7" t="s">
        <v>136</v>
      </c>
      <c r="AM210" s="102">
        <v>552003</v>
      </c>
      <c r="AN210" s="103" t="s">
        <v>54</v>
      </c>
      <c r="AO210" s="104" t="e">
        <f t="shared" ca="1" si="72"/>
        <v>#DIV/0!</v>
      </c>
      <c r="AP210" s="49"/>
      <c r="AR210" s="112" t="str">
        <f t="shared" si="62"/>
        <v xml:space="preserve"> ELETRIC HOLDING FURNACE G/C1-15,1-2</v>
      </c>
      <c r="AS210" s="112" t="str">
        <f t="shared" si="73"/>
        <v>0451-67000</v>
      </c>
      <c r="AU210" s="108" t="e">
        <f t="shared" ca="1" si="74"/>
        <v>#DIV/0!</v>
      </c>
      <c r="AV210" s="7" t="s">
        <v>1</v>
      </c>
      <c r="AW210" s="7" t="s">
        <v>507</v>
      </c>
      <c r="BA210" s="407" t="s">
        <v>451</v>
      </c>
      <c r="BB210" s="407" t="s">
        <v>649</v>
      </c>
      <c r="BC210" s="407"/>
      <c r="BD210" s="407" t="s">
        <v>440</v>
      </c>
      <c r="BE210" s="408">
        <f ca="1">X100</f>
        <v>0</v>
      </c>
      <c r="BF210" s="408"/>
      <c r="BG210" s="408"/>
      <c r="BH210" s="408">
        <f ca="1">Z100</f>
        <v>0</v>
      </c>
      <c r="BI210" s="408"/>
    </row>
    <row r="211" spans="1:61" ht="12.75" customHeight="1">
      <c r="A211" s="664" t="s">
        <v>650</v>
      </c>
      <c r="B211" s="595"/>
      <c r="C211" s="595"/>
      <c r="D211" s="595"/>
      <c r="E211" s="595"/>
      <c r="F211" s="595"/>
      <c r="G211" s="595"/>
      <c r="H211" s="672"/>
      <c r="I211" s="672"/>
      <c r="J211" s="673"/>
      <c r="K211" s="667"/>
      <c r="L211" s="312"/>
      <c r="M211" s="802"/>
      <c r="N211" s="669"/>
      <c r="O211" s="669"/>
      <c r="P211" s="689"/>
      <c r="Q211" s="603"/>
      <c r="R211" s="569" t="e">
        <f ca="1">K210</f>
        <v>#DIV/0!</v>
      </c>
      <c r="S211" s="114" t="s">
        <v>126</v>
      </c>
      <c r="T211" s="115" t="s">
        <v>127</v>
      </c>
      <c r="U211" s="178" t="s">
        <v>345</v>
      </c>
      <c r="V211" s="406" t="s">
        <v>367</v>
      </c>
      <c r="W211" s="307" t="s">
        <v>343</v>
      </c>
      <c r="X211" s="199" t="e">
        <f ca="1">R763</f>
        <v>#DIV/0!</v>
      </c>
      <c r="Y211" s="151"/>
      <c r="Z211" s="169" t="e">
        <f t="shared" ca="1" si="75"/>
        <v>#DIV/0!</v>
      </c>
      <c r="AA211" s="180"/>
      <c r="AB211" s="110" t="e">
        <f t="shared" ca="1" si="70"/>
        <v>#DIV/0!</v>
      </c>
      <c r="AC211" s="181"/>
      <c r="AD211" s="182"/>
      <c r="AE211" s="245" t="s">
        <v>136</v>
      </c>
      <c r="AF211" s="245" t="s">
        <v>463</v>
      </c>
      <c r="AL211" s="7" t="s">
        <v>136</v>
      </c>
      <c r="AM211" s="102">
        <v>552003</v>
      </c>
      <c r="AN211" s="103" t="s">
        <v>54</v>
      </c>
      <c r="AO211" s="104" t="e">
        <f t="shared" ca="1" si="72"/>
        <v>#DIV/0!</v>
      </c>
      <c r="AP211" s="49"/>
      <c r="AR211" s="112" t="str">
        <f t="shared" si="62"/>
        <v xml:space="preserve"> ELETRIC HOLDING FURNACE G/C1-3,1-21</v>
      </c>
      <c r="AS211" s="112" t="str">
        <f t="shared" si="73"/>
        <v>0451-67000</v>
      </c>
      <c r="AU211" s="108" t="e">
        <f t="shared" ca="1" si="74"/>
        <v>#DIV/0!</v>
      </c>
      <c r="AV211" s="7" t="s">
        <v>1</v>
      </c>
      <c r="AW211" s="7" t="s">
        <v>507</v>
      </c>
      <c r="BA211" s="407" t="s">
        <v>455</v>
      </c>
      <c r="BB211" s="407" t="s">
        <v>456</v>
      </c>
      <c r="BC211" s="407"/>
      <c r="BD211" s="407" t="s">
        <v>440</v>
      </c>
      <c r="BE211" s="408">
        <f>X101</f>
        <v>1400</v>
      </c>
      <c r="BF211" s="408"/>
      <c r="BG211" s="408" t="e">
        <f ca="1">Y101</f>
        <v>#DIV/0!</v>
      </c>
      <c r="BH211" s="408" t="e">
        <f ca="1">Z101</f>
        <v>#DIV/0!</v>
      </c>
      <c r="BI211" s="408"/>
    </row>
    <row r="212" spans="1:61" ht="12.75" customHeight="1">
      <c r="A212" s="642" t="s">
        <v>1176</v>
      </c>
      <c r="B212" s="643" t="s">
        <v>545</v>
      </c>
      <c r="C212" s="643">
        <v>1</v>
      </c>
      <c r="D212" s="644" t="s">
        <v>47</v>
      </c>
      <c r="E212" s="643"/>
      <c r="F212" s="644" t="s">
        <v>48</v>
      </c>
      <c r="G212" s="643" t="s">
        <v>49</v>
      </c>
      <c r="H212" s="1184" cm="1">
        <f t="array" aca="1" ref="H212" ca="1">IFERROR(
    INDIRECT(
        "RawData!" &amp;
        ADDRESS(
            2,
            MATCH(
                TRIM(MID(A212, SEARCH(". ", A212) + 2, LEN(A212))) &amp; ".Import_kWh",
                RawData!$1:$1,
                0
            ),
            4
        )
    ),
    0
)</f>
        <v>0</v>
      </c>
      <c r="I212" s="1184" cm="1">
        <f t="array" aca="1" ref="I212" ca="1">IFERROR(
    INDIRECT(
        "RawData!" &amp;
        ADDRESS(
            COUNTA(RawData!A:A),
            MATCH(
                TRIM(MID(A212, SEARCH(". ", A212) + 2, LEN(A212))) &amp; ".Import_kWh",
                RawData!$1:$1,
                0
            ),
            4
        )
    ),
    0
)</f>
        <v>0</v>
      </c>
      <c r="J212" s="646">
        <f ca="1">(I212-H212)*C212</f>
        <v>0</v>
      </c>
      <c r="K212" s="647" t="e">
        <f ca="1">J212*J$777/(J$5+J$65+J$72+J$81+J$89+J$138+J$212+J$285+J$306+J$373+J$388+J$396+J$397+J$450+J$463+J$471+J$513+J$564+J$603+J$646)</f>
        <v>#DIV/0!</v>
      </c>
      <c r="L212" s="648" t="e">
        <f ca="1">K212/J212</f>
        <v>#DIV/0!</v>
      </c>
      <c r="M212" s="649" t="e">
        <f ca="1">M213+M225+M243+M257+M267+M272</f>
        <v>#DIV/0!</v>
      </c>
      <c r="N212" s="875"/>
      <c r="O212" s="875"/>
      <c r="P212" s="564"/>
      <c r="Q212" s="876"/>
      <c r="R212" s="566"/>
      <c r="S212" s="69"/>
      <c r="T212" s="69"/>
      <c r="U212" s="178" t="s">
        <v>345</v>
      </c>
      <c r="V212" s="406" t="s">
        <v>371</v>
      </c>
      <c r="W212" s="307" t="s">
        <v>343</v>
      </c>
      <c r="X212" s="199">
        <f ca="1">R616</f>
        <v>0</v>
      </c>
      <c r="Y212" s="151"/>
      <c r="Z212" s="169" t="e">
        <f t="shared" ca="1" si="75"/>
        <v>#DIV/0!</v>
      </c>
      <c r="AA212" s="180"/>
      <c r="AB212" s="110" t="e">
        <f t="shared" ca="1" si="70"/>
        <v>#DIV/0!</v>
      </c>
      <c r="AC212" s="181"/>
      <c r="AD212" s="182"/>
      <c r="AE212" s="245" t="s">
        <v>136</v>
      </c>
      <c r="AF212" s="245" t="s">
        <v>463</v>
      </c>
      <c r="AL212" s="7" t="s">
        <v>136</v>
      </c>
      <c r="AM212" s="102">
        <v>552003</v>
      </c>
      <c r="AN212" s="103" t="s">
        <v>54</v>
      </c>
      <c r="AO212" s="104" t="e">
        <f t="shared" ca="1" si="72"/>
        <v>#DIV/0!</v>
      </c>
      <c r="AP212" s="49"/>
      <c r="AR212" s="112" t="str">
        <f t="shared" si="62"/>
        <v xml:space="preserve"> ELETRIC HOLDING FURNACE G/C1-24,1-25</v>
      </c>
      <c r="AS212" s="112" t="str">
        <f t="shared" si="73"/>
        <v>0451-67000</v>
      </c>
      <c r="AU212" s="108" t="e">
        <f t="shared" ca="1" si="74"/>
        <v>#DIV/0!</v>
      </c>
      <c r="AV212" s="7" t="s">
        <v>1</v>
      </c>
      <c r="AW212" s="7" t="s">
        <v>507</v>
      </c>
      <c r="BA212" s="407" t="s">
        <v>98</v>
      </c>
      <c r="BB212" s="407" t="s">
        <v>506</v>
      </c>
      <c r="BC212" s="407"/>
      <c r="BD212" s="407" t="s">
        <v>75</v>
      </c>
      <c r="BE212" s="408" t="e">
        <f ca="1">X122</f>
        <v>#DIV/0!</v>
      </c>
      <c r="BF212" s="408"/>
      <c r="BG212" s="408">
        <f>Y122</f>
        <v>0</v>
      </c>
      <c r="BH212" s="408" t="e">
        <f ca="1">Z122</f>
        <v>#DIV/0!</v>
      </c>
      <c r="BI212" s="408"/>
    </row>
    <row r="213" spans="1:61" ht="12.75" customHeight="1">
      <c r="A213" s="678" t="s">
        <v>651</v>
      </c>
      <c r="B213" s="679" t="s">
        <v>64</v>
      </c>
      <c r="C213" s="679">
        <v>1</v>
      </c>
      <c r="D213" s="654" t="s">
        <v>47</v>
      </c>
      <c r="E213" s="654"/>
      <c r="F213" s="654" t="s">
        <v>48</v>
      </c>
      <c r="G213" s="654" t="s">
        <v>49</v>
      </c>
      <c r="H213" s="655" cm="1">
        <f t="array" aca="1" ref="H213" ca="1">IFERROR(
    INDIRECT(
        "RawData!" &amp;
        ADDRESS(
            2,
            MATCH(
                TRIM(MID(A213, SEARCH(". ", A213) + 2, LEN(A213))) &amp; ".Import_kWh",
                RawData!$1:$1,
                0
            ),
            4
        )
    ),
    0
)</f>
        <v>0</v>
      </c>
      <c r="I213" s="655" cm="1">
        <f t="array" aca="1" ref="I213" ca="1">IFERROR(
    INDIRECT(
        "RawData!" &amp;
        ADDRESS(
            COUNTA(RawData!A:A),
            MATCH(
                TRIM(MID(A213, SEARCH(". ", A213) + 2, LEN(A213))) &amp; ".Import_kWh",
                RawData!$1:$1,
                0
            ),
            4
        )
    ),
    0
)</f>
        <v>0</v>
      </c>
      <c r="J213" s="680">
        <f ca="1">(I213-H213)*C213</f>
        <v>0</v>
      </c>
      <c r="K213" s="824" t="e">
        <f ca="1">J213*K$212/(J$213+J$225+J$243+J$267+J$272+J$257)</f>
        <v>#DIV/0!</v>
      </c>
      <c r="L213" s="681" t="e">
        <f ca="1">K213/J213</f>
        <v>#DIV/0!</v>
      </c>
      <c r="M213" s="682" t="e">
        <f ca="1">R215+R216+R218+R221+R223</f>
        <v>#DIV/0!</v>
      </c>
      <c r="N213" s="683"/>
      <c r="O213" s="683"/>
      <c r="P213" s="573"/>
      <c r="Q213" s="856"/>
      <c r="R213" s="575"/>
      <c r="S213" s="69"/>
      <c r="T213" s="69"/>
      <c r="U213" s="178" t="s">
        <v>375</v>
      </c>
      <c r="V213" s="156" t="s">
        <v>376</v>
      </c>
      <c r="W213" s="307" t="s">
        <v>343</v>
      </c>
      <c r="X213" s="199" t="e">
        <f ca="1">R618</f>
        <v>#DIV/0!</v>
      </c>
      <c r="Y213" s="151" t="e">
        <f ca="1">(X213/$AI$10)*100</f>
        <v>#DIV/0!</v>
      </c>
      <c r="Z213" s="169" t="e">
        <f t="shared" ca="1" si="75"/>
        <v>#DIV/0!</v>
      </c>
      <c r="AA213" s="180"/>
      <c r="AB213" s="110" t="e">
        <f t="shared" ca="1" si="70"/>
        <v>#DIV/0!</v>
      </c>
      <c r="AC213" s="181"/>
      <c r="AD213" s="182"/>
      <c r="AE213" s="245" t="s">
        <v>136</v>
      </c>
      <c r="AF213" s="245" t="s">
        <v>463</v>
      </c>
      <c r="AL213" s="7" t="s">
        <v>136</v>
      </c>
      <c r="AM213" s="102">
        <v>552003</v>
      </c>
      <c r="AN213" s="103" t="s">
        <v>54</v>
      </c>
      <c r="AO213" s="104" t="e">
        <f t="shared" ca="1" si="72"/>
        <v>#DIV/0!</v>
      </c>
      <c r="AP213" s="49"/>
      <c r="AR213" s="112" t="str">
        <f t="shared" si="62"/>
        <v xml:space="preserve"> LINE GRAVITY 1-22</v>
      </c>
      <c r="AS213" s="112" t="str">
        <f t="shared" si="73"/>
        <v>0451-67A22</v>
      </c>
      <c r="AU213" s="108" t="e">
        <f t="shared" ca="1" si="74"/>
        <v>#DIV/0!</v>
      </c>
      <c r="AV213" s="7" t="s">
        <v>1</v>
      </c>
      <c r="AW213" s="7" t="s">
        <v>507</v>
      </c>
      <c r="BA213" s="407" t="s">
        <v>537</v>
      </c>
      <c r="BB213" s="407" t="s">
        <v>538</v>
      </c>
      <c r="BC213" s="407"/>
      <c r="BD213" s="407" t="s">
        <v>440</v>
      </c>
      <c r="BE213" s="408" t="e">
        <f ca="1">X134</f>
        <v>#DIV/0!</v>
      </c>
      <c r="BF213" s="408"/>
      <c r="BG213" s="408" t="e">
        <f ca="1">Y134</f>
        <v>#DIV/0!</v>
      </c>
      <c r="BH213" s="408" t="e">
        <f ca="1">Z134</f>
        <v>#DIV/0!</v>
      </c>
      <c r="BI213" s="408"/>
    </row>
    <row r="214" spans="1:61" ht="12.75" customHeight="1">
      <c r="A214" s="664" t="s">
        <v>652</v>
      </c>
      <c r="B214" s="595" t="s">
        <v>185</v>
      </c>
      <c r="C214" s="595">
        <v>1</v>
      </c>
      <c r="D214" s="595" t="s">
        <v>47</v>
      </c>
      <c r="E214" s="595"/>
      <c r="F214" s="595" t="s">
        <v>48</v>
      </c>
      <c r="G214" s="595" t="s">
        <v>49</v>
      </c>
      <c r="H214" s="665" cm="1">
        <f t="array" aca="1" ref="H214" ca="1">IFERROR(
    INDIRECT(
        "RawData!" &amp;
        ADDRESS(
            2,
            MATCH(
                TRIM(MID(A214, SEARCH(". ", A214) + 2, LEN(A214))) &amp; ".Import_kWh",
                RawData!$1:$1,
                0
            ),
            4
        )
    ),
    0
)</f>
        <v>0</v>
      </c>
      <c r="I214" s="665" cm="1">
        <f t="array" aca="1" ref="I214" ca="1">IFERROR(
    INDIRECT(
        "RawData!" &amp;
        ADDRESS(
            COUNTA(RawData!A:A),
            MATCH(
                TRIM(MID(A214, SEARCH(". ", A214) + 2, LEN(A214))) &amp; ".Import_kWh",
                RawData!$1:$1,
                0
            ),
            4
        )
    ),
    0
)</f>
        <v>0</v>
      </c>
      <c r="J214" s="666">
        <f ca="1">(I214-H214)*C214</f>
        <v>0</v>
      </c>
      <c r="K214" s="667" t="e">
        <f ca="1">J214*K$213/(J$214+J$217+J$220+J$223)</f>
        <v>#DIV/0!</v>
      </c>
      <c r="L214" s="312" t="e">
        <f ca="1">K214/J214</f>
        <v>#DIV/0!</v>
      </c>
      <c r="M214" s="877" t="e">
        <f ca="1">R215+R216</f>
        <v>#DIV/0!</v>
      </c>
      <c r="N214" s="669"/>
      <c r="O214" s="669"/>
      <c r="P214" s="568"/>
      <c r="Q214" s="603"/>
      <c r="R214" s="569"/>
      <c r="S214" s="69"/>
      <c r="T214" s="69"/>
      <c r="U214" s="178" t="s">
        <v>379</v>
      </c>
      <c r="V214" s="156" t="s">
        <v>380</v>
      </c>
      <c r="W214" s="307" t="s">
        <v>343</v>
      </c>
      <c r="X214" s="199" t="e">
        <f ca="1">R619</f>
        <v>#DIV/0!</v>
      </c>
      <c r="Y214" s="151" t="e">
        <f ca="1">(X214/$AI$10)*100</f>
        <v>#DIV/0!</v>
      </c>
      <c r="Z214" s="169" t="e">
        <f t="shared" ca="1" si="75"/>
        <v>#DIV/0!</v>
      </c>
      <c r="AA214" s="180"/>
      <c r="AB214" s="110" t="e">
        <f t="shared" ca="1" si="70"/>
        <v>#DIV/0!</v>
      </c>
      <c r="AC214" s="181"/>
      <c r="AD214" s="182"/>
      <c r="AE214" s="245" t="s">
        <v>136</v>
      </c>
      <c r="AF214" s="245" t="s">
        <v>463</v>
      </c>
      <c r="AL214" s="7" t="s">
        <v>136</v>
      </c>
      <c r="AM214" s="102">
        <v>552003</v>
      </c>
      <c r="AN214" s="103" t="s">
        <v>54</v>
      </c>
      <c r="AO214" s="104" t="e">
        <f t="shared" ca="1" si="72"/>
        <v>#DIV/0!</v>
      </c>
      <c r="AP214" s="49"/>
      <c r="AR214" s="112" t="str">
        <f t="shared" si="62"/>
        <v xml:space="preserve"> LINE GRAVITY 1-23</v>
      </c>
      <c r="AS214" s="112" t="str">
        <f t="shared" si="73"/>
        <v>0451-67A23</v>
      </c>
      <c r="AU214" s="108" t="e">
        <f t="shared" ca="1" si="74"/>
        <v>#DIV/0!</v>
      </c>
      <c r="AV214" s="7" t="s">
        <v>1</v>
      </c>
      <c r="AW214" s="7" t="s">
        <v>507</v>
      </c>
      <c r="BA214" s="407" t="s">
        <v>537</v>
      </c>
      <c r="BB214" s="407" t="s">
        <v>541</v>
      </c>
      <c r="BC214" s="407"/>
      <c r="BD214" s="407" t="s">
        <v>440</v>
      </c>
      <c r="BE214" s="408" t="e">
        <f t="shared" ref="BE214:BE220" ca="1" si="78">X136</f>
        <v>#DIV/0!</v>
      </c>
      <c r="BF214" s="408"/>
      <c r="BG214" s="408" t="e">
        <f ca="1">Y136</f>
        <v>#DIV/0!</v>
      </c>
      <c r="BH214" s="408" t="e">
        <f ca="1">Z136</f>
        <v>#DIV/0!</v>
      </c>
      <c r="BI214" s="408"/>
    </row>
    <row r="215" spans="1:61" ht="12.75" customHeight="1">
      <c r="A215" s="664" t="s">
        <v>653</v>
      </c>
      <c r="B215" s="595"/>
      <c r="C215" s="595"/>
      <c r="D215" s="595"/>
      <c r="E215" s="595"/>
      <c r="F215" s="595"/>
      <c r="G215" s="595"/>
      <c r="H215" s="665"/>
      <c r="I215" s="665"/>
      <c r="J215" s="666"/>
      <c r="K215" s="667"/>
      <c r="L215" s="312"/>
      <c r="M215" s="570">
        <f>2.35+20+20+36.88+2.42+7.65+2</f>
        <v>91.300000000000011</v>
      </c>
      <c r="N215" s="669">
        <v>39</v>
      </c>
      <c r="O215" s="669">
        <v>45</v>
      </c>
      <c r="P215" s="689">
        <f>M215*O215</f>
        <v>4108.5000000000009</v>
      </c>
      <c r="Q215" s="603">
        <f>P215/(P$215+P$216)</f>
        <v>0.57473595859271176</v>
      </c>
      <c r="R215" s="569" t="e">
        <f ca="1">Q215*K$214</f>
        <v>#DIV/0!</v>
      </c>
      <c r="S215" s="114" t="s">
        <v>244</v>
      </c>
      <c r="T215" s="115" t="s">
        <v>245</v>
      </c>
      <c r="U215" s="178" t="s">
        <v>383</v>
      </c>
      <c r="V215" s="156" t="s">
        <v>384</v>
      </c>
      <c r="W215" s="307" t="s">
        <v>343</v>
      </c>
      <c r="X215" s="199" t="e">
        <f ca="1">R715</f>
        <v>#DIV/0!</v>
      </c>
      <c r="Y215" s="151" t="e">
        <f ca="1">(X215/$AI$10)*100</f>
        <v>#DIV/0!</v>
      </c>
      <c r="Z215" s="169" t="e">
        <f t="shared" ca="1" si="75"/>
        <v>#DIV/0!</v>
      </c>
      <c r="AA215" s="180"/>
      <c r="AB215" s="110" t="e">
        <f t="shared" ca="1" si="70"/>
        <v>#DIV/0!</v>
      </c>
      <c r="AC215" s="181"/>
      <c r="AD215" s="182"/>
      <c r="AE215" s="245" t="s">
        <v>136</v>
      </c>
      <c r="AF215" s="245" t="s">
        <v>463</v>
      </c>
      <c r="AL215" s="7" t="s">
        <v>136</v>
      </c>
      <c r="AM215" s="102">
        <v>552003</v>
      </c>
      <c r="AN215" s="103" t="s">
        <v>54</v>
      </c>
      <c r="AO215" s="104" t="e">
        <f t="shared" ca="1" si="72"/>
        <v>#DIV/0!</v>
      </c>
      <c r="AP215" s="49"/>
      <c r="AR215" s="112" t="str">
        <f t="shared" si="62"/>
        <v xml:space="preserve"> LINE GRAVITY 1-3</v>
      </c>
      <c r="AS215" s="112" t="str">
        <f t="shared" si="73"/>
        <v>0451-67A03</v>
      </c>
      <c r="AU215" s="108" t="e">
        <f t="shared" ca="1" si="74"/>
        <v>#DIV/0!</v>
      </c>
      <c r="AV215" s="7" t="s">
        <v>1</v>
      </c>
      <c r="AW215" s="7" t="s">
        <v>507</v>
      </c>
      <c r="BA215" s="407" t="s">
        <v>537</v>
      </c>
      <c r="BB215" s="407" t="s">
        <v>544</v>
      </c>
      <c r="BC215" s="407"/>
      <c r="BD215" s="407" t="s">
        <v>440</v>
      </c>
      <c r="BE215" s="408" t="e">
        <f t="shared" ca="1" si="78"/>
        <v>#DIV/0!</v>
      </c>
      <c r="BF215" s="408"/>
      <c r="BG215" s="408" t="e">
        <f t="shared" ref="BG215:BH220" ca="1" si="79">Y137</f>
        <v>#DIV/0!</v>
      </c>
      <c r="BH215" s="408" t="e">
        <f t="shared" ca="1" si="79"/>
        <v>#DIV/0!</v>
      </c>
      <c r="BI215" s="408"/>
    </row>
    <row r="216" spans="1:61" ht="12.75" customHeight="1">
      <c r="A216" s="664" t="s">
        <v>654</v>
      </c>
      <c r="B216" s="595"/>
      <c r="C216" s="595"/>
      <c r="D216" s="595"/>
      <c r="E216" s="595"/>
      <c r="F216" s="595"/>
      <c r="G216" s="595"/>
      <c r="H216" s="665"/>
      <c r="I216" s="665"/>
      <c r="J216" s="666"/>
      <c r="K216" s="667"/>
      <c r="L216" s="312"/>
      <c r="M216" s="570">
        <v>80</v>
      </c>
      <c r="N216" s="669">
        <v>37</v>
      </c>
      <c r="O216" s="669">
        <v>38</v>
      </c>
      <c r="P216" s="689">
        <f>M216*O216</f>
        <v>3040</v>
      </c>
      <c r="Q216" s="603">
        <f>P216/(P$215+P$216)</f>
        <v>0.42526404140728818</v>
      </c>
      <c r="R216" s="569" t="e">
        <f ca="1">Q216*K$214</f>
        <v>#DIV/0!</v>
      </c>
      <c r="S216" s="114" t="s">
        <v>244</v>
      </c>
      <c r="T216" s="115" t="s">
        <v>245</v>
      </c>
      <c r="U216" s="178" t="s">
        <v>388</v>
      </c>
      <c r="V216" s="156" t="s">
        <v>389</v>
      </c>
      <c r="W216" s="307" t="s">
        <v>343</v>
      </c>
      <c r="X216" s="199" t="e">
        <f ca="1">R714</f>
        <v>#DIV/0!</v>
      </c>
      <c r="Y216" s="151" t="e">
        <f ca="1">(X216/$AI$10)*100</f>
        <v>#DIV/0!</v>
      </c>
      <c r="Z216" s="169" t="e">
        <f t="shared" ca="1" si="75"/>
        <v>#DIV/0!</v>
      </c>
      <c r="AA216" s="180"/>
      <c r="AB216" s="110" t="e">
        <f t="shared" ca="1" si="70"/>
        <v>#DIV/0!</v>
      </c>
      <c r="AC216" s="181"/>
      <c r="AD216" s="182"/>
      <c r="AE216" s="245" t="s">
        <v>136</v>
      </c>
      <c r="AF216" s="245" t="s">
        <v>463</v>
      </c>
      <c r="AL216" s="7" t="s">
        <v>136</v>
      </c>
      <c r="AM216" s="102">
        <v>552003</v>
      </c>
      <c r="AN216" s="103" t="s">
        <v>54</v>
      </c>
      <c r="AO216" s="104" t="e">
        <f t="shared" ca="1" si="72"/>
        <v>#DIV/0!</v>
      </c>
      <c r="AP216" s="49"/>
      <c r="AR216" s="112" t="str">
        <f t="shared" si="62"/>
        <v xml:space="preserve"> LINE GRAVITY 1-21</v>
      </c>
      <c r="AS216" s="112" t="str">
        <f t="shared" si="73"/>
        <v>0451-67A21</v>
      </c>
      <c r="AU216" s="108" t="e">
        <f t="shared" ca="1" si="74"/>
        <v>#DIV/0!</v>
      </c>
      <c r="AV216" s="7" t="s">
        <v>1</v>
      </c>
      <c r="AW216" s="7" t="s">
        <v>507</v>
      </c>
      <c r="BA216" s="407" t="s">
        <v>546</v>
      </c>
      <c r="BB216" s="407" t="s">
        <v>547</v>
      </c>
      <c r="BC216" s="407"/>
      <c r="BD216" s="407" t="s">
        <v>440</v>
      </c>
      <c r="BE216" s="408" t="e">
        <f t="shared" ca="1" si="78"/>
        <v>#DIV/0!</v>
      </c>
      <c r="BF216" s="408"/>
      <c r="BG216" s="408" t="e">
        <f t="shared" ca="1" si="79"/>
        <v>#DIV/0!</v>
      </c>
      <c r="BH216" s="408" t="e">
        <f t="shared" ca="1" si="79"/>
        <v>#DIV/0!</v>
      </c>
      <c r="BI216" s="408"/>
    </row>
    <row r="217" spans="1:61" ht="12.75" customHeight="1">
      <c r="A217" s="664" t="s">
        <v>655</v>
      </c>
      <c r="B217" s="595" t="s">
        <v>185</v>
      </c>
      <c r="C217" s="595">
        <v>1</v>
      </c>
      <c r="D217" s="595" t="s">
        <v>47</v>
      </c>
      <c r="E217" s="595"/>
      <c r="F217" s="595" t="s">
        <v>48</v>
      </c>
      <c r="G217" s="595" t="s">
        <v>49</v>
      </c>
      <c r="H217" s="665" cm="1">
        <f t="array" aca="1" ref="H217" ca="1">IFERROR(
    INDIRECT(
        "RawData!" &amp;
        ADDRESS(
            2,
            MATCH(
                TRIM(MID(A217, SEARCH(". ", A217) + 2, LEN(A217))) &amp; ".Import_kWh",
                RawData!$1:$1,
                0
            ),
            4
        )
    ),
    0
)</f>
        <v>0</v>
      </c>
      <c r="I217" s="665" cm="1">
        <f t="array" aca="1" ref="I217" ca="1">IFERROR(
    INDIRECT(
        "RawData!" &amp;
        ADDRESS(
            COUNTA(RawData!A:A),
            MATCH(
                TRIM(MID(A217, SEARCH(". ", A217) + 2, LEN(A217))) &amp; ".Import_kWh",
                RawData!$1:$1,
                0
            ),
            4
        )
    ),
    0
)</f>
        <v>0</v>
      </c>
      <c r="J217" s="666">
        <f ca="1">(I217-H217)*C217</f>
        <v>0</v>
      </c>
      <c r="K217" s="667" t="e">
        <f ca="1">J217*K$213/(J$214+J$217+J$220+J$223)</f>
        <v>#DIV/0!</v>
      </c>
      <c r="L217" s="312" t="e">
        <f ca="1">K217/J217</f>
        <v>#DIV/0!</v>
      </c>
      <c r="M217" s="568"/>
      <c r="N217" s="669"/>
      <c r="O217" s="669"/>
      <c r="P217" s="689"/>
      <c r="Q217" s="603"/>
      <c r="R217" s="569"/>
      <c r="S217" s="69"/>
      <c r="T217" s="69"/>
      <c r="U217" s="178" t="s">
        <v>345</v>
      </c>
      <c r="V217" s="156" t="s">
        <v>391</v>
      </c>
      <c r="W217" s="307" t="s">
        <v>343</v>
      </c>
      <c r="X217" s="199" t="e">
        <f ca="1">R716+R717+R757+R758+R721+R722+R670+R734+R736+R737+R653+R673+R674+R620+R621+R655+R671+R672</f>
        <v>#DIV/0!</v>
      </c>
      <c r="Y217" s="151" t="e">
        <f t="shared" ref="Y217:Y227" ca="1" si="80">(X217/$AI$10)*100</f>
        <v>#DIV/0!</v>
      </c>
      <c r="Z217" s="169" t="e">
        <f t="shared" ca="1" si="75"/>
        <v>#DIV/0!</v>
      </c>
      <c r="AA217" s="180"/>
      <c r="AB217" s="110" t="e">
        <f t="shared" ca="1" si="70"/>
        <v>#DIV/0!</v>
      </c>
      <c r="AC217" s="181"/>
      <c r="AD217" s="182"/>
      <c r="AE217" s="245" t="s">
        <v>136</v>
      </c>
      <c r="AF217" s="245" t="s">
        <v>463</v>
      </c>
      <c r="AL217" s="7" t="s">
        <v>136</v>
      </c>
      <c r="AM217" s="102">
        <v>552003</v>
      </c>
      <c r="AN217" s="103" t="s">
        <v>54</v>
      </c>
      <c r="AO217" s="104" t="e">
        <f t="shared" ca="1" si="72"/>
        <v>#DIV/0!</v>
      </c>
      <c r="AP217" s="49"/>
      <c r="AR217" s="112" t="str">
        <f t="shared" si="62"/>
        <v xml:space="preserve"> LINE GRAVITY 1</v>
      </c>
      <c r="AS217" s="112" t="str">
        <f t="shared" si="73"/>
        <v>0451-67000</v>
      </c>
      <c r="AU217" s="108" t="e">
        <f t="shared" ca="1" si="74"/>
        <v>#DIV/0!</v>
      </c>
      <c r="AV217" s="7" t="s">
        <v>1</v>
      </c>
      <c r="AW217" s="7" t="s">
        <v>507</v>
      </c>
      <c r="BA217" s="407" t="s">
        <v>546</v>
      </c>
      <c r="BB217" s="407" t="s">
        <v>549</v>
      </c>
      <c r="BC217" s="407"/>
      <c r="BD217" s="407" t="s">
        <v>440</v>
      </c>
      <c r="BE217" s="408" t="e">
        <f t="shared" ca="1" si="78"/>
        <v>#DIV/0!</v>
      </c>
      <c r="BF217" s="408"/>
      <c r="BG217" s="408" t="e">
        <f t="shared" ca="1" si="79"/>
        <v>#DIV/0!</v>
      </c>
      <c r="BH217" s="408" t="e">
        <f t="shared" ca="1" si="79"/>
        <v>#DIV/0!</v>
      </c>
      <c r="BI217" s="408"/>
    </row>
    <row r="218" spans="1:61" ht="12.75" customHeight="1">
      <c r="A218" s="695" t="s">
        <v>656</v>
      </c>
      <c r="B218" s="595"/>
      <c r="C218" s="595"/>
      <c r="D218" s="595"/>
      <c r="E218" s="595"/>
      <c r="F218" s="595"/>
      <c r="G218" s="595"/>
      <c r="H218" s="665"/>
      <c r="I218" s="665"/>
      <c r="J218" s="666"/>
      <c r="K218" s="667"/>
      <c r="L218" s="312"/>
      <c r="M218" s="568">
        <v>121.4</v>
      </c>
      <c r="N218" s="669">
        <v>25</v>
      </c>
      <c r="O218" s="669">
        <v>42</v>
      </c>
      <c r="P218" s="689"/>
      <c r="Q218" s="603"/>
      <c r="R218" s="569" t="e">
        <f ca="1">K217</f>
        <v>#DIV/0!</v>
      </c>
      <c r="S218" s="114" t="s">
        <v>234</v>
      </c>
      <c r="T218" s="115" t="s">
        <v>657</v>
      </c>
      <c r="U218" s="178" t="s">
        <v>345</v>
      </c>
      <c r="V218" s="156" t="s">
        <v>394</v>
      </c>
      <c r="W218" s="307" t="s">
        <v>343</v>
      </c>
      <c r="X218" s="199" t="e">
        <f ca="1">R654+R735+R738+R739</f>
        <v>#DIV/0!</v>
      </c>
      <c r="Y218" s="151" t="e">
        <f t="shared" ca="1" si="80"/>
        <v>#DIV/0!</v>
      </c>
      <c r="Z218" s="169" t="e">
        <f t="shared" ca="1" si="75"/>
        <v>#DIV/0!</v>
      </c>
      <c r="AA218" s="180"/>
      <c r="AB218" s="110" t="e">
        <f t="shared" ca="1" si="70"/>
        <v>#DIV/0!</v>
      </c>
      <c r="AC218" s="181" t="e">
        <f ca="1">AB218</f>
        <v>#DIV/0!</v>
      </c>
      <c r="AD218" s="182"/>
      <c r="AE218" s="245" t="s">
        <v>136</v>
      </c>
      <c r="AF218" s="245" t="s">
        <v>463</v>
      </c>
      <c r="AL218" s="7" t="s">
        <v>136</v>
      </c>
      <c r="AM218" s="102">
        <v>552003</v>
      </c>
      <c r="AN218" s="103" t="s">
        <v>54</v>
      </c>
      <c r="AO218" s="104" t="e">
        <f t="shared" ca="1" si="72"/>
        <v>#DIV/0!</v>
      </c>
      <c r="AP218" s="49"/>
      <c r="AR218" s="112" t="str">
        <f t="shared" si="62"/>
        <v xml:space="preserve"> LINE GRAVITY 2</v>
      </c>
      <c r="AS218" s="112" t="str">
        <f t="shared" si="73"/>
        <v>0451-67000</v>
      </c>
      <c r="AU218" s="108" t="e">
        <f t="shared" ca="1" si="74"/>
        <v>#DIV/0!</v>
      </c>
      <c r="AV218" s="7" t="s">
        <v>1</v>
      </c>
      <c r="AW218" s="7" t="s">
        <v>507</v>
      </c>
      <c r="BA218" s="407" t="s">
        <v>546</v>
      </c>
      <c r="BB218" s="407" t="s">
        <v>553</v>
      </c>
      <c r="BC218" s="407"/>
      <c r="BD218" s="407" t="s">
        <v>440</v>
      </c>
      <c r="BE218" s="408" t="e">
        <f t="shared" ca="1" si="78"/>
        <v>#DIV/0!</v>
      </c>
      <c r="BF218" s="408"/>
      <c r="BG218" s="408" t="e">
        <f t="shared" ca="1" si="79"/>
        <v>#DIV/0!</v>
      </c>
      <c r="BH218" s="408" t="e">
        <f t="shared" ca="1" si="79"/>
        <v>#DIV/0!</v>
      </c>
      <c r="BI218" s="408"/>
    </row>
    <row r="219" spans="1:61" ht="12.75" customHeight="1">
      <c r="A219" s="664"/>
      <c r="B219" s="595"/>
      <c r="C219" s="595"/>
      <c r="D219" s="595"/>
      <c r="E219" s="595"/>
      <c r="F219" s="595"/>
      <c r="G219" s="595"/>
      <c r="H219" s="665"/>
      <c r="I219" s="665"/>
      <c r="J219" s="666"/>
      <c r="K219" s="667"/>
      <c r="L219" s="312"/>
      <c r="M219" s="568"/>
      <c r="N219" s="669"/>
      <c r="O219" s="669"/>
      <c r="P219" s="689"/>
      <c r="Q219" s="603"/>
      <c r="R219" s="569"/>
      <c r="S219" s="69"/>
      <c r="T219" s="69"/>
      <c r="U219" s="409" t="s">
        <v>345</v>
      </c>
      <c r="V219" s="237" t="s">
        <v>397</v>
      </c>
      <c r="W219" s="315" t="s">
        <v>343</v>
      </c>
      <c r="X219" s="238" t="e">
        <f ca="1">R656</f>
        <v>#DIV/0!</v>
      </c>
      <c r="Y219" s="239" t="e">
        <f t="shared" ca="1" si="80"/>
        <v>#DIV/0!</v>
      </c>
      <c r="Z219" s="240" t="e">
        <f t="shared" ca="1" si="75"/>
        <v>#DIV/0!</v>
      </c>
      <c r="AA219" s="241"/>
      <c r="AB219" s="110" t="e">
        <f t="shared" ca="1" si="70"/>
        <v>#DIV/0!</v>
      </c>
      <c r="AC219" s="242"/>
      <c r="AD219" s="243"/>
      <c r="AE219" s="245" t="s">
        <v>136</v>
      </c>
      <c r="AF219" s="245" t="s">
        <v>463</v>
      </c>
      <c r="AL219" s="7" t="s">
        <v>136</v>
      </c>
      <c r="AM219" s="102">
        <v>552003</v>
      </c>
      <c r="AN219" s="103" t="s">
        <v>54</v>
      </c>
      <c r="AO219" s="104" t="e">
        <f t="shared" ca="1" si="72"/>
        <v>#DIV/0!</v>
      </c>
      <c r="AP219" s="49"/>
      <c r="AR219" s="112" t="str">
        <f t="shared" si="62"/>
        <v xml:space="preserve"> LINE GRAVITY 9</v>
      </c>
      <c r="AS219" s="112" t="str">
        <f t="shared" si="73"/>
        <v>0451-67000</v>
      </c>
      <c r="AU219" s="108" t="e">
        <f t="shared" ca="1" si="74"/>
        <v>#DIV/0!</v>
      </c>
      <c r="AV219" s="7" t="s">
        <v>1</v>
      </c>
      <c r="AW219" s="7" t="s">
        <v>507</v>
      </c>
      <c r="BA219" s="407" t="s">
        <v>546</v>
      </c>
      <c r="BB219" s="407" t="s">
        <v>555</v>
      </c>
      <c r="BC219" s="407"/>
      <c r="BD219" s="407" t="s">
        <v>440</v>
      </c>
      <c r="BE219" s="408" t="e">
        <f t="shared" ca="1" si="78"/>
        <v>#DIV/0!</v>
      </c>
      <c r="BF219" s="408"/>
      <c r="BG219" s="408" t="e">
        <f t="shared" ca="1" si="79"/>
        <v>#DIV/0!</v>
      </c>
      <c r="BH219" s="408" t="e">
        <f t="shared" ca="1" si="79"/>
        <v>#DIV/0!</v>
      </c>
      <c r="BI219" s="408"/>
    </row>
    <row r="220" spans="1:61" ht="12.75" customHeight="1">
      <c r="A220" s="664" t="s">
        <v>658</v>
      </c>
      <c r="B220" s="723" t="s">
        <v>185</v>
      </c>
      <c r="C220" s="613">
        <v>1</v>
      </c>
      <c r="D220" s="595" t="s">
        <v>47</v>
      </c>
      <c r="E220" s="595"/>
      <c r="F220" s="595" t="s">
        <v>48</v>
      </c>
      <c r="G220" s="595" t="s">
        <v>49</v>
      </c>
      <c r="H220" s="665" cm="1">
        <f t="array" aca="1" ref="H220" ca="1">IFERROR(
    INDIRECT(
        "RawData!" &amp;
        ADDRESS(
            2,
            MATCH(
                TRIM(MID(A220, SEARCH(". ", A220) + 2, LEN(A220))) &amp; ".Import_kWh",
                RawData!$1:$1,
                0
            ),
            4
        )
    ),
    0
)</f>
        <v>0</v>
      </c>
      <c r="I220" s="665" cm="1">
        <f t="array" aca="1" ref="I220" ca="1">IFERROR(
    INDIRECT(
        "RawData!" &amp;
        ADDRESS(
            COUNTA(RawData!A:A),
            MATCH(
                TRIM(MID(A220, SEARCH(". ", A220) + 2, LEN(A220))) &amp; ".Import_kWh",
                RawData!$1:$1,
                0
            ),
            4
        )
    ),
    0
)</f>
        <v>0</v>
      </c>
      <c r="J220" s="666">
        <f ca="1">(I220-H220)*C220</f>
        <v>0</v>
      </c>
      <c r="K220" s="667" t="e">
        <f ca="1">J220*K$213/(J$214+J$217+J$220+J$223)</f>
        <v>#DIV/0!</v>
      </c>
      <c r="L220" s="312" t="e">
        <f ca="1">K220/J220</f>
        <v>#DIV/0!</v>
      </c>
      <c r="M220" s="795" t="e">
        <f ca="1">R221</f>
        <v>#DIV/0!</v>
      </c>
      <c r="N220" s="727"/>
      <c r="O220" s="727"/>
      <c r="P220" s="732"/>
      <c r="Q220" s="813"/>
      <c r="R220" s="729"/>
      <c r="S220" s="69"/>
      <c r="T220" s="69"/>
      <c r="U220" s="409" t="s">
        <v>401</v>
      </c>
      <c r="V220" s="237" t="s">
        <v>402</v>
      </c>
      <c r="W220" s="315" t="s">
        <v>343</v>
      </c>
      <c r="X220" s="238">
        <f ca="1">R649+R676+R623+R624+R678+R650+R681+R725+R726+R741+R742+R745</f>
        <v>5000</v>
      </c>
      <c r="Y220" s="239" t="e">
        <f t="shared" ca="1" si="80"/>
        <v>#DIV/0!</v>
      </c>
      <c r="Z220" s="240" t="e">
        <f t="shared" ca="1" si="75"/>
        <v>#DIV/0!</v>
      </c>
      <c r="AA220" s="241"/>
      <c r="AB220" s="341" t="e">
        <f t="shared" ca="1" si="70"/>
        <v>#DIV/0!</v>
      </c>
      <c r="AC220" s="242"/>
      <c r="AD220" s="243"/>
      <c r="AE220" s="245" t="s">
        <v>136</v>
      </c>
      <c r="AF220" s="245" t="s">
        <v>463</v>
      </c>
      <c r="AL220" s="7" t="s">
        <v>136</v>
      </c>
      <c r="AM220" s="102">
        <v>552003</v>
      </c>
      <c r="AN220" s="103" t="s">
        <v>54</v>
      </c>
      <c r="AO220" s="104" t="e">
        <f t="shared" ca="1" si="72"/>
        <v>#DIV/0!</v>
      </c>
      <c r="AP220" s="49"/>
      <c r="AR220" s="112" t="str">
        <f t="shared" si="62"/>
        <v xml:space="preserve"> Knocking, Cutting, S/B</v>
      </c>
      <c r="AS220" s="112" t="str">
        <f t="shared" si="73"/>
        <v>0451-670N0</v>
      </c>
      <c r="AU220" s="108" t="e">
        <f t="shared" ca="1" si="74"/>
        <v>#DIV/0!</v>
      </c>
      <c r="AV220" s="7" t="s">
        <v>1</v>
      </c>
      <c r="AW220" s="7" t="s">
        <v>507</v>
      </c>
      <c r="BA220" s="407" t="s">
        <v>546</v>
      </c>
      <c r="BB220" s="407" t="s">
        <v>557</v>
      </c>
      <c r="BC220" s="407"/>
      <c r="BD220" s="407" t="s">
        <v>440</v>
      </c>
      <c r="BE220" s="408" t="e">
        <f t="shared" ca="1" si="78"/>
        <v>#DIV/0!</v>
      </c>
      <c r="BF220" s="408"/>
      <c r="BG220" s="408" t="e">
        <f t="shared" ca="1" si="79"/>
        <v>#DIV/0!</v>
      </c>
      <c r="BH220" s="408" t="e">
        <f t="shared" ca="1" si="79"/>
        <v>#DIV/0!</v>
      </c>
      <c r="BI220" s="408"/>
    </row>
    <row r="221" spans="1:61" ht="12.75" customHeight="1">
      <c r="A221" s="664" t="s">
        <v>659</v>
      </c>
      <c r="B221" s="723"/>
      <c r="C221" s="613"/>
      <c r="D221" s="613"/>
      <c r="E221" s="613"/>
      <c r="F221" s="613"/>
      <c r="G221" s="613"/>
      <c r="H221" s="724"/>
      <c r="I221" s="724"/>
      <c r="J221" s="666"/>
      <c r="K221" s="667"/>
      <c r="L221" s="312"/>
      <c r="M221" s="664">
        <f>20+7.6+7.2</f>
        <v>34.800000000000004</v>
      </c>
      <c r="N221" s="727">
        <v>20</v>
      </c>
      <c r="O221" s="727">
        <v>41</v>
      </c>
      <c r="P221" s="689">
        <f>M221*O221</f>
        <v>1426.8000000000002</v>
      </c>
      <c r="Q221" s="813">
        <f>P221/(P$221)</f>
        <v>1</v>
      </c>
      <c r="R221" s="729" t="e">
        <f ca="1">K220</f>
        <v>#DIV/0!</v>
      </c>
      <c r="S221" s="114" t="s">
        <v>216</v>
      </c>
      <c r="T221" s="115" t="s">
        <v>578</v>
      </c>
      <c r="U221" s="410" t="s">
        <v>345</v>
      </c>
      <c r="V221" s="336" t="s">
        <v>405</v>
      </c>
      <c r="W221" s="337" t="s">
        <v>343</v>
      </c>
      <c r="X221" s="338" t="e">
        <f ca="1">R669</f>
        <v>#DIV/0!</v>
      </c>
      <c r="Y221" s="339" t="e">
        <f t="shared" ca="1" si="80"/>
        <v>#DIV/0!</v>
      </c>
      <c r="Z221" s="411" t="e">
        <f t="shared" ca="1" si="75"/>
        <v>#DIV/0!</v>
      </c>
      <c r="AA221" s="412"/>
      <c r="AB221" s="341" t="e">
        <f t="shared" ca="1" si="70"/>
        <v>#DIV/0!</v>
      </c>
      <c r="AC221" s="342"/>
      <c r="AD221" s="343"/>
      <c r="AE221" s="245" t="s">
        <v>136</v>
      </c>
      <c r="AF221" s="245" t="s">
        <v>463</v>
      </c>
      <c r="AL221" s="7" t="s">
        <v>136</v>
      </c>
      <c r="AM221" s="102">
        <v>552003</v>
      </c>
      <c r="AN221" s="103" t="s">
        <v>54</v>
      </c>
      <c r="AO221" s="104" t="e">
        <f t="shared" ca="1" si="72"/>
        <v>#DIV/0!</v>
      </c>
      <c r="AP221" s="49"/>
      <c r="AR221" s="112" t="str">
        <f t="shared" si="62"/>
        <v xml:space="preserve"> LINE GRAVITY 7-3</v>
      </c>
      <c r="AS221" s="112" t="str">
        <f t="shared" si="73"/>
        <v>0451-67000</v>
      </c>
      <c r="AU221" s="108" t="e">
        <f t="shared" ca="1" si="74"/>
        <v>#DIV/0!</v>
      </c>
      <c r="AV221" s="7" t="s">
        <v>1</v>
      </c>
      <c r="AW221" s="7" t="s">
        <v>507</v>
      </c>
      <c r="BA221" s="407" t="s">
        <v>546</v>
      </c>
      <c r="BB221" s="407" t="s">
        <v>563</v>
      </c>
      <c r="BC221" s="407"/>
      <c r="BD221" s="407" t="s">
        <v>440</v>
      </c>
      <c r="BE221" s="408" t="e">
        <f ca="1">X147</f>
        <v>#DIV/0!</v>
      </c>
      <c r="BF221" s="408"/>
      <c r="BG221" s="408" t="e">
        <f ca="1">Y147</f>
        <v>#DIV/0!</v>
      </c>
      <c r="BH221" s="408" t="e">
        <f ca="1">Z147</f>
        <v>#DIV/0!</v>
      </c>
      <c r="BI221" s="408"/>
    </row>
    <row r="222" spans="1:61" ht="12.75" customHeight="1">
      <c r="A222" s="664"/>
      <c r="B222" s="723"/>
      <c r="C222" s="613"/>
      <c r="D222" s="613"/>
      <c r="E222" s="613"/>
      <c r="F222" s="613"/>
      <c r="G222" s="613"/>
      <c r="H222" s="724"/>
      <c r="I222" s="724"/>
      <c r="J222" s="666"/>
      <c r="K222" s="667"/>
      <c r="L222" s="312"/>
      <c r="M222" s="664"/>
      <c r="N222" s="669"/>
      <c r="O222" s="669"/>
      <c r="P222" s="689"/>
      <c r="Q222" s="813"/>
      <c r="R222" s="729"/>
      <c r="S222" s="69"/>
      <c r="T222" s="69"/>
      <c r="U222" s="413" t="s">
        <v>410</v>
      </c>
      <c r="V222" s="336" t="s">
        <v>411</v>
      </c>
      <c r="W222" s="337" t="s">
        <v>343</v>
      </c>
      <c r="X222" s="338" t="e">
        <f ca="1">R691+R692+R693+R694+R695+R696+R702+R703+R704+R705+R706+R697+R698+R699</f>
        <v>#DIV/0!</v>
      </c>
      <c r="Y222" s="339" t="e">
        <f t="shared" ca="1" si="80"/>
        <v>#DIV/0!</v>
      </c>
      <c r="Z222" s="411" t="e">
        <f t="shared" ca="1" si="75"/>
        <v>#DIV/0!</v>
      </c>
      <c r="AA222" s="340"/>
      <c r="AB222" s="341" t="e">
        <f t="shared" ca="1" si="70"/>
        <v>#DIV/0!</v>
      </c>
      <c r="AC222" s="342"/>
      <c r="AD222" s="343"/>
      <c r="AE222" s="245" t="s">
        <v>532</v>
      </c>
      <c r="AF222" s="245" t="s">
        <v>532</v>
      </c>
      <c r="AL222" s="7" t="s">
        <v>136</v>
      </c>
      <c r="AM222" s="102">
        <v>552003</v>
      </c>
      <c r="AN222" s="103" t="s">
        <v>54</v>
      </c>
      <c r="AO222" s="104" t="e">
        <f t="shared" ca="1" si="72"/>
        <v>#DIV/0!</v>
      </c>
      <c r="AP222" s="49"/>
      <c r="AR222" s="112" t="str">
        <f t="shared" si="62"/>
        <v xml:space="preserve"> SHELL CORE</v>
      </c>
      <c r="AS222" s="112" t="str">
        <f t="shared" si="73"/>
        <v>0451-670S0</v>
      </c>
      <c r="AU222" s="108" t="e">
        <f t="shared" ca="1" si="74"/>
        <v>#DIV/0!</v>
      </c>
      <c r="AV222" s="7" t="s">
        <v>1</v>
      </c>
      <c r="AW222" s="7" t="s">
        <v>507</v>
      </c>
      <c r="BA222" s="407" t="s">
        <v>546</v>
      </c>
      <c r="BB222" s="407" t="s">
        <v>565</v>
      </c>
      <c r="BC222" s="407"/>
      <c r="BD222" s="407" t="s">
        <v>440</v>
      </c>
      <c r="BE222" s="408" t="e">
        <f t="shared" ref="BE222:BE223" ca="1" si="81">X148</f>
        <v>#DIV/0!</v>
      </c>
      <c r="BF222" s="408"/>
      <c r="BG222" s="408" t="e">
        <f ca="1">Y148</f>
        <v>#DIV/0!</v>
      </c>
      <c r="BH222" s="408" t="e">
        <f ca="1">Z148</f>
        <v>#DIV/0!</v>
      </c>
      <c r="BI222" s="408"/>
    </row>
    <row r="223" spans="1:61" ht="12.75" customHeight="1">
      <c r="A223" s="664" t="s">
        <v>1144</v>
      </c>
      <c r="B223" s="723" t="s">
        <v>185</v>
      </c>
      <c r="C223" s="613">
        <v>1</v>
      </c>
      <c r="D223" s="595" t="s">
        <v>47</v>
      </c>
      <c r="E223" s="595"/>
      <c r="F223" s="595" t="s">
        <v>48</v>
      </c>
      <c r="G223" s="595" t="s">
        <v>49</v>
      </c>
      <c r="H223" s="665" cm="1">
        <f t="array" aca="1" ref="H223" ca="1">IFERROR(
    INDIRECT(
        "RawData!" &amp;
        ADDRESS(
            2,
            MATCH(
                TRIM(MID(A223, SEARCH(". ", A223) + 2, LEN(A223))) &amp; ".Import_kWh",
                RawData!$1:$1,
                0
            ),
            4
        )
    ),
    0
)</f>
        <v>0</v>
      </c>
      <c r="I223" s="665" cm="1">
        <f t="array" aca="1" ref="I223" ca="1">IFERROR(
    INDIRECT(
        "RawData!" &amp;
        ADDRESS(
            COUNTA(RawData!A:A),
            MATCH(
                TRIM(MID(A223, SEARCH(". ", A223) + 2, LEN(A223))) &amp; ".Import_kWh",
                RawData!$1:$1,
                0
            ),
            4
        )
    ),
    0
)</f>
        <v>0</v>
      </c>
      <c r="J223" s="666">
        <f ca="1">(I223-H223)*C223</f>
        <v>0</v>
      </c>
      <c r="K223" s="667" t="e">
        <f ca="1">J223*K$213/(J$214+J$217+J$220+J$223)</f>
        <v>#DIV/0!</v>
      </c>
      <c r="L223" s="312" t="e">
        <f ca="1">K223/J223</f>
        <v>#DIV/0!</v>
      </c>
      <c r="M223" s="732"/>
      <c r="N223" s="669"/>
      <c r="O223" s="669"/>
      <c r="P223" s="866"/>
      <c r="Q223" s="603"/>
      <c r="R223" s="569" t="e">
        <f ca="1">K223</f>
        <v>#DIV/0!</v>
      </c>
      <c r="S223" s="114" t="s">
        <v>216</v>
      </c>
      <c r="T223" s="115" t="s">
        <v>578</v>
      </c>
      <c r="U223" s="414" t="s">
        <v>607</v>
      </c>
      <c r="V223" s="415" t="s">
        <v>608</v>
      </c>
      <c r="W223" s="416" t="s">
        <v>660</v>
      </c>
      <c r="X223" s="417" t="e">
        <f ca="1">R189+R422+R423</f>
        <v>#DIV/0!</v>
      </c>
      <c r="Y223" s="151" t="e">
        <f t="shared" ca="1" si="80"/>
        <v>#DIV/0!</v>
      </c>
      <c r="Z223" s="169" t="e">
        <f t="shared" ca="1" si="75"/>
        <v>#DIV/0!</v>
      </c>
      <c r="AA223" s="224"/>
      <c r="AB223" s="110" t="e">
        <f t="shared" ca="1" si="70"/>
        <v>#DIV/0!</v>
      </c>
      <c r="AC223" s="181"/>
      <c r="AD223" s="182"/>
      <c r="AE223" s="245"/>
      <c r="AF223" s="245"/>
      <c r="AL223" s="7" t="s">
        <v>136</v>
      </c>
      <c r="AM223" s="102">
        <v>552003</v>
      </c>
      <c r="AN223" s="103" t="s">
        <v>54</v>
      </c>
      <c r="AO223" s="104" t="e">
        <f t="shared" ca="1" si="72"/>
        <v>#DIV/0!</v>
      </c>
      <c r="AP223" s="49"/>
      <c r="AR223" s="112" t="str">
        <f t="shared" si="62"/>
        <v xml:space="preserve"> IMPRGE</v>
      </c>
      <c r="AS223" s="112" t="str">
        <f t="shared" si="73"/>
        <v>0451-63100</v>
      </c>
      <c r="AU223" s="108" t="e">
        <f t="shared" ca="1" si="74"/>
        <v>#DIV/0!</v>
      </c>
      <c r="AV223" s="7" t="s">
        <v>1</v>
      </c>
      <c r="AW223" s="7" t="s">
        <v>507</v>
      </c>
      <c r="BA223" s="407" t="s">
        <v>546</v>
      </c>
      <c r="BB223" s="407" t="s">
        <v>568</v>
      </c>
      <c r="BC223" s="407"/>
      <c r="BD223" s="407" t="s">
        <v>440</v>
      </c>
      <c r="BE223" s="408" t="e">
        <f t="shared" ca="1" si="81"/>
        <v>#DIV/0!</v>
      </c>
      <c r="BF223" s="408"/>
      <c r="BG223" s="408" t="e">
        <f t="shared" ref="BG223:BH236" ca="1" si="82">Y149</f>
        <v>#DIV/0!</v>
      </c>
      <c r="BH223" s="408" t="e">
        <f t="shared" ca="1" si="82"/>
        <v>#DIV/0!</v>
      </c>
      <c r="BI223" s="408"/>
    </row>
    <row r="224" spans="1:61" ht="12.75" customHeight="1">
      <c r="A224" s="664" t="s">
        <v>661</v>
      </c>
      <c r="B224" s="878"/>
      <c r="C224" s="595"/>
      <c r="D224" s="595"/>
      <c r="E224" s="595"/>
      <c r="F224" s="595"/>
      <c r="G224" s="595"/>
      <c r="H224" s="672"/>
      <c r="I224" s="672"/>
      <c r="J224" s="673"/>
      <c r="K224" s="568"/>
      <c r="L224" s="312"/>
      <c r="M224" s="664">
        <v>0</v>
      </c>
      <c r="N224" s="669">
        <v>35</v>
      </c>
      <c r="O224" s="669">
        <v>39</v>
      </c>
      <c r="P224" s="689"/>
      <c r="Q224" s="603"/>
      <c r="R224" s="569"/>
      <c r="S224" s="69"/>
      <c r="T224" s="69"/>
      <c r="U224" s="414" t="s">
        <v>607</v>
      </c>
      <c r="V224" s="415" t="s">
        <v>610</v>
      </c>
      <c r="W224" s="416" t="s">
        <v>611</v>
      </c>
      <c r="X224" s="417">
        <f ca="1">R417</f>
        <v>0</v>
      </c>
      <c r="Y224" s="151" t="e">
        <f t="shared" ca="1" si="80"/>
        <v>#DIV/0!</v>
      </c>
      <c r="Z224" s="169" t="e">
        <f t="shared" ca="1" si="75"/>
        <v>#DIV/0!</v>
      </c>
      <c r="AA224" s="224"/>
      <c r="AB224" s="110" t="e">
        <f t="shared" ca="1" si="70"/>
        <v>#DIV/0!</v>
      </c>
      <c r="AC224" s="181"/>
      <c r="AD224" s="418"/>
      <c r="AE224" s="245" t="s">
        <v>532</v>
      </c>
      <c r="AF224" s="245" t="s">
        <v>532</v>
      </c>
      <c r="AG224" s="49"/>
      <c r="AL224" s="7" t="s">
        <v>136</v>
      </c>
      <c r="AM224" s="102">
        <v>552003</v>
      </c>
      <c r="AN224" s="103" t="s">
        <v>54</v>
      </c>
      <c r="AO224" s="104" t="e">
        <f t="shared" ca="1" si="72"/>
        <v>#DIV/0!</v>
      </c>
      <c r="AP224" s="49"/>
      <c r="AR224" s="112" t="str">
        <f t="shared" si="62"/>
        <v xml:space="preserve"> PRE MACHINE</v>
      </c>
      <c r="AS224" s="112" t="str">
        <f t="shared" si="73"/>
        <v>0451-63100</v>
      </c>
      <c r="AU224" s="108" t="e">
        <f t="shared" ca="1" si="74"/>
        <v>#DIV/0!</v>
      </c>
      <c r="AV224" s="7" t="s">
        <v>1</v>
      </c>
      <c r="AW224" s="7" t="s">
        <v>507</v>
      </c>
      <c r="BA224" s="407" t="s">
        <v>546</v>
      </c>
      <c r="BB224" s="407" t="s">
        <v>571</v>
      </c>
      <c r="BC224" s="407"/>
      <c r="BD224" s="407" t="s">
        <v>440</v>
      </c>
      <c r="BE224" s="408" t="e">
        <f ca="1">X150</f>
        <v>#DIV/0!</v>
      </c>
      <c r="BF224" s="408"/>
      <c r="BG224" s="408" t="e">
        <f t="shared" ca="1" si="82"/>
        <v>#DIV/0!</v>
      </c>
      <c r="BH224" s="408" t="e">
        <f t="shared" ca="1" si="82"/>
        <v>#DIV/0!</v>
      </c>
      <c r="BI224" s="408"/>
    </row>
    <row r="225" spans="1:61" ht="12.75" customHeight="1">
      <c r="A225" s="879" t="s">
        <v>1251</v>
      </c>
      <c r="B225" s="880" t="s">
        <v>101</v>
      </c>
      <c r="C225" s="880">
        <v>1</v>
      </c>
      <c r="D225" s="654" t="s">
        <v>47</v>
      </c>
      <c r="E225" s="654"/>
      <c r="F225" s="654" t="s">
        <v>48</v>
      </c>
      <c r="G225" s="654" t="s">
        <v>49</v>
      </c>
      <c r="H225" s="655" cm="1">
        <f t="array" aca="1" ref="H225" ca="1">IFERROR(
    INDIRECT(
        "RawData!" &amp;
        ADDRESS(
            2,
            MATCH(
                TRIM(MID(A225, SEARCH(". ", A225) + 2, LEN(A225))) &amp; ".Import_kWh",
                RawData!$1:$1,
                0
            ),
            4
        )
    ),
    0
)</f>
        <v>0</v>
      </c>
      <c r="I225" s="655" cm="1">
        <f t="array" aca="1" ref="I225" ca="1">IFERROR(
    INDIRECT(
        "RawData!" &amp;
        ADDRESS(
            COUNTA(RawData!A:A),
            MATCH(
                TRIM(MID(A225, SEARCH(". ", A225) + 2, LEN(A225))) &amp; ".Import_kWh",
                RawData!$1:$1,
                0
            ),
            4
        )
    ),
    0
)</f>
        <v>0</v>
      </c>
      <c r="J225" s="680">
        <f ca="1">(I225-H225)*C225</f>
        <v>0</v>
      </c>
      <c r="K225" s="824" t="e">
        <f ca="1">J225*K$212/(J$213+J$225+J$243+J$267+J$272+J$257)</f>
        <v>#DIV/0!</v>
      </c>
      <c r="L225" s="681" t="e">
        <f ca="1">K225/J225</f>
        <v>#DIV/0!</v>
      </c>
      <c r="M225" s="881" t="e">
        <f ca="1">R227+R229+R231+R234+R237+R239+R242</f>
        <v>#DIV/0!</v>
      </c>
      <c r="N225" s="882"/>
      <c r="O225" s="882"/>
      <c r="P225" s="883"/>
      <c r="Q225" s="884"/>
      <c r="R225" s="885"/>
      <c r="S225" s="69"/>
      <c r="T225" s="69"/>
      <c r="U225" s="419" t="s">
        <v>130</v>
      </c>
      <c r="V225" s="420" t="s">
        <v>131</v>
      </c>
      <c r="W225" s="307" t="s">
        <v>92</v>
      </c>
      <c r="X225" s="199">
        <v>0</v>
      </c>
      <c r="Y225" s="151" t="e">
        <f t="shared" ca="1" si="80"/>
        <v>#DIV/0!</v>
      </c>
      <c r="Z225" s="169" t="e">
        <f t="shared" ca="1" si="75"/>
        <v>#DIV/0!</v>
      </c>
      <c r="AA225" s="224"/>
      <c r="AB225" s="110" t="e">
        <f t="shared" ca="1" si="70"/>
        <v>#DIV/0!</v>
      </c>
      <c r="AC225" s="181"/>
      <c r="AD225" s="418"/>
      <c r="AE225" s="245" t="s">
        <v>532</v>
      </c>
      <c r="AF225" s="245" t="s">
        <v>532</v>
      </c>
      <c r="AL225" s="7" t="s">
        <v>76</v>
      </c>
      <c r="AM225" s="102">
        <v>552003</v>
      </c>
      <c r="AN225" s="103" t="s">
        <v>54</v>
      </c>
      <c r="AO225" s="104" t="e">
        <f t="shared" ca="1" si="72"/>
        <v>#DIV/0!</v>
      </c>
      <c r="AP225" s="49"/>
      <c r="AR225" s="112" t="str">
        <f t="shared" si="62"/>
        <v xml:space="preserve"> TRIMMING OUTSOURCE บ.298</v>
      </c>
      <c r="AS225" s="112" t="str">
        <f t="shared" si="73"/>
        <v>0451-63000</v>
      </c>
      <c r="AU225" s="108" t="e">
        <f t="shared" ca="1" si="74"/>
        <v>#DIV/0!</v>
      </c>
      <c r="AV225" s="7" t="s">
        <v>1</v>
      </c>
      <c r="AW225" s="7" t="s">
        <v>507</v>
      </c>
      <c r="BA225" s="407" t="s">
        <v>546</v>
      </c>
      <c r="BB225" s="407" t="s">
        <v>574</v>
      </c>
      <c r="BC225" s="407"/>
      <c r="BD225" s="407" t="s">
        <v>440</v>
      </c>
      <c r="BE225" s="408" t="e">
        <f t="shared" ref="BE225:BE226" ca="1" si="83">X151</f>
        <v>#DIV/0!</v>
      </c>
      <c r="BF225" s="408"/>
      <c r="BG225" s="408" t="e">
        <f t="shared" ca="1" si="82"/>
        <v>#DIV/0!</v>
      </c>
      <c r="BH225" s="408" t="e">
        <f t="shared" ca="1" si="82"/>
        <v>#DIV/0!</v>
      </c>
      <c r="BI225" s="408"/>
    </row>
    <row r="226" spans="1:61" ht="12.75" customHeight="1">
      <c r="A226" s="555" t="s">
        <v>1177</v>
      </c>
      <c r="B226" s="595" t="s">
        <v>185</v>
      </c>
      <c r="C226" s="595">
        <v>1</v>
      </c>
      <c r="D226" s="595" t="s">
        <v>47</v>
      </c>
      <c r="E226" s="595"/>
      <c r="F226" s="595" t="s">
        <v>48</v>
      </c>
      <c r="G226" s="595" t="s">
        <v>49</v>
      </c>
      <c r="H226" s="665" cm="1">
        <f t="array" aca="1" ref="H226" ca="1">IFERROR(
    INDIRECT(
        "RawData!" &amp;
        ADDRESS(
            2,
            MATCH(
                TRIM(MID(A226, SEARCH(". ", A226) + 2, LEN(A226))) &amp; ".Import_kWh",
                RawData!$1:$1,
                0
            ),
            4
        )
    ),
    0
)</f>
        <v>0</v>
      </c>
      <c r="I226" s="665" cm="1">
        <f t="array" aca="1" ref="I226" ca="1">IFERROR(
    INDIRECT(
        "RawData!" &amp;
        ADDRESS(
            COUNTA(RawData!A:A),
            MATCH(
                TRIM(MID(A226, SEARCH(". ", A226) + 2, LEN(A226))) &amp; ".Import_kWh",
                RawData!$1:$1,
                0
            ),
            4
        )
    ),
    0
)</f>
        <v>0</v>
      </c>
      <c r="J226" s="666">
        <f ca="1">(I226-H226)*C226</f>
        <v>0</v>
      </c>
      <c r="K226" s="667">
        <f ca="1">J226</f>
        <v>0</v>
      </c>
      <c r="L226" s="312" t="e">
        <f ca="1">K226/J226</f>
        <v>#DIV/0!</v>
      </c>
      <c r="M226" s="668">
        <f ca="1">R227</f>
        <v>0</v>
      </c>
      <c r="N226" s="669"/>
      <c r="O226" s="669"/>
      <c r="P226" s="800"/>
      <c r="Q226" s="603"/>
      <c r="R226" s="569"/>
      <c r="S226" s="69"/>
      <c r="T226" s="69"/>
      <c r="U226" s="419" t="s">
        <v>130</v>
      </c>
      <c r="V226" s="369" t="s">
        <v>138</v>
      </c>
      <c r="W226" s="167" t="s">
        <v>92</v>
      </c>
      <c r="X226" s="151">
        <v>0</v>
      </c>
      <c r="Y226" s="151" t="e">
        <f t="shared" ca="1" si="80"/>
        <v>#DIV/0!</v>
      </c>
      <c r="Z226" s="169" t="e">
        <f t="shared" ca="1" si="75"/>
        <v>#DIV/0!</v>
      </c>
      <c r="AA226" s="224"/>
      <c r="AB226" s="110" t="e">
        <f t="shared" ca="1" si="70"/>
        <v>#DIV/0!</v>
      </c>
      <c r="AC226" s="181"/>
      <c r="AD226" s="182"/>
      <c r="AE226" s="245" t="s">
        <v>76</v>
      </c>
      <c r="AF226" s="245" t="s">
        <v>440</v>
      </c>
      <c r="AL226" s="7" t="s">
        <v>136</v>
      </c>
      <c r="AM226" s="102">
        <v>552003</v>
      </c>
      <c r="AN226" s="103" t="s">
        <v>54</v>
      </c>
      <c r="AO226" s="104" t="e">
        <f t="shared" ca="1" si="72"/>
        <v>#DIV/0!</v>
      </c>
      <c r="AP226" s="49"/>
      <c r="AR226" s="112" t="str">
        <f t="shared" si="62"/>
        <v xml:space="preserve"> TRIMMING OUTSOURCE บ.CNC</v>
      </c>
      <c r="AS226" s="112" t="str">
        <f t="shared" si="73"/>
        <v>0451-63000</v>
      </c>
      <c r="AU226" s="108" t="e">
        <f t="shared" ca="1" si="74"/>
        <v>#DIV/0!</v>
      </c>
      <c r="AV226" s="7" t="s">
        <v>1</v>
      </c>
      <c r="AW226" s="7" t="s">
        <v>507</v>
      </c>
      <c r="BA226" s="407" t="s">
        <v>546</v>
      </c>
      <c r="BB226" s="407" t="s">
        <v>579</v>
      </c>
      <c r="BC226" s="407"/>
      <c r="BD226" s="407" t="s">
        <v>440</v>
      </c>
      <c r="BE226" s="408" t="e">
        <f t="shared" ca="1" si="83"/>
        <v>#DIV/0!</v>
      </c>
      <c r="BF226" s="408"/>
      <c r="BG226" s="408" t="e">
        <f t="shared" ca="1" si="82"/>
        <v>#DIV/0!</v>
      </c>
      <c r="BH226" s="408" t="e">
        <f t="shared" ca="1" si="82"/>
        <v>#DIV/0!</v>
      </c>
      <c r="BI226" s="408"/>
    </row>
    <row r="227" spans="1:61" ht="12.75" customHeight="1">
      <c r="A227" s="664" t="s">
        <v>662</v>
      </c>
      <c r="B227" s="595"/>
      <c r="C227" s="595"/>
      <c r="D227" s="595"/>
      <c r="E227" s="595"/>
      <c r="F227" s="595"/>
      <c r="G227" s="595"/>
      <c r="H227" s="724"/>
      <c r="I227" s="724"/>
      <c r="J227" s="666"/>
      <c r="K227" s="667"/>
      <c r="L227" s="312"/>
      <c r="M227" s="570">
        <f>8.5+10.2+10.2+8.5+28.64+28.64+28.64+28.64+4.25+13.6</f>
        <v>169.80999999999997</v>
      </c>
      <c r="N227" s="669">
        <v>29</v>
      </c>
      <c r="O227" s="669">
        <v>43</v>
      </c>
      <c r="P227" s="689">
        <f>M227*O227</f>
        <v>7301.829999999999</v>
      </c>
      <c r="Q227" s="603"/>
      <c r="R227" s="569">
        <f ca="1">K226</f>
        <v>0</v>
      </c>
      <c r="S227" s="114" t="s">
        <v>266</v>
      </c>
      <c r="T227" s="115" t="s">
        <v>267</v>
      </c>
      <c r="U227" s="178" t="s">
        <v>130</v>
      </c>
      <c r="V227" s="406" t="s">
        <v>257</v>
      </c>
      <c r="W227" s="167" t="s">
        <v>92</v>
      </c>
      <c r="X227" s="151">
        <f ca="1">R547+R531</f>
        <v>0</v>
      </c>
      <c r="Y227" s="151" t="e">
        <f t="shared" ca="1" si="80"/>
        <v>#DIV/0!</v>
      </c>
      <c r="Z227" s="169" t="e">
        <f t="shared" ca="1" si="75"/>
        <v>#DIV/0!</v>
      </c>
      <c r="AA227" s="224"/>
      <c r="AB227" s="110" t="e">
        <f t="shared" ca="1" si="70"/>
        <v>#DIV/0!</v>
      </c>
      <c r="AC227" s="181"/>
      <c r="AD227" s="182"/>
      <c r="AE227" s="245" t="s">
        <v>532</v>
      </c>
      <c r="AF227" s="245" t="s">
        <v>532</v>
      </c>
      <c r="AL227" s="7" t="s">
        <v>136</v>
      </c>
      <c r="AM227" s="102">
        <v>552003</v>
      </c>
      <c r="AN227" s="103" t="s">
        <v>54</v>
      </c>
      <c r="AO227" s="104" t="e">
        <f t="shared" ca="1" si="72"/>
        <v>#DIV/0!</v>
      </c>
      <c r="AP227" s="49"/>
      <c r="AR227" s="112" t="str">
        <f t="shared" si="62"/>
        <v xml:space="preserve"> TRIMMING OUTSOURCE บ.TRIMMING 2552 (DC1)</v>
      </c>
      <c r="AS227" s="112" t="str">
        <f t="shared" si="73"/>
        <v>0451-63000</v>
      </c>
      <c r="AU227" s="108" t="e">
        <f t="shared" ca="1" si="74"/>
        <v>#DIV/0!</v>
      </c>
      <c r="AV227" s="7" t="s">
        <v>1</v>
      </c>
      <c r="AW227" s="7" t="s">
        <v>507</v>
      </c>
      <c r="BA227" s="407" t="s">
        <v>583</v>
      </c>
      <c r="BB227" s="407" t="s">
        <v>582</v>
      </c>
      <c r="BC227" s="407"/>
      <c r="BD227" s="407" t="s">
        <v>440</v>
      </c>
      <c r="BE227" s="408" t="e">
        <f ca="1">X153</f>
        <v>#DIV/0!</v>
      </c>
      <c r="BF227" s="408"/>
      <c r="BG227" s="408" t="e">
        <f t="shared" ca="1" si="82"/>
        <v>#DIV/0!</v>
      </c>
      <c r="BH227" s="408" t="e">
        <f t="shared" ca="1" si="82"/>
        <v>#DIV/0!</v>
      </c>
      <c r="BI227" s="408"/>
    </row>
    <row r="228" spans="1:61" ht="12.75" customHeight="1">
      <c r="A228" s="555" t="s">
        <v>1178</v>
      </c>
      <c r="B228" s="595"/>
      <c r="C228" s="595">
        <v>1</v>
      </c>
      <c r="D228" s="595" t="s">
        <v>47</v>
      </c>
      <c r="E228" s="595"/>
      <c r="F228" s="595" t="s">
        <v>48</v>
      </c>
      <c r="G228" s="595" t="s">
        <v>49</v>
      </c>
      <c r="H228" s="665" cm="1">
        <f t="array" aca="1" ref="H228" ca="1">IFERROR(
    INDIRECT(
        "RawData!" &amp;
        ADDRESS(
            2,
            MATCH(
                TRIM(MID(A228, SEARCH(". ", A228) + 2, LEN(A228))) &amp; ".Import_kWh",
                RawData!$1:$1,
                0
            ),
            4
        )
    ),
    0
)</f>
        <v>0</v>
      </c>
      <c r="I228" s="665" cm="1">
        <f t="array" aca="1" ref="I228" ca="1">IFERROR(
    INDIRECT(
        "RawData!" &amp;
        ADDRESS(
            COUNTA(RawData!A:A),
            MATCH(
                TRIM(MID(A228, SEARCH(". ", A228) + 2, LEN(A228))) &amp; ".Import_kWh",
                RawData!$1:$1,
                0
            ),
            4
        )
    ),
    0
)</f>
        <v>0</v>
      </c>
      <c r="J228" s="666">
        <f ca="1">(I228-H228)*C228</f>
        <v>0</v>
      </c>
      <c r="K228" s="667">
        <f ca="1">J228</f>
        <v>0</v>
      </c>
      <c r="L228" s="312" t="e">
        <f ca="1">K228/J228</f>
        <v>#DIV/0!</v>
      </c>
      <c r="M228" s="877">
        <f ca="1">R229</f>
        <v>0</v>
      </c>
      <c r="N228" s="669"/>
      <c r="O228" s="669"/>
      <c r="P228" s="800"/>
      <c r="Q228" s="603"/>
      <c r="R228" s="569"/>
      <c r="S228" s="69"/>
      <c r="T228" s="69"/>
      <c r="U228" s="178" t="s">
        <v>223</v>
      </c>
      <c r="V228" s="156" t="s">
        <v>646</v>
      </c>
      <c r="W228" s="307" t="s">
        <v>75</v>
      </c>
      <c r="X228" s="151" t="e">
        <f ca="1">(R316+R327+R367)*11%</f>
        <v>#DIV/0!</v>
      </c>
      <c r="Y228" s="151"/>
      <c r="Z228" s="120" t="e">
        <f ca="1">X228</f>
        <v>#DIV/0!</v>
      </c>
      <c r="AA228" s="224"/>
      <c r="AB228" s="110" t="e">
        <f t="shared" ca="1" si="70"/>
        <v>#DIV/0!</v>
      </c>
      <c r="AC228" s="181"/>
      <c r="AD228" s="182"/>
      <c r="AE228" s="245" t="s">
        <v>532</v>
      </c>
      <c r="AF228" s="245" t="s">
        <v>532</v>
      </c>
      <c r="AL228" s="7" t="s">
        <v>136</v>
      </c>
      <c r="AM228" s="102">
        <v>552003</v>
      </c>
      <c r="AN228" s="103" t="s">
        <v>54</v>
      </c>
      <c r="AO228" s="104" t="e">
        <f t="shared" ca="1" si="72"/>
        <v>#DIV/0!</v>
      </c>
      <c r="AP228" s="49"/>
      <c r="AR228" s="112" t="str">
        <f t="shared" si="62"/>
        <v xml:space="preserve"> ระบบไฟฟ้าอาคาร DC 2 zone TRIMMING</v>
      </c>
      <c r="AS228" s="112" t="str">
        <f t="shared" si="73"/>
        <v>0451-03100</v>
      </c>
      <c r="AU228" s="108" t="e">
        <f t="shared" ca="1" si="74"/>
        <v>#DIV/0!</v>
      </c>
      <c r="AV228" s="7" t="s">
        <v>1</v>
      </c>
      <c r="AW228" s="7" t="s">
        <v>507</v>
      </c>
      <c r="BA228" s="407" t="s">
        <v>583</v>
      </c>
      <c r="BB228" s="407" t="s">
        <v>584</v>
      </c>
      <c r="BC228" s="407"/>
      <c r="BD228" s="407" t="s">
        <v>440</v>
      </c>
      <c r="BE228" s="408" t="e">
        <f t="shared" ref="BE228:BE230" ca="1" si="84">X154</f>
        <v>#DIV/0!</v>
      </c>
      <c r="BF228" s="408"/>
      <c r="BG228" s="408" t="e">
        <f t="shared" ca="1" si="82"/>
        <v>#DIV/0!</v>
      </c>
      <c r="BH228" s="408" t="e">
        <f t="shared" ca="1" si="82"/>
        <v>#DIV/0!</v>
      </c>
      <c r="BI228" s="408"/>
    </row>
    <row r="229" spans="1:61" ht="12.75" customHeight="1">
      <c r="A229" s="664" t="s">
        <v>663</v>
      </c>
      <c r="B229" s="613"/>
      <c r="C229" s="613"/>
      <c r="D229" s="613"/>
      <c r="E229" s="613"/>
      <c r="F229" s="613"/>
      <c r="G229" s="613"/>
      <c r="H229" s="809"/>
      <c r="I229" s="809"/>
      <c r="J229" s="666"/>
      <c r="K229" s="667"/>
      <c r="L229" s="312"/>
      <c r="M229" s="688"/>
      <c r="N229" s="735">
        <v>27</v>
      </c>
      <c r="O229" s="735">
        <v>41</v>
      </c>
      <c r="P229" s="800"/>
      <c r="Q229" s="603"/>
      <c r="R229" s="569">
        <f ca="1">K228</f>
        <v>0</v>
      </c>
      <c r="S229" s="114" t="s">
        <v>279</v>
      </c>
      <c r="T229" s="115" t="s">
        <v>280</v>
      </c>
      <c r="U229" s="419" t="s">
        <v>130</v>
      </c>
      <c r="V229" s="420" t="s">
        <v>142</v>
      </c>
      <c r="W229" s="307" t="s">
        <v>92</v>
      </c>
      <c r="X229" s="151">
        <f>R340</f>
        <v>0</v>
      </c>
      <c r="Y229" s="151" t="e">
        <f ca="1">(X229/$AI$10)*100</f>
        <v>#DIV/0!</v>
      </c>
      <c r="Z229" s="169" t="e">
        <f ca="1">X229+(Y229*$AI$7)/100</f>
        <v>#DIV/0!</v>
      </c>
      <c r="AA229" s="224"/>
      <c r="AB229" s="110" t="e">
        <f t="shared" ca="1" si="70"/>
        <v>#DIV/0!</v>
      </c>
      <c r="AC229" s="181"/>
      <c r="AD229" s="182"/>
      <c r="AE229" s="245" t="s">
        <v>136</v>
      </c>
      <c r="AF229" s="421" t="s">
        <v>463</v>
      </c>
      <c r="AL229" s="7" t="s">
        <v>136</v>
      </c>
      <c r="AM229" s="102">
        <v>552003</v>
      </c>
      <c r="AN229" s="103" t="s">
        <v>54</v>
      </c>
      <c r="AO229" s="104" t="e">
        <f t="shared" ca="1" si="72"/>
        <v>#DIV/0!</v>
      </c>
      <c r="AP229" s="49"/>
      <c r="AR229" s="112" t="str">
        <f t="shared" si="62"/>
        <v xml:space="preserve"> SHOT BLAST M/C </v>
      </c>
      <c r="AS229" s="112" t="str">
        <f t="shared" si="73"/>
        <v>0451-63000</v>
      </c>
      <c r="AU229" s="108" t="e">
        <f t="shared" ca="1" si="74"/>
        <v>#DIV/0!</v>
      </c>
      <c r="AV229" s="7" t="s">
        <v>1</v>
      </c>
      <c r="AW229" s="7" t="s">
        <v>507</v>
      </c>
      <c r="BA229" s="407" t="s">
        <v>583</v>
      </c>
      <c r="BB229" s="407" t="s">
        <v>586</v>
      </c>
      <c r="BC229" s="407"/>
      <c r="BD229" s="407" t="s">
        <v>440</v>
      </c>
      <c r="BE229" s="408">
        <f t="shared" ca="1" si="84"/>
        <v>0</v>
      </c>
      <c r="BF229" s="408"/>
      <c r="BG229" s="408" t="e">
        <f t="shared" ca="1" si="82"/>
        <v>#DIV/0!</v>
      </c>
      <c r="BH229" s="408" t="e">
        <f t="shared" ca="1" si="82"/>
        <v>#DIV/0!</v>
      </c>
      <c r="BI229" s="408"/>
    </row>
    <row r="230" spans="1:61" ht="12.75" customHeight="1">
      <c r="A230" s="664"/>
      <c r="B230" s="595"/>
      <c r="C230" s="595"/>
      <c r="D230" s="595"/>
      <c r="E230" s="595"/>
      <c r="F230" s="595"/>
      <c r="G230" s="595"/>
      <c r="H230" s="724"/>
      <c r="I230" s="724"/>
      <c r="J230" s="666"/>
      <c r="K230" s="667"/>
      <c r="L230" s="312"/>
      <c r="M230" s="667"/>
      <c r="N230" s="669"/>
      <c r="O230" s="669"/>
      <c r="P230" s="689"/>
      <c r="Q230" s="603"/>
      <c r="R230" s="569"/>
      <c r="S230" s="69"/>
      <c r="T230" s="69"/>
      <c r="U230" s="419" t="s">
        <v>664</v>
      </c>
      <c r="V230" s="420" t="s">
        <v>665</v>
      </c>
      <c r="W230" s="307" t="s">
        <v>440</v>
      </c>
      <c r="X230" s="151">
        <v>0</v>
      </c>
      <c r="Y230" s="151" t="e">
        <f ca="1">(X230/$AI$10)*100</f>
        <v>#DIV/0!</v>
      </c>
      <c r="Z230" s="169" t="e">
        <f ca="1">X230+(Y230*$AI$7)/100</f>
        <v>#DIV/0!</v>
      </c>
      <c r="AA230" s="224"/>
      <c r="AB230" s="110" t="e">
        <f t="shared" ca="1" si="70"/>
        <v>#DIV/0!</v>
      </c>
      <c r="AC230" s="181"/>
      <c r="AD230" s="182"/>
      <c r="AE230" s="245" t="s">
        <v>136</v>
      </c>
      <c r="AF230" s="421" t="s">
        <v>440</v>
      </c>
      <c r="AL230" s="7" t="s">
        <v>136</v>
      </c>
      <c r="AM230" s="102">
        <v>552003</v>
      </c>
      <c r="AN230" s="103" t="s">
        <v>54</v>
      </c>
      <c r="AO230" s="104" t="e">
        <f t="shared" ca="1" si="72"/>
        <v>#DIV/0!</v>
      </c>
      <c r="AP230" s="49"/>
      <c r="AR230" s="112" t="str">
        <f t="shared" si="62"/>
        <v xml:space="preserve"> LINE TRIMMING NEW DC1</v>
      </c>
      <c r="AS230" s="112" t="str">
        <f t="shared" si="73"/>
        <v>0451-64000</v>
      </c>
      <c r="AU230" s="108" t="e">
        <f t="shared" ca="1" si="74"/>
        <v>#DIV/0!</v>
      </c>
      <c r="AV230" s="7" t="s">
        <v>1</v>
      </c>
      <c r="AW230" s="7" t="s">
        <v>507</v>
      </c>
      <c r="BA230" s="407" t="s">
        <v>583</v>
      </c>
      <c r="BB230" s="407" t="s">
        <v>588</v>
      </c>
      <c r="BC230" s="407"/>
      <c r="BD230" s="407" t="s">
        <v>440</v>
      </c>
      <c r="BE230" s="408" t="e">
        <f t="shared" ca="1" si="84"/>
        <v>#DIV/0!</v>
      </c>
      <c r="BF230" s="408"/>
      <c r="BG230" s="408" t="e">
        <f t="shared" ca="1" si="82"/>
        <v>#DIV/0!</v>
      </c>
      <c r="BH230" s="408" t="e">
        <f t="shared" ca="1" si="82"/>
        <v>#DIV/0!</v>
      </c>
      <c r="BI230" s="408"/>
    </row>
    <row r="231" spans="1:61" ht="12.75" customHeight="1">
      <c r="A231" s="804" t="s">
        <v>1179</v>
      </c>
      <c r="B231" s="696"/>
      <c r="C231" s="696">
        <v>1</v>
      </c>
      <c r="D231" s="696" t="s">
        <v>47</v>
      </c>
      <c r="E231" s="696"/>
      <c r="F231" s="696" t="s">
        <v>48</v>
      </c>
      <c r="G231" s="696" t="s">
        <v>49</v>
      </c>
      <c r="H231" s="737" cm="1">
        <f t="array" aca="1" ref="H231" ca="1">IFERROR(
    INDIRECT(
        "RawData!" &amp;
        ADDRESS(
            2,
            MATCH(
                TRIM(MID(A231, SEARCH(". ", A231) + 2, LEN(A231))) &amp; ".Import_kWh",
                RawData!$1:$1,
                0
            ),
            4
        )
    ),
    0
)</f>
        <v>0</v>
      </c>
      <c r="I231" s="886" cm="1">
        <f t="array" aca="1" ref="I231" ca="1">IFERROR(
    INDIRECT(
        "RawData!" &amp;
        ADDRESS(
            COUNTA(RawData!A:A),
            MATCH(
                TRIM(MID(A231, SEARCH(". ", A231) + 2, LEN(A231))) &amp; ".Import_kWh",
                RawData!$1:$1,
                0
            ),
            4
        )
    ),
    0
)</f>
        <v>0</v>
      </c>
      <c r="J231" s="742">
        <f ca="1">(I231-H231)*C231</f>
        <v>0</v>
      </c>
      <c r="K231" s="743">
        <f ca="1">J231</f>
        <v>0</v>
      </c>
      <c r="L231" s="700"/>
      <c r="M231" s="743"/>
      <c r="N231" s="887"/>
      <c r="O231" s="887"/>
      <c r="P231" s="888"/>
      <c r="Q231" s="843"/>
      <c r="R231" s="704">
        <f ca="1">K231</f>
        <v>0</v>
      </c>
      <c r="S231" s="69"/>
      <c r="T231" s="69"/>
      <c r="U231" s="178" t="s">
        <v>415</v>
      </c>
      <c r="V231" s="156" t="s">
        <v>416</v>
      </c>
      <c r="W231" s="307" t="s">
        <v>343</v>
      </c>
      <c r="X231" s="151">
        <v>0</v>
      </c>
      <c r="Y231" s="151" t="e">
        <f ca="1">(X231/$AI$10)*100</f>
        <v>#DIV/0!</v>
      </c>
      <c r="Z231" s="169" t="e">
        <f ca="1">X231+(Y231*$AI$7)/100</f>
        <v>#DIV/0!</v>
      </c>
      <c r="AA231" s="224"/>
      <c r="AB231" s="110" t="e">
        <f t="shared" ca="1" si="70"/>
        <v>#DIV/0!</v>
      </c>
      <c r="AC231" s="181"/>
      <c r="AD231" s="182"/>
      <c r="AE231" s="245" t="s">
        <v>136</v>
      </c>
      <c r="AF231" s="421" t="s">
        <v>429</v>
      </c>
      <c r="AH231" s="422" t="e">
        <f ca="1">AO236-AB234</f>
        <v>#DIV/0!</v>
      </c>
      <c r="AL231" s="7" t="s">
        <v>136</v>
      </c>
      <c r="AM231" s="102">
        <v>552003</v>
      </c>
      <c r="AN231" s="103" t="s">
        <v>54</v>
      </c>
      <c r="AO231" s="104" t="e">
        <f t="shared" ca="1" si="72"/>
        <v>#DIV/0!</v>
      </c>
      <c r="AP231" s="49"/>
      <c r="AR231" s="112" t="str">
        <f t="shared" si="62"/>
        <v xml:space="preserve"> LINE TRIMMING TEP GC 2</v>
      </c>
      <c r="AS231" s="112" t="str">
        <f t="shared" si="73"/>
        <v>0451-67300</v>
      </c>
      <c r="AU231" s="108" t="e">
        <f t="shared" ca="1" si="74"/>
        <v>#DIV/0!</v>
      </c>
      <c r="AV231" s="7" t="s">
        <v>1</v>
      </c>
      <c r="AW231" s="7" t="s">
        <v>507</v>
      </c>
      <c r="BA231" s="407" t="s">
        <v>583</v>
      </c>
      <c r="BB231" s="407" t="s">
        <v>589</v>
      </c>
      <c r="BC231" s="407"/>
      <c r="BD231" s="407" t="s">
        <v>440</v>
      </c>
      <c r="BE231" s="408">
        <f ca="1">X157</f>
        <v>0</v>
      </c>
      <c r="BF231" s="408"/>
      <c r="BG231" s="408">
        <f t="shared" si="82"/>
        <v>0</v>
      </c>
      <c r="BH231" s="408" t="e">
        <f t="shared" ca="1" si="82"/>
        <v>#DIV/0!</v>
      </c>
      <c r="BI231" s="408"/>
    </row>
    <row r="232" spans="1:61" ht="12.75" customHeight="1">
      <c r="A232" s="664" t="s">
        <v>666</v>
      </c>
      <c r="B232" s="595"/>
      <c r="C232" s="595"/>
      <c r="D232" s="595"/>
      <c r="E232" s="595"/>
      <c r="F232" s="595"/>
      <c r="G232" s="595"/>
      <c r="H232" s="724"/>
      <c r="I232" s="724"/>
      <c r="J232" s="666"/>
      <c r="K232" s="667"/>
      <c r="L232" s="312"/>
      <c r="M232" s="732">
        <f>2.8+3.66+0.92+1.1+0.08+32+0.08+1.2</f>
        <v>41.84</v>
      </c>
      <c r="N232" s="727">
        <v>1</v>
      </c>
      <c r="O232" s="727">
        <v>1</v>
      </c>
      <c r="P232" s="800"/>
      <c r="Q232" s="603"/>
      <c r="R232" s="569"/>
      <c r="S232" s="114" t="s">
        <v>296</v>
      </c>
      <c r="T232" s="115" t="s">
        <v>297</v>
      </c>
      <c r="U232" s="178" t="s">
        <v>667</v>
      </c>
      <c r="V232" s="423" t="s">
        <v>668</v>
      </c>
      <c r="W232" s="307" t="s">
        <v>440</v>
      </c>
      <c r="X232" s="151" t="e">
        <f ca="1">R315+R341+R337</f>
        <v>#DIV/0!</v>
      </c>
      <c r="Y232" s="151" t="e">
        <f ca="1">(X232/$AI$10)*100</f>
        <v>#DIV/0!</v>
      </c>
      <c r="Z232" s="169" t="e">
        <f ca="1">X232+(Y232*$AI$7)/100</f>
        <v>#DIV/0!</v>
      </c>
      <c r="AA232" s="224"/>
      <c r="AB232" s="110" t="e">
        <f t="shared" ca="1" si="70"/>
        <v>#DIV/0!</v>
      </c>
      <c r="AC232" s="181"/>
      <c r="AD232" s="182"/>
      <c r="AE232" s="424"/>
      <c r="AF232" s="10"/>
      <c r="AL232" s="7" t="s">
        <v>136</v>
      </c>
      <c r="AM232" s="102">
        <v>552003</v>
      </c>
      <c r="AN232" s="103" t="s">
        <v>54</v>
      </c>
      <c r="AO232" s="104" t="e">
        <f t="shared" ca="1" si="72"/>
        <v>#DIV/0!</v>
      </c>
      <c r="AP232" s="49"/>
      <c r="AR232" s="112" t="str">
        <f t="shared" si="62"/>
        <v xml:space="preserve"> LINE TRIMMING DC 2 OUTSOURCE</v>
      </c>
      <c r="AS232" s="112" t="str">
        <f t="shared" si="73"/>
        <v>0451-75000</v>
      </c>
      <c r="AU232" s="108" t="e">
        <f t="shared" ca="1" si="74"/>
        <v>#DIV/0!</v>
      </c>
      <c r="AV232" s="7" t="s">
        <v>1</v>
      </c>
      <c r="AW232" s="7" t="s">
        <v>507</v>
      </c>
      <c r="BA232" s="407" t="s">
        <v>583</v>
      </c>
      <c r="BB232" s="407" t="s">
        <v>590</v>
      </c>
      <c r="BC232" s="407"/>
      <c r="BD232" s="407" t="s">
        <v>440</v>
      </c>
      <c r="BE232" s="408">
        <f t="shared" ref="BE232:BE233" ca="1" si="85">X158</f>
        <v>0</v>
      </c>
      <c r="BF232" s="408"/>
      <c r="BG232" s="408">
        <f t="shared" si="82"/>
        <v>0</v>
      </c>
      <c r="BH232" s="408" t="e">
        <f t="shared" ca="1" si="82"/>
        <v>#DIV/0!</v>
      </c>
      <c r="BI232" s="408"/>
    </row>
    <row r="233" spans="1:61" ht="12.75" customHeight="1">
      <c r="A233" s="664" t="s">
        <v>1180</v>
      </c>
      <c r="B233" s="595" t="s">
        <v>512</v>
      </c>
      <c r="C233" s="595">
        <v>1</v>
      </c>
      <c r="D233" s="595" t="s">
        <v>47</v>
      </c>
      <c r="E233" s="595"/>
      <c r="F233" s="595" t="s">
        <v>48</v>
      </c>
      <c r="G233" s="595" t="s">
        <v>49</v>
      </c>
      <c r="H233" s="665" cm="1">
        <f t="array" aca="1" ref="H233" ca="1">IFERROR(
    INDIRECT(
        "RawData!" &amp;
        ADDRESS(
            2,
            MATCH(
                TRIM(MID(A233, SEARCH(". ", A233) + 2, LEN(A233))) &amp; ".Import_kWh",
                RawData!$1:$1,
                0
            ),
            4
        )
    ),
    0
)</f>
        <v>0</v>
      </c>
      <c r="I233" s="665" cm="1">
        <f t="array" aca="1" ref="I233" ca="1">IFERROR(
    INDIRECT(
        "RawData!" &amp;
        ADDRESS(
            COUNTA(RawData!A:A),
            MATCH(
                TRIM(MID(A233, SEARCH(". ", A233) + 2, LEN(A233))) &amp; ".Import_kWh",
                RawData!$1:$1,
                0
            ),
            4
        )
    ),
    0
)</f>
        <v>0</v>
      </c>
      <c r="J233" s="666">
        <f ca="1">(I233-H233)*C233</f>
        <v>0</v>
      </c>
      <c r="K233" s="667">
        <f ca="1">J233</f>
        <v>0</v>
      </c>
      <c r="L233" s="840" t="e">
        <f ca="1">K233/J233</f>
        <v>#DIV/0!</v>
      </c>
      <c r="M233" s="825">
        <f ca="1">R234</f>
        <v>0</v>
      </c>
      <c r="N233" s="727"/>
      <c r="O233" s="727"/>
      <c r="P233" s="568"/>
      <c r="Q233" s="603"/>
      <c r="R233" s="569"/>
      <c r="U233" s="425" t="s">
        <v>542</v>
      </c>
      <c r="V233" s="426" t="s">
        <v>543</v>
      </c>
      <c r="W233" s="427" t="s">
        <v>429</v>
      </c>
      <c r="X233" s="428">
        <v>0</v>
      </c>
      <c r="Y233" s="428" t="e">
        <f ca="1">(X233/$AI$10)*100</f>
        <v>#DIV/0!</v>
      </c>
      <c r="Z233" s="429" t="e">
        <f ca="1">X233+(Y233*$AI$7)/100</f>
        <v>#DIV/0!</v>
      </c>
      <c r="AA233" s="430"/>
      <c r="AB233" s="431" t="e">
        <f t="shared" ca="1" si="70"/>
        <v>#DIV/0!</v>
      </c>
      <c r="AC233" s="432"/>
      <c r="AD233" s="433"/>
      <c r="AE233" s="49"/>
      <c r="AL233" s="7" t="s">
        <v>136</v>
      </c>
      <c r="AM233" s="102"/>
      <c r="AN233" s="103"/>
      <c r="AO233" s="104"/>
      <c r="AP233" s="49"/>
      <c r="AR233" s="112" t="str">
        <f t="shared" si="62"/>
        <v xml:space="preserve"> LINE TRIMMING TEP DC 3 </v>
      </c>
      <c r="AS233" s="112" t="str">
        <f t="shared" si="73"/>
        <v>0451-65000</v>
      </c>
      <c r="AU233" s="108" t="e">
        <f t="shared" ca="1" si="74"/>
        <v>#DIV/0!</v>
      </c>
      <c r="AV233" s="7" t="s">
        <v>1</v>
      </c>
      <c r="BA233" s="407" t="s">
        <v>583</v>
      </c>
      <c r="BB233" s="407" t="s">
        <v>591</v>
      </c>
      <c r="BC233" s="407"/>
      <c r="BD233" s="407" t="s">
        <v>440</v>
      </c>
      <c r="BE233" s="408">
        <f t="shared" ca="1" si="85"/>
        <v>0</v>
      </c>
      <c r="BF233" s="408"/>
      <c r="BG233" s="408">
        <f t="shared" si="82"/>
        <v>0</v>
      </c>
      <c r="BH233" s="408" t="e">
        <f t="shared" ca="1" si="82"/>
        <v>#DIV/0!</v>
      </c>
      <c r="BI233" s="408"/>
    </row>
    <row r="234" spans="1:61" ht="12.75" customHeight="1">
      <c r="A234" s="664" t="s">
        <v>663</v>
      </c>
      <c r="B234" s="595"/>
      <c r="C234" s="595"/>
      <c r="D234" s="595"/>
      <c r="E234" s="595"/>
      <c r="F234" s="595"/>
      <c r="G234" s="595"/>
      <c r="H234" s="889"/>
      <c r="I234" s="889"/>
      <c r="J234" s="666"/>
      <c r="K234" s="667"/>
      <c r="L234" s="840"/>
      <c r="M234" s="667"/>
      <c r="N234" s="735">
        <v>27</v>
      </c>
      <c r="O234" s="735">
        <v>41</v>
      </c>
      <c r="P234" s="689"/>
      <c r="Q234" s="603"/>
      <c r="R234" s="569">
        <f ca="1">K233</f>
        <v>0</v>
      </c>
      <c r="S234" s="114" t="s">
        <v>279</v>
      </c>
      <c r="T234" s="115" t="s">
        <v>280</v>
      </c>
      <c r="U234" s="434"/>
      <c r="V234" s="435" t="s">
        <v>36</v>
      </c>
      <c r="W234" s="435"/>
      <c r="X234" s="436" t="e">
        <f ca="1">SUM(X6:X233)</f>
        <v>#DIV/0!</v>
      </c>
      <c r="Y234" s="437" t="e">
        <f ca="1">SUM(Y18:Y233)</f>
        <v>#DIV/0!</v>
      </c>
      <c r="Z234" s="436" t="e">
        <f ca="1">SUM(Z6:Z233)</f>
        <v>#DIV/0!</v>
      </c>
      <c r="AA234" s="438" t="e">
        <f ca="1">Z5-Z234</f>
        <v>#DIV/0!</v>
      </c>
      <c r="AB234" s="439" t="e">
        <f ca="1">SUM(AB6:AB233)</f>
        <v>#DIV/0!</v>
      </c>
      <c r="AC234" s="422"/>
      <c r="AD234" s="79"/>
      <c r="AE234" s="49"/>
      <c r="AM234" s="102"/>
      <c r="AN234" s="103"/>
      <c r="AO234" s="104"/>
      <c r="AP234" s="49"/>
      <c r="AR234" s="112"/>
      <c r="AS234" s="112"/>
      <c r="AU234" s="108"/>
      <c r="BA234" s="407" t="s">
        <v>593</v>
      </c>
      <c r="BB234" s="407" t="s">
        <v>594</v>
      </c>
      <c r="BC234" s="407"/>
      <c r="BD234" s="407" t="s">
        <v>440</v>
      </c>
      <c r="BE234" s="408" t="e">
        <f ca="1">X160</f>
        <v>#DIV/0!</v>
      </c>
      <c r="BF234" s="408"/>
      <c r="BG234" s="408" t="e">
        <f t="shared" ca="1" si="82"/>
        <v>#DIV/0!</v>
      </c>
      <c r="BH234" s="408" t="e">
        <f t="shared" ca="1" si="82"/>
        <v>#DIV/0!</v>
      </c>
      <c r="BI234" s="408"/>
    </row>
    <row r="235" spans="1:61" ht="12.75" customHeight="1">
      <c r="A235" s="664"/>
      <c r="B235" s="595"/>
      <c r="C235" s="595"/>
      <c r="D235" s="595"/>
      <c r="E235" s="595"/>
      <c r="F235" s="595"/>
      <c r="G235" s="595"/>
      <c r="H235" s="889"/>
      <c r="I235" s="889"/>
      <c r="J235" s="666"/>
      <c r="K235" s="667"/>
      <c r="L235" s="840"/>
      <c r="M235" s="667"/>
      <c r="N235" s="735"/>
      <c r="O235" s="735"/>
      <c r="P235" s="689"/>
      <c r="Q235" s="603"/>
      <c r="R235" s="569"/>
      <c r="S235" s="69"/>
      <c r="T235" s="69"/>
      <c r="X235" s="79"/>
      <c r="AA235" s="440"/>
      <c r="AB235" s="49"/>
      <c r="AC235" s="422"/>
      <c r="AD235" s="49"/>
      <c r="AE235" s="49"/>
      <c r="BA235" s="407" t="s">
        <v>593</v>
      </c>
      <c r="BB235" s="407" t="s">
        <v>596</v>
      </c>
      <c r="BC235" s="407"/>
      <c r="BD235" s="407" t="s">
        <v>440</v>
      </c>
      <c r="BE235" s="408" t="e">
        <f t="shared" ref="BE235:BE236" ca="1" si="86">X161</f>
        <v>#DIV/0!</v>
      </c>
      <c r="BF235" s="408"/>
      <c r="BG235" s="408" t="e">
        <f t="shared" ca="1" si="82"/>
        <v>#DIV/0!</v>
      </c>
      <c r="BH235" s="408" t="e">
        <f t="shared" ca="1" si="82"/>
        <v>#DIV/0!</v>
      </c>
      <c r="BI235" s="408"/>
    </row>
    <row r="236" spans="1:61" ht="12.75" customHeight="1">
      <c r="A236" s="664" t="s">
        <v>1181</v>
      </c>
      <c r="B236" s="613" t="s">
        <v>185</v>
      </c>
      <c r="C236" s="613">
        <v>1</v>
      </c>
      <c r="D236" s="595" t="s">
        <v>47</v>
      </c>
      <c r="E236" s="595"/>
      <c r="F236" s="595" t="s">
        <v>48</v>
      </c>
      <c r="G236" s="595" t="s">
        <v>49</v>
      </c>
      <c r="H236" s="665" cm="1">
        <f t="array" aca="1" ref="H236" ca="1">IFERROR(
    INDIRECT(
        "RawData!" &amp;
        ADDRESS(
            2,
            MATCH(
                TRIM(MID(A236, SEARCH(". ", A236) + 2, LEN(A236))) &amp; ".Import_kWh",
                RawData!$1:$1,
                0
            ),
            4
        )
    ),
    0
)</f>
        <v>0</v>
      </c>
      <c r="I236" s="665" cm="1">
        <f t="array" aca="1" ref="I236" ca="1">IFERROR(
    INDIRECT(
        "RawData!" &amp;
        ADDRESS(
            COUNTA(RawData!A:A),
            MATCH(
                TRIM(MID(A236, SEARCH(". ", A236) + 2, LEN(A236))) &amp; ".Import_kWh",
                RawData!$1:$1,
                0
            ),
            4
        )
    ),
    0
)</f>
        <v>0</v>
      </c>
      <c r="J236" s="666">
        <f ca="1">(I236-H236)*C236</f>
        <v>0</v>
      </c>
      <c r="K236" s="667">
        <f ca="1">J236</f>
        <v>0</v>
      </c>
      <c r="L236" s="840" t="e">
        <f ca="1">K236/J236</f>
        <v>#DIV/0!</v>
      </c>
      <c r="M236" s="668">
        <f ca="1">R237+R239</f>
        <v>0</v>
      </c>
      <c r="N236" s="669"/>
      <c r="O236" s="669"/>
      <c r="P236" s="568"/>
      <c r="Q236" s="603"/>
      <c r="R236" s="569"/>
      <c r="S236" s="69"/>
      <c r="T236" s="69"/>
      <c r="V236" s="7" t="s">
        <v>669</v>
      </c>
      <c r="AA236" s="440"/>
      <c r="AB236" s="49"/>
      <c r="AC236" s="422"/>
      <c r="AD236" s="49" t="e">
        <f ca="1">AB234-AB5</f>
        <v>#DIV/0!</v>
      </c>
      <c r="AL236" s="441"/>
      <c r="AM236" s="441" t="s">
        <v>670</v>
      </c>
      <c r="AN236" s="442"/>
      <c r="AO236" s="443" t="e">
        <f ca="1">SUM(AO6:AO233)</f>
        <v>#DIV/0!</v>
      </c>
      <c r="AR236" s="328"/>
      <c r="AS236" s="444" t="s">
        <v>671</v>
      </c>
      <c r="AT236" s="445"/>
      <c r="AU236" s="446" t="e">
        <f ca="1">SUM(AU6:AU233)</f>
        <v>#DIV/0!</v>
      </c>
      <c r="BA236" s="407" t="s">
        <v>593</v>
      </c>
      <c r="BB236" s="407" t="s">
        <v>597</v>
      </c>
      <c r="BC236" s="407"/>
      <c r="BD236" s="407" t="s">
        <v>440</v>
      </c>
      <c r="BE236" s="408" t="e">
        <f t="shared" ca="1" si="86"/>
        <v>#DIV/0!</v>
      </c>
      <c r="BF236" s="408"/>
      <c r="BG236" s="408" t="e">
        <f t="shared" ca="1" si="82"/>
        <v>#DIV/0!</v>
      </c>
      <c r="BH236" s="408" t="e">
        <f t="shared" ca="1" si="82"/>
        <v>#DIV/0!</v>
      </c>
      <c r="BI236" s="408"/>
    </row>
    <row r="237" spans="1:61" ht="12.75" customHeight="1">
      <c r="A237" s="555" t="s">
        <v>672</v>
      </c>
      <c r="B237" s="595"/>
      <c r="C237" s="595"/>
      <c r="D237" s="595"/>
      <c r="E237" s="595"/>
      <c r="F237" s="595"/>
      <c r="G237" s="595"/>
      <c r="H237" s="809"/>
      <c r="I237" s="809"/>
      <c r="J237" s="666"/>
      <c r="K237" s="667">
        <f ca="1">K236-K238</f>
        <v>0</v>
      </c>
      <c r="L237" s="312"/>
      <c r="M237" s="664">
        <f>28.64+23.92+23.92+23.92+23.92+23.92+16.8+10.9</f>
        <v>175.94000000000003</v>
      </c>
      <c r="N237" s="669">
        <v>8</v>
      </c>
      <c r="O237" s="669">
        <v>16</v>
      </c>
      <c r="P237" s="568"/>
      <c r="Q237" s="603"/>
      <c r="R237" s="569">
        <f ca="1">K237</f>
        <v>0</v>
      </c>
      <c r="S237" s="114" t="s">
        <v>287</v>
      </c>
      <c r="T237" s="115" t="s">
        <v>288</v>
      </c>
      <c r="V237" s="447"/>
      <c r="W237" s="447"/>
      <c r="X237" s="448" t="s">
        <v>673</v>
      </c>
      <c r="Y237" s="448" t="s">
        <v>674</v>
      </c>
      <c r="Z237" s="448" t="s">
        <v>35</v>
      </c>
      <c r="AB237" s="450"/>
      <c r="AC237" s="49"/>
      <c r="AD237" s="49"/>
      <c r="AH237" s="422"/>
      <c r="AL237" s="451"/>
      <c r="AM237" s="451"/>
      <c r="AN237" s="17"/>
      <c r="AS237" s="451"/>
      <c r="BA237" s="407" t="s">
        <v>664</v>
      </c>
      <c r="BB237" s="407" t="s">
        <v>665</v>
      </c>
      <c r="BC237" s="407"/>
      <c r="BD237" s="407" t="s">
        <v>440</v>
      </c>
      <c r="BE237" s="408">
        <f>X230</f>
        <v>0</v>
      </c>
      <c r="BF237" s="408"/>
      <c r="BG237" s="408" t="e">
        <f ca="1">Y230</f>
        <v>#DIV/0!</v>
      </c>
      <c r="BH237" s="408" t="e">
        <f ca="1">Z230</f>
        <v>#DIV/0!</v>
      </c>
      <c r="BI237" s="408"/>
    </row>
    <row r="238" spans="1:61" ht="12.75" customHeight="1">
      <c r="A238" s="695" t="s">
        <v>1252</v>
      </c>
      <c r="B238" s="841" t="s">
        <v>382</v>
      </c>
      <c r="C238" s="736">
        <v>1</v>
      </c>
      <c r="D238" s="696" t="s">
        <v>47</v>
      </c>
      <c r="E238" s="696"/>
      <c r="F238" s="696" t="s">
        <v>48</v>
      </c>
      <c r="G238" s="696" t="s">
        <v>49</v>
      </c>
      <c r="H238" s="1034" cm="1">
        <f t="array" aca="1" ref="H238" ca="1">IFERROR(
    INDIRECT(
        "RawData!" &amp;
        ADDRESS(
            2,
            MATCH(
                TRIM(MID(A238, SEARCH(". ", A238) + 2, LEN(A238))) &amp; ".Import_kWh",
                RawData!$1:$1,
                0
            ),
            4
        )
    ),
    0
)</f>
        <v>0</v>
      </c>
      <c r="I238" s="1185" cm="1">
        <f t="array" aca="1" ref="I238" ca="1">IFERROR(
    INDIRECT(
        "RawData!" &amp;
        ADDRESS(
            COUNTA(RawData!A:A),
            MATCH(
                TRIM(MID(A238, SEARCH(". ", A238) + 2, LEN(A238))) &amp; ".Import_kWh",
                RawData!$1:$1,
                0
            ),
            4
        )
    ),
    0
)</f>
        <v>0</v>
      </c>
      <c r="J238" s="742">
        <f ca="1">(I238-H238)*C238</f>
        <v>0</v>
      </c>
      <c r="K238" s="743">
        <f ca="1">J238</f>
        <v>0</v>
      </c>
      <c r="L238" s="700"/>
      <c r="M238" s="703"/>
      <c r="N238" s="887"/>
      <c r="O238" s="887"/>
      <c r="P238" s="699"/>
      <c r="Q238" s="843"/>
      <c r="R238" s="704"/>
      <c r="S238" s="114"/>
      <c r="T238" s="115"/>
      <c r="U238" s="452"/>
      <c r="V238" s="453"/>
      <c r="W238" s="454" t="s">
        <v>675</v>
      </c>
      <c r="X238" s="455">
        <v>5424</v>
      </c>
      <c r="Y238" s="456">
        <f ca="1">J770</f>
        <v>0</v>
      </c>
      <c r="Z238" s="457">
        <f ca="1">(Y238-X238)/X238*100</f>
        <v>-100</v>
      </c>
      <c r="AB238" s="450"/>
      <c r="AC238" s="458"/>
      <c r="AE238" s="7" t="s">
        <v>676</v>
      </c>
      <c r="AL238" s="451"/>
      <c r="AM238" s="451" t="s">
        <v>677</v>
      </c>
      <c r="AN238" s="17"/>
      <c r="AO238" s="459" t="e">
        <f ca="1">AO236*7%</f>
        <v>#DIV/0!</v>
      </c>
      <c r="AS238" s="451"/>
      <c r="BA238" s="407" t="s">
        <v>667</v>
      </c>
      <c r="BB238" s="407" t="s">
        <v>668</v>
      </c>
      <c r="BC238" s="407"/>
      <c r="BD238" s="407" t="s">
        <v>440</v>
      </c>
      <c r="BE238" s="408" t="e">
        <f ca="1">X232</f>
        <v>#DIV/0!</v>
      </c>
      <c r="BF238" s="408"/>
      <c r="BG238" s="408" t="e">
        <f ca="1">Y232</f>
        <v>#DIV/0!</v>
      </c>
      <c r="BH238" s="408" t="e">
        <f ca="1">Z232</f>
        <v>#DIV/0!</v>
      </c>
      <c r="BI238" s="408"/>
    </row>
    <row r="239" spans="1:61" ht="12.75" customHeight="1">
      <c r="A239" s="695" t="s">
        <v>678</v>
      </c>
      <c r="B239" s="696"/>
      <c r="C239" s="696"/>
      <c r="D239" s="696"/>
      <c r="E239" s="696"/>
      <c r="F239" s="696"/>
      <c r="G239" s="696"/>
      <c r="H239" s="890"/>
      <c r="I239" s="890"/>
      <c r="J239" s="742"/>
      <c r="K239" s="743"/>
      <c r="L239" s="700"/>
      <c r="M239" s="703">
        <v>54.4</v>
      </c>
      <c r="N239" s="887">
        <v>1</v>
      </c>
      <c r="O239" s="887">
        <v>1</v>
      </c>
      <c r="P239" s="699"/>
      <c r="Q239" s="843"/>
      <c r="R239" s="704">
        <f ca="1">K238</f>
        <v>0</v>
      </c>
      <c r="S239" s="114" t="s">
        <v>266</v>
      </c>
      <c r="T239" s="115" t="s">
        <v>267</v>
      </c>
      <c r="U239" s="452"/>
      <c r="V239" s="460"/>
      <c r="W239" s="461" t="s">
        <v>679</v>
      </c>
      <c r="X239" s="455">
        <v>5328</v>
      </c>
      <c r="Y239" s="456">
        <f ca="1">J771</f>
        <v>0</v>
      </c>
      <c r="Z239" s="457">
        <f t="shared" ref="Z239:Z244" ca="1" si="87">(Y239-X239)/X239*100</f>
        <v>-100</v>
      </c>
      <c r="AA239" s="13" t="s">
        <v>680</v>
      </c>
      <c r="AB239" s="13"/>
      <c r="AC239" s="458"/>
      <c r="AD239" s="7" t="s">
        <v>681</v>
      </c>
      <c r="AL239" s="462"/>
      <c r="AM239" s="462" t="s">
        <v>682</v>
      </c>
      <c r="AN239" s="463"/>
      <c r="AO239" s="464" t="e">
        <f ca="1">AO236+AO238</f>
        <v>#DIV/0!</v>
      </c>
      <c r="AS239" s="451"/>
      <c r="AV239" s="280"/>
      <c r="BH239" s="465" t="e">
        <f ca="1">SUM(BH207:BH238)</f>
        <v>#DIV/0!</v>
      </c>
    </row>
    <row r="240" spans="1:61" ht="12.75" customHeight="1">
      <c r="A240" s="664"/>
      <c r="B240" s="595"/>
      <c r="C240" s="595"/>
      <c r="D240" s="595"/>
      <c r="E240" s="595"/>
      <c r="F240" s="595"/>
      <c r="G240" s="595"/>
      <c r="H240" s="809"/>
      <c r="I240" s="809"/>
      <c r="J240" s="666"/>
      <c r="K240" s="667"/>
      <c r="L240" s="312"/>
      <c r="M240" s="570"/>
      <c r="N240" s="669"/>
      <c r="O240" s="669"/>
      <c r="P240" s="568"/>
      <c r="Q240" s="603"/>
      <c r="R240" s="569"/>
      <c r="S240" s="114"/>
      <c r="T240" s="115"/>
      <c r="U240" s="452"/>
      <c r="V240" s="460"/>
      <c r="W240" s="461" t="s">
        <v>683</v>
      </c>
      <c r="X240" s="455">
        <v>5220</v>
      </c>
      <c r="Y240" s="456">
        <f ca="1">J772</f>
        <v>0</v>
      </c>
      <c r="Z240" s="457">
        <f ca="1">(Y240-X240)/X240*100</f>
        <v>-100</v>
      </c>
      <c r="AA240" s="7" t="s">
        <v>684</v>
      </c>
      <c r="AB240" s="13"/>
      <c r="AC240" s="466">
        <f ca="1">J$778-(J$770*0.6197)</f>
        <v>0</v>
      </c>
      <c r="AD240" s="467"/>
      <c r="AH240" s="79"/>
      <c r="AL240" s="451"/>
      <c r="AM240" s="451" t="s">
        <v>685</v>
      </c>
      <c r="AN240" s="17"/>
      <c r="AO240" s="468" t="e">
        <f ca="1">AO9+AO10</f>
        <v>#DIV/0!</v>
      </c>
      <c r="AS240" s="451" t="s">
        <v>686</v>
      </c>
      <c r="AU240" s="468">
        <f ca="1">AU9+AU10</f>
        <v>85</v>
      </c>
      <c r="BA240" s="469" t="s">
        <v>120</v>
      </c>
      <c r="BB240" s="469" t="s">
        <v>121</v>
      </c>
      <c r="BC240" s="469"/>
      <c r="BD240" s="469" t="s">
        <v>75</v>
      </c>
      <c r="BE240" s="470">
        <f ca="1">X16</f>
        <v>0</v>
      </c>
      <c r="BF240" s="470"/>
      <c r="BG240" s="470">
        <f>Y16</f>
        <v>0</v>
      </c>
      <c r="BH240" s="470">
        <f ca="1">Z16</f>
        <v>0</v>
      </c>
      <c r="BI240" s="470"/>
    </row>
    <row r="241" spans="1:61" ht="12.75" customHeight="1">
      <c r="A241" s="664" t="s">
        <v>1182</v>
      </c>
      <c r="B241" s="595"/>
      <c r="C241" s="595"/>
      <c r="D241" s="595"/>
      <c r="E241" s="595"/>
      <c r="F241" s="595"/>
      <c r="G241" s="595"/>
      <c r="H241" s="809"/>
      <c r="I241" s="809"/>
      <c r="J241" s="666"/>
      <c r="K241" s="667"/>
      <c r="L241" s="312"/>
      <c r="M241" s="570"/>
      <c r="N241" s="669"/>
      <c r="O241" s="669"/>
      <c r="P241" s="568"/>
      <c r="Q241" s="603"/>
      <c r="R241" s="569"/>
      <c r="S241" s="69"/>
      <c r="T241" s="69"/>
      <c r="U241" s="452"/>
      <c r="V241" s="460"/>
      <c r="W241" s="471" t="s">
        <v>687</v>
      </c>
      <c r="X241" s="472">
        <v>402135.36</v>
      </c>
      <c r="Y241" s="456">
        <f ca="1">K770</f>
        <v>0</v>
      </c>
      <c r="Z241" s="457">
        <f t="shared" ca="1" si="87"/>
        <v>-100</v>
      </c>
      <c r="AA241" s="13" t="s">
        <v>688</v>
      </c>
      <c r="AC241" s="473">
        <f>AD240*56.07</f>
        <v>0</v>
      </c>
      <c r="AH241" s="79"/>
      <c r="AL241" s="13"/>
      <c r="AM241" s="13"/>
      <c r="AN241" s="17"/>
      <c r="AO241" s="459"/>
      <c r="AS241" s="474"/>
      <c r="BA241" s="469" t="s">
        <v>120</v>
      </c>
      <c r="BB241" s="469" t="s">
        <v>498</v>
      </c>
      <c r="BC241" s="469"/>
      <c r="BD241" s="469" t="s">
        <v>75</v>
      </c>
      <c r="BE241" s="470" t="e">
        <f ca="1">X119</f>
        <v>#DIV/0!</v>
      </c>
      <c r="BF241" s="470"/>
      <c r="BG241" s="470">
        <f>Y119</f>
        <v>0</v>
      </c>
      <c r="BH241" s="470" t="e">
        <f ca="1">Z119</f>
        <v>#DIV/0!</v>
      </c>
      <c r="BI241" s="470"/>
    </row>
    <row r="242" spans="1:61" ht="12.75" customHeight="1">
      <c r="A242" s="555" t="s">
        <v>689</v>
      </c>
      <c r="B242" s="595"/>
      <c r="C242" s="595"/>
      <c r="D242" s="595"/>
      <c r="E242" s="595"/>
      <c r="F242" s="595"/>
      <c r="G242" s="595"/>
      <c r="H242" s="809"/>
      <c r="I242" s="809"/>
      <c r="J242" s="666"/>
      <c r="K242" s="667" t="e">
        <f ca="1">K225-(K226+K228+K233+K236+K231)</f>
        <v>#DIV/0!</v>
      </c>
      <c r="L242" s="312"/>
      <c r="M242" s="667" t="e">
        <f ca="1">K242/30</f>
        <v>#DIV/0!</v>
      </c>
      <c r="N242" s="669"/>
      <c r="O242" s="669"/>
      <c r="P242" s="568"/>
      <c r="Q242" s="603"/>
      <c r="R242" s="569" t="e">
        <f ca="1">K242</f>
        <v>#DIV/0!</v>
      </c>
      <c r="S242" s="114" t="s">
        <v>223</v>
      </c>
      <c r="T242" s="115" t="s">
        <v>224</v>
      </c>
      <c r="U242" s="475"/>
      <c r="V242" s="460"/>
      <c r="W242" s="471" t="s">
        <v>690</v>
      </c>
      <c r="X242" s="472">
        <v>4264807.2075000005</v>
      </c>
      <c r="Y242" s="456">
        <f ca="1">K773</f>
        <v>0</v>
      </c>
      <c r="Z242" s="457">
        <f t="shared" ca="1" si="87"/>
        <v>-100</v>
      </c>
      <c r="AC242" s="101"/>
      <c r="AL242" s="476"/>
      <c r="AM242" s="476"/>
      <c r="AN242" s="17"/>
      <c r="AO242" s="459"/>
      <c r="AS242" s="477"/>
      <c r="AU242" s="478" t="e">
        <f ca="1">AO236/AU236</f>
        <v>#DIV/0!</v>
      </c>
      <c r="BA242" s="469" t="s">
        <v>120</v>
      </c>
      <c r="BB242" s="469" t="s">
        <v>501</v>
      </c>
      <c r="BC242" s="469"/>
      <c r="BD242" s="469" t="s">
        <v>75</v>
      </c>
      <c r="BE242" s="470" t="e">
        <f ca="1">X120</f>
        <v>#DIV/0!</v>
      </c>
      <c r="BF242" s="470"/>
      <c r="BG242" s="470" t="e">
        <f ca="1">Y120</f>
        <v>#DIV/0!</v>
      </c>
      <c r="BH242" s="470" t="e">
        <f ca="1">Z120</f>
        <v>#DIV/0!</v>
      </c>
      <c r="BI242" s="470"/>
    </row>
    <row r="243" spans="1:61" ht="12.75" customHeight="1">
      <c r="A243" s="879" t="s">
        <v>691</v>
      </c>
      <c r="B243" s="880" t="s">
        <v>64</v>
      </c>
      <c r="C243" s="880">
        <v>1</v>
      </c>
      <c r="D243" s="654" t="s">
        <v>47</v>
      </c>
      <c r="E243" s="654"/>
      <c r="F243" s="654" t="s">
        <v>48</v>
      </c>
      <c r="G243" s="654" t="s">
        <v>49</v>
      </c>
      <c r="H243" s="655" cm="1">
        <f t="array" aca="1" ref="H243" ca="1">IFERROR(
    INDIRECT(
        "RawData!" &amp;
        ADDRESS(
            2,
            MATCH(
                TRIM(MID(A243, SEARCH(". ", A243) + 2, LEN(A243))) &amp; ".Import_kWh",
                RawData!$1:$1,
                0
            ),
            4
        )
    ),
    0
)</f>
        <v>0</v>
      </c>
      <c r="I243" s="655" cm="1">
        <f t="array" aca="1" ref="I243" ca="1">IFERROR(
    INDIRECT(
        "RawData!" &amp;
        ADDRESS(
            COUNTA(RawData!A:A),
            MATCH(
                TRIM(MID(A243, SEARCH(". ", A243) + 2, LEN(A243))) &amp; ".Import_kWh",
                RawData!$1:$1,
                0
            ),
            4
        )
    ),
    0
)</f>
        <v>0</v>
      </c>
      <c r="J243" s="680">
        <f ca="1">(I243-H243)*C243</f>
        <v>0</v>
      </c>
      <c r="K243" s="824" t="e">
        <f ca="1">J243*K$212/(J$213+J$225+J$243+J$267+J$272+J$257)</f>
        <v>#DIV/0!</v>
      </c>
      <c r="L243" s="681" t="e">
        <f ca="1">K243/J243</f>
        <v>#DIV/0!</v>
      </c>
      <c r="M243" s="881" t="e">
        <f ca="1">R245+R246+R249+R253+R255+R250+R254</f>
        <v>#DIV/0!</v>
      </c>
      <c r="N243" s="882"/>
      <c r="O243" s="882"/>
      <c r="P243" s="883"/>
      <c r="Q243" s="884"/>
      <c r="R243" s="885"/>
      <c r="S243" s="69"/>
      <c r="T243" s="69"/>
      <c r="U243" s="452"/>
      <c r="V243" s="460"/>
      <c r="W243" s="471" t="s">
        <v>692</v>
      </c>
      <c r="X243" s="479">
        <v>2023007.3625</v>
      </c>
      <c r="Y243" s="480">
        <f ca="1">K774</f>
        <v>0</v>
      </c>
      <c r="Z243" s="457">
        <f t="shared" ca="1" si="87"/>
        <v>-100</v>
      </c>
      <c r="AA243" s="481"/>
      <c r="AL243" s="13"/>
      <c r="AM243" s="13"/>
      <c r="AN243" s="17"/>
      <c r="AO243" s="459"/>
      <c r="AS243" s="474"/>
      <c r="BA243" s="469" t="s">
        <v>120</v>
      </c>
      <c r="BB243" s="469" t="s">
        <v>518</v>
      </c>
      <c r="BC243" s="469"/>
      <c r="BD243" s="469" t="s">
        <v>75</v>
      </c>
      <c r="BE243" s="470" t="e">
        <f ca="1">X126</f>
        <v>#DIV/0!</v>
      </c>
      <c r="BF243" s="470"/>
      <c r="BG243" s="470">
        <f>Y126</f>
        <v>0</v>
      </c>
      <c r="BH243" s="470" t="e">
        <f ca="1">Z126</f>
        <v>#DIV/0!</v>
      </c>
      <c r="BI243" s="470"/>
    </row>
    <row r="244" spans="1:61" ht="12.75" customHeight="1">
      <c r="A244" s="664" t="s">
        <v>1183</v>
      </c>
      <c r="B244" s="595" t="s">
        <v>72</v>
      </c>
      <c r="C244" s="595">
        <v>1</v>
      </c>
      <c r="D244" s="595" t="s">
        <v>47</v>
      </c>
      <c r="E244" s="595"/>
      <c r="F244" s="595" t="s">
        <v>48</v>
      </c>
      <c r="G244" s="595" t="s">
        <v>49</v>
      </c>
      <c r="H244" s="665" cm="1">
        <f t="array" aca="1" ref="H244" ca="1">IFERROR(
    INDIRECT(
        "RawData!" &amp;
        ADDRESS(
            2,
            MATCH(
                TRIM(MID(A244, SEARCH(". ", A244) + 2, LEN(A244))) &amp; ".Import_kWh",
                RawData!$1:$1,
                0
            ),
            4
        )
    ),
    0
)</f>
        <v>0</v>
      </c>
      <c r="I244" s="665" cm="1">
        <f t="array" aca="1" ref="I244" ca="1">IFERROR(
    INDIRECT(
        "RawData!" &amp;
        ADDRESS(
            COUNTA(RawData!A:A),
            MATCH(
                TRIM(MID(A244, SEARCH(". ", A244) + 2, LEN(A244))) &amp; ".Import_kWh",
                RawData!$1:$1,
                0
            ),
            4
        )
    ),
    0
)</f>
        <v>0</v>
      </c>
      <c r="J244" s="666">
        <f ca="1">(I244-H244)*C244</f>
        <v>0</v>
      </c>
      <c r="K244" s="667">
        <f ca="1">J244</f>
        <v>0</v>
      </c>
      <c r="L244" s="840" t="e">
        <f ca="1">K244/J244</f>
        <v>#DIV/0!</v>
      </c>
      <c r="M244" s="668">
        <f ca="1">R245+R246</f>
        <v>0</v>
      </c>
      <c r="N244" s="669"/>
      <c r="O244" s="669"/>
      <c r="P244" s="568"/>
      <c r="Q244" s="603"/>
      <c r="R244" s="569"/>
      <c r="S244" s="69"/>
      <c r="T244" s="69"/>
      <c r="U244" s="452"/>
      <c r="V244" s="460"/>
      <c r="W244" s="482" t="s">
        <v>693</v>
      </c>
      <c r="X244" s="479">
        <v>1100989.0419000001</v>
      </c>
      <c r="Y244" s="480">
        <f ca="1">K775</f>
        <v>0</v>
      </c>
      <c r="Z244" s="457">
        <f t="shared" ca="1" si="87"/>
        <v>-100</v>
      </c>
      <c r="AA244" s="483"/>
      <c r="AB244" s="329" t="s">
        <v>694</v>
      </c>
      <c r="AC244" s="7">
        <f>6210*0.6197</f>
        <v>3848.337</v>
      </c>
      <c r="AD244" s="7" t="s">
        <v>695</v>
      </c>
      <c r="AL244" s="484"/>
      <c r="AM244" s="484" t="s">
        <v>696</v>
      </c>
      <c r="AN244" s="485"/>
      <c r="AO244" s="486" t="e">
        <f ca="1">AO236-AO240</f>
        <v>#DIV/0!</v>
      </c>
      <c r="AP244" s="487" t="s">
        <v>697</v>
      </c>
      <c r="AS244" s="484" t="s">
        <v>696</v>
      </c>
      <c r="AT244" s="488"/>
      <c r="AU244" s="486" t="e">
        <f ca="1">AU236-AU240</f>
        <v>#DIV/0!</v>
      </c>
      <c r="AV244" s="487" t="s">
        <v>697</v>
      </c>
      <c r="BA244" s="1198"/>
      <c r="BB244" s="1199"/>
      <c r="BC244" s="1199"/>
      <c r="BD244" s="1199"/>
      <c r="BE244" s="1199"/>
      <c r="BF244" s="1199"/>
      <c r="BG244" s="1200"/>
      <c r="BH244" s="489" t="e">
        <f ca="1">SUM(BH240:BH243)</f>
        <v>#DIV/0!</v>
      </c>
      <c r="BI244" s="490"/>
    </row>
    <row r="245" spans="1:61" ht="12.75" customHeight="1">
      <c r="A245" s="555" t="s">
        <v>698</v>
      </c>
      <c r="B245" s="595"/>
      <c r="C245" s="595"/>
      <c r="D245" s="595"/>
      <c r="E245" s="595"/>
      <c r="F245" s="595"/>
      <c r="G245" s="595"/>
      <c r="H245" s="809"/>
      <c r="I245" s="809"/>
      <c r="J245" s="666"/>
      <c r="K245" s="667">
        <f ca="1">R245/M245</f>
        <v>0</v>
      </c>
      <c r="L245" s="312"/>
      <c r="M245" s="570">
        <v>1.5</v>
      </c>
      <c r="N245" s="669">
        <v>24</v>
      </c>
      <c r="O245" s="669">
        <v>40</v>
      </c>
      <c r="P245" s="689">
        <f>M245*O245</f>
        <v>60</v>
      </c>
      <c r="Q245" s="603">
        <f>P245/(P$245+P$246)</f>
        <v>8.31469455969535E-3</v>
      </c>
      <c r="R245" s="569">
        <f ca="1">Q245*K$244</f>
        <v>0</v>
      </c>
      <c r="S245" s="114" t="s">
        <v>309</v>
      </c>
      <c r="T245" s="115" t="s">
        <v>312</v>
      </c>
      <c r="U245" s="452"/>
      <c r="V245" s="491"/>
      <c r="W245" s="492" t="s">
        <v>699</v>
      </c>
      <c r="X245" s="493">
        <v>0</v>
      </c>
      <c r="Y245" s="494">
        <f>K776</f>
        <v>0</v>
      </c>
      <c r="Z245" s="495"/>
      <c r="AA245" s="496"/>
      <c r="AB245" s="497"/>
      <c r="AC245" s="49"/>
      <c r="AO245" s="498" t="s">
        <v>700</v>
      </c>
      <c r="AU245" s="499" t="s">
        <v>701</v>
      </c>
    </row>
    <row r="246" spans="1:61" ht="12.75" customHeight="1">
      <c r="A246" s="555" t="s">
        <v>702</v>
      </c>
      <c r="B246" s="595"/>
      <c r="C246" s="595"/>
      <c r="D246" s="595"/>
      <c r="E246" s="595"/>
      <c r="F246" s="595"/>
      <c r="G246" s="595"/>
      <c r="H246" s="809"/>
      <c r="I246" s="809"/>
      <c r="J246" s="666"/>
      <c r="K246" s="667">
        <f ca="1">R246/O246</f>
        <v>0</v>
      </c>
      <c r="L246" s="312"/>
      <c r="M246" s="570">
        <v>174.54</v>
      </c>
      <c r="N246" s="669">
        <v>27</v>
      </c>
      <c r="O246" s="669">
        <v>41</v>
      </c>
      <c r="P246" s="689">
        <f>M246*O246</f>
        <v>7156.1399999999994</v>
      </c>
      <c r="Q246" s="603">
        <f>P246/(P$245+P$246)</f>
        <v>0.99168530544030464</v>
      </c>
      <c r="R246" s="569">
        <f ca="1">Q246*K$244</f>
        <v>0</v>
      </c>
      <c r="S246" s="114" t="s">
        <v>314</v>
      </c>
      <c r="T246" s="115" t="s">
        <v>318</v>
      </c>
      <c r="U246" s="452"/>
      <c r="V246" s="500"/>
      <c r="W246" s="501" t="s">
        <v>703</v>
      </c>
      <c r="X246" s="502">
        <v>892952.86679999996</v>
      </c>
      <c r="Y246" s="502">
        <f ca="1">(J$777)*0.3972</f>
        <v>0</v>
      </c>
      <c r="Z246" s="503">
        <f t="shared" ref="Z246:Z257" ca="1" si="88">(Y246-X246)/X246*100</f>
        <v>-100</v>
      </c>
      <c r="AA246" s="504"/>
      <c r="AB246" s="450"/>
      <c r="AO246" s="505" t="s">
        <v>704</v>
      </c>
      <c r="AU246" s="499" t="s">
        <v>705</v>
      </c>
    </row>
    <row r="247" spans="1:61" ht="12.75" customHeight="1">
      <c r="A247" s="555" t="s">
        <v>706</v>
      </c>
      <c r="B247" s="595"/>
      <c r="C247" s="671"/>
      <c r="D247" s="671"/>
      <c r="E247" s="671"/>
      <c r="F247" s="671"/>
      <c r="G247" s="671"/>
      <c r="H247" s="809"/>
      <c r="I247" s="809"/>
      <c r="J247" s="666"/>
      <c r="K247" s="667"/>
      <c r="L247" s="312"/>
      <c r="M247" s="570"/>
      <c r="N247" s="669"/>
      <c r="O247" s="669"/>
      <c r="P247" s="689"/>
      <c r="Q247" s="603"/>
      <c r="R247" s="569"/>
      <c r="S247" s="69"/>
      <c r="T247" s="69"/>
      <c r="U247" s="452"/>
      <c r="V247" s="460"/>
      <c r="W247" s="506" t="s">
        <v>707</v>
      </c>
      <c r="X247" s="480">
        <v>312.24</v>
      </c>
      <c r="Y247" s="480">
        <v>312.24</v>
      </c>
      <c r="Z247" s="457"/>
      <c r="AB247" s="450"/>
    </row>
    <row r="248" spans="1:61" ht="12.75" customHeight="1">
      <c r="A248" s="664" t="s">
        <v>1184</v>
      </c>
      <c r="B248" s="723" t="s">
        <v>185</v>
      </c>
      <c r="C248" s="613">
        <v>1</v>
      </c>
      <c r="D248" s="595" t="s">
        <v>47</v>
      </c>
      <c r="E248" s="595"/>
      <c r="F248" s="595" t="s">
        <v>48</v>
      </c>
      <c r="G248" s="595" t="s">
        <v>49</v>
      </c>
      <c r="H248" s="665" cm="1">
        <f t="array" aca="1" ref="H248" ca="1">IFERROR(
    INDIRECT(
        "RawData!" &amp;
        ADDRESS(
            2,
            MATCH(
                TRIM(MID(A248, SEARCH(". ", A248) + 2, LEN(A248))) &amp; ".Import_kWh",
                RawData!$1:$1,
                0
            ),
            4
        )
    ),
    0
)</f>
        <v>0</v>
      </c>
      <c r="I248" s="665" cm="1">
        <f t="array" aca="1" ref="I248" ca="1">IFERROR(
    INDIRECT(
        "RawData!" &amp;
        ADDRESS(
            COUNTA(RawData!A:A),
            MATCH(
                TRIM(MID(A248, SEARCH(". ", A248) + 2, LEN(A248))) &amp; ".Import_kWh",
                RawData!$1:$1,
                0
            ),
            4
        )
    ),
    0
)</f>
        <v>0</v>
      </c>
      <c r="J248" s="666">
        <f ca="1">(I248-H248)*C248</f>
        <v>0</v>
      </c>
      <c r="K248" s="667">
        <f ca="1">J248</f>
        <v>0</v>
      </c>
      <c r="L248" s="312" t="e">
        <f ca="1">K248/J248</f>
        <v>#DIV/0!</v>
      </c>
      <c r="M248" s="825">
        <f ca="1">R249+R250</f>
        <v>0</v>
      </c>
      <c r="N248" s="727"/>
      <c r="O248" s="727"/>
      <c r="P248" s="838"/>
      <c r="Q248" s="813"/>
      <c r="R248" s="729"/>
      <c r="S248" s="69"/>
      <c r="T248" s="69"/>
      <c r="U248" s="475"/>
      <c r="V248" s="460"/>
      <c r="W248" s="506" t="s">
        <v>708</v>
      </c>
      <c r="X248" s="480">
        <v>-130258.3775805</v>
      </c>
      <c r="Y248" s="507">
        <f ca="1">SUM(Y241:Y246)*-1.5%</f>
        <v>0</v>
      </c>
      <c r="Z248" s="457">
        <f t="shared" ca="1" si="88"/>
        <v>-100</v>
      </c>
      <c r="AA248" s="13"/>
      <c r="AB248" s="13"/>
      <c r="AC248" s="458"/>
      <c r="AM248" s="102"/>
      <c r="AN248" s="103"/>
      <c r="AO248" s="49"/>
      <c r="AP248" s="49"/>
    </row>
    <row r="249" spans="1:61" ht="11.25" customHeight="1">
      <c r="A249" s="555" t="s">
        <v>709</v>
      </c>
      <c r="B249" s="723"/>
      <c r="C249" s="613"/>
      <c r="D249" s="613"/>
      <c r="E249" s="613"/>
      <c r="F249" s="613"/>
      <c r="G249" s="613"/>
      <c r="H249" s="724"/>
      <c r="I249" s="724"/>
      <c r="J249" s="666"/>
      <c r="K249" s="688">
        <f ca="1">R249/O249</f>
        <v>0</v>
      </c>
      <c r="L249" s="312"/>
      <c r="M249" s="568">
        <f>11.2+11.2+9.6+9.6</f>
        <v>41.6</v>
      </c>
      <c r="N249" s="891">
        <v>28</v>
      </c>
      <c r="O249" s="891">
        <v>43</v>
      </c>
      <c r="P249" s="689">
        <f>M249*O249</f>
        <v>1788.8</v>
      </c>
      <c r="Q249" s="813">
        <f>P249/(P$249+P$250)</f>
        <v>0.63088990463292149</v>
      </c>
      <c r="R249" s="729">
        <f ca="1">Q249*K$248</f>
        <v>0</v>
      </c>
      <c r="S249" s="114" t="s">
        <v>266</v>
      </c>
      <c r="T249" s="115" t="s">
        <v>274</v>
      </c>
      <c r="U249" s="161"/>
      <c r="V249" s="508"/>
      <c r="W249" s="509" t="s">
        <v>710</v>
      </c>
      <c r="X249" s="510">
        <v>0</v>
      </c>
      <c r="Y249" s="511">
        <v>0</v>
      </c>
      <c r="Z249" s="503" t="e">
        <f>(Y249-X249)/X249*100</f>
        <v>#DIV/0!</v>
      </c>
      <c r="AA249" s="7"/>
      <c r="AB249" s="13"/>
      <c r="AC249" s="466"/>
      <c r="AL249" s="13"/>
      <c r="AM249" s="102"/>
      <c r="AN249" s="103"/>
      <c r="AO249" s="49"/>
      <c r="AP249" s="49"/>
    </row>
    <row r="250" spans="1:61" ht="15.95" customHeight="1">
      <c r="A250" s="555" t="s">
        <v>711</v>
      </c>
      <c r="B250" s="723"/>
      <c r="C250" s="613"/>
      <c r="D250" s="613"/>
      <c r="E250" s="613"/>
      <c r="F250" s="613"/>
      <c r="G250" s="613"/>
      <c r="H250" s="724"/>
      <c r="I250" s="724"/>
      <c r="J250" s="666"/>
      <c r="K250" s="667">
        <f ca="1">R250/O250</f>
        <v>0</v>
      </c>
      <c r="L250" s="312"/>
      <c r="M250" s="568">
        <f>20.16+12.8+0.8</f>
        <v>33.76</v>
      </c>
      <c r="N250" s="669">
        <v>9</v>
      </c>
      <c r="O250" s="669">
        <v>31</v>
      </c>
      <c r="P250" s="689">
        <f>M250*O250</f>
        <v>1046.56</v>
      </c>
      <c r="Q250" s="813">
        <f>P250/(P$249+P$250)</f>
        <v>0.36911009536707862</v>
      </c>
      <c r="R250" s="729">
        <f ca="1">Q250*K$248</f>
        <v>0</v>
      </c>
      <c r="S250" s="114" t="s">
        <v>321</v>
      </c>
      <c r="T250" s="115" t="s">
        <v>322</v>
      </c>
      <c r="U250" s="161"/>
      <c r="V250" s="508"/>
      <c r="W250" s="509" t="s">
        <v>712</v>
      </c>
      <c r="X250" s="512">
        <v>0</v>
      </c>
      <c r="Y250" s="513">
        <v>0</v>
      </c>
      <c r="Z250" s="514"/>
      <c r="AA250" s="13"/>
      <c r="AC250" s="515"/>
      <c r="AM250" s="102"/>
      <c r="AN250" s="103"/>
      <c r="AO250" s="49"/>
      <c r="AP250" s="49"/>
    </row>
    <row r="251" spans="1:61" ht="15.95" customHeight="1">
      <c r="A251" s="798" t="s">
        <v>713</v>
      </c>
      <c r="B251" s="892" t="s">
        <v>714</v>
      </c>
      <c r="C251" s="613"/>
      <c r="D251" s="613"/>
      <c r="E251" s="613"/>
      <c r="F251" s="613"/>
      <c r="G251" s="613"/>
      <c r="H251" s="594"/>
      <c r="I251" s="594"/>
      <c r="J251" s="673"/>
      <c r="K251" s="568"/>
      <c r="L251" s="312"/>
      <c r="M251" s="568"/>
      <c r="N251" s="669"/>
      <c r="O251" s="669"/>
      <c r="P251" s="689"/>
      <c r="Q251" s="813"/>
      <c r="R251" s="729"/>
      <c r="S251" s="69"/>
      <c r="T251" s="69"/>
      <c r="U251" s="161"/>
      <c r="V251" s="516"/>
      <c r="W251" s="482" t="s">
        <v>715</v>
      </c>
      <c r="X251" s="517">
        <v>8553945.7011195011</v>
      </c>
      <c r="Y251" s="456">
        <f ca="1">(Y$241+Y$242+Y$244+Y$243+Y$247+Y$248+Y$249+Y245+Y246+Y250)</f>
        <v>312.24</v>
      </c>
      <c r="Z251" s="518">
        <f ca="1">(Y251-X251)/X251*100</f>
        <v>-99.996349754710749</v>
      </c>
      <c r="AC251" s="101"/>
      <c r="AM251" s="102"/>
      <c r="AN251" s="103"/>
      <c r="AO251" s="49"/>
      <c r="AP251" s="49"/>
    </row>
    <row r="252" spans="1:61" ht="15.95" customHeight="1">
      <c r="A252" s="664" t="s">
        <v>1185</v>
      </c>
      <c r="B252" s="723" t="s">
        <v>447</v>
      </c>
      <c r="C252" s="613">
        <v>1</v>
      </c>
      <c r="D252" s="595" t="s">
        <v>47</v>
      </c>
      <c r="E252" s="595"/>
      <c r="F252" s="595" t="s">
        <v>48</v>
      </c>
      <c r="G252" s="595" t="s">
        <v>49</v>
      </c>
      <c r="H252" s="665" cm="1">
        <f t="array" aca="1" ref="H252" ca="1">IFERROR(
    INDIRECT(
        "RawData!" &amp;
        ADDRESS(
            2,
            MATCH(
                TRIM(MID(A252, SEARCH(". ", A252) + 2, LEN(A252))) &amp; ".Import_kWh",
                RawData!$1:$1,
                0
            ),
            4
        )
    ),
    0
)</f>
        <v>0</v>
      </c>
      <c r="I252" s="665" cm="1">
        <f t="array" aca="1" ref="I252" ca="1">IFERROR(
    INDIRECT(
        "RawData!" &amp;
        ADDRESS(
            COUNTA(RawData!A:A),
            MATCH(
                TRIM(MID(A252, SEARCH(". ", A252) + 2, LEN(A252))) &amp; ".Import_kWh",
                RawData!$1:$1,
                0
            ),
            4
        )
    ),
    0
)</f>
        <v>0</v>
      </c>
      <c r="J252" s="666">
        <f ca="1">(I252-H252)*C252</f>
        <v>0</v>
      </c>
      <c r="K252" s="667">
        <f ca="1">J252</f>
        <v>0</v>
      </c>
      <c r="L252" s="312" t="e">
        <f ca="1">K252/J252</f>
        <v>#DIV/0!</v>
      </c>
      <c r="M252" s="825">
        <f ca="1">R253+R254</f>
        <v>0</v>
      </c>
      <c r="N252" s="727"/>
      <c r="O252" s="727"/>
      <c r="P252" s="838"/>
      <c r="Q252" s="813"/>
      <c r="R252" s="729"/>
      <c r="S252" s="69"/>
      <c r="T252" s="69"/>
      <c r="U252" s="161"/>
      <c r="V252" s="516"/>
      <c r="W252" s="506" t="s">
        <v>716</v>
      </c>
      <c r="X252" s="519" t="s">
        <v>717</v>
      </c>
      <c r="Y252" s="480" t="s">
        <v>717</v>
      </c>
      <c r="Z252" s="457"/>
      <c r="AB252" s="520"/>
      <c r="AM252" s="102"/>
      <c r="AN252" s="103"/>
      <c r="AO252" s="49"/>
      <c r="AP252" s="49"/>
    </row>
    <row r="253" spans="1:61" ht="15.95" customHeight="1">
      <c r="A253" s="555" t="s">
        <v>718</v>
      </c>
      <c r="B253" s="723"/>
      <c r="C253" s="613"/>
      <c r="D253" s="613"/>
      <c r="E253" s="613"/>
      <c r="F253" s="613"/>
      <c r="G253" s="613"/>
      <c r="H253" s="724"/>
      <c r="I253" s="724"/>
      <c r="J253" s="666"/>
      <c r="K253" s="667"/>
      <c r="L253" s="312"/>
      <c r="M253" s="568">
        <f>7.5+8+8.5+28.64+28.64+23.92+23.92+8+0.14+8.03</f>
        <v>145.29</v>
      </c>
      <c r="N253" s="669">
        <v>7</v>
      </c>
      <c r="O253" s="669">
        <v>15</v>
      </c>
      <c r="P253" s="689">
        <f>M253*O253</f>
        <v>2179.35</v>
      </c>
      <c r="Q253" s="813">
        <f>P253/(P$253+P$254)</f>
        <v>0.71053635412217697</v>
      </c>
      <c r="R253" s="729">
        <f ca="1">Q253*K$252</f>
        <v>0</v>
      </c>
      <c r="S253" s="114" t="s">
        <v>296</v>
      </c>
      <c r="T253" s="115" t="s">
        <v>297</v>
      </c>
      <c r="U253" s="161"/>
      <c r="V253" s="516"/>
      <c r="W253" s="506" t="s">
        <v>719</v>
      </c>
      <c r="X253" s="519" t="s">
        <v>717</v>
      </c>
      <c r="Y253" s="480" t="s">
        <v>717</v>
      </c>
      <c r="Z253" s="457"/>
      <c r="AL253" s="161"/>
      <c r="AM253" s="102"/>
      <c r="AN253" s="103"/>
      <c r="AO253" s="49"/>
      <c r="AP253" s="49"/>
    </row>
    <row r="254" spans="1:61" ht="15.95" customHeight="1">
      <c r="A254" s="555" t="s">
        <v>720</v>
      </c>
      <c r="B254" s="723"/>
      <c r="C254" s="613"/>
      <c r="D254" s="613"/>
      <c r="E254" s="613"/>
      <c r="F254" s="613"/>
      <c r="G254" s="613"/>
      <c r="H254" s="724"/>
      <c r="I254" s="724"/>
      <c r="J254" s="666"/>
      <c r="K254" s="667"/>
      <c r="L254" s="312"/>
      <c r="M254" s="568">
        <v>28.64</v>
      </c>
      <c r="N254" s="669">
        <v>9</v>
      </c>
      <c r="O254" s="669">
        <v>31</v>
      </c>
      <c r="P254" s="689">
        <f>M254*O254</f>
        <v>887.84</v>
      </c>
      <c r="Q254" s="813">
        <f>P254/(P$253+P$254)</f>
        <v>0.28946364587782303</v>
      </c>
      <c r="R254" s="729">
        <f ca="1">Q254*K$252</f>
        <v>0</v>
      </c>
      <c r="S254" s="114" t="s">
        <v>321</v>
      </c>
      <c r="T254" s="115" t="s">
        <v>322</v>
      </c>
      <c r="U254" s="161"/>
      <c r="V254" s="516"/>
      <c r="W254" s="482" t="s">
        <v>721</v>
      </c>
      <c r="X254" s="519">
        <v>9152721.9001978673</v>
      </c>
      <c r="Y254" s="456">
        <f ca="1">Y251*1.07+0.01</f>
        <v>334.10680000000002</v>
      </c>
      <c r="Z254" s="457"/>
      <c r="AB254" s="497"/>
      <c r="AM254" s="102"/>
      <c r="AN254" s="103"/>
      <c r="AO254" s="49"/>
      <c r="AP254" s="49"/>
    </row>
    <row r="255" spans="1:61" ht="15.95" customHeight="1">
      <c r="A255" s="695" t="s">
        <v>722</v>
      </c>
      <c r="B255" s="841"/>
      <c r="C255" s="736"/>
      <c r="D255" s="736"/>
      <c r="E255" s="736"/>
      <c r="F255" s="736"/>
      <c r="G255" s="736"/>
      <c r="H255" s="886"/>
      <c r="I255" s="886"/>
      <c r="J255" s="742"/>
      <c r="K255" s="743" t="e">
        <f ca="1">K243-(K244+K248+K252)</f>
        <v>#DIV/0!</v>
      </c>
      <c r="L255" s="700"/>
      <c r="M255" s="699">
        <f>10.4+8+8+4.77+7.5+5.5</f>
        <v>44.17</v>
      </c>
      <c r="N255" s="887"/>
      <c r="O255" s="887"/>
      <c r="P255" s="747"/>
      <c r="Q255" s="847"/>
      <c r="R255" s="740" t="e">
        <f ca="1">K255</f>
        <v>#DIV/0!</v>
      </c>
      <c r="S255" s="114" t="s">
        <v>309</v>
      </c>
      <c r="T255" s="115" t="s">
        <v>312</v>
      </c>
      <c r="U255" s="161"/>
      <c r="V255" s="257"/>
      <c r="W255" s="471" t="s">
        <v>723</v>
      </c>
      <c r="X255" s="519">
        <v>3.8049345702427244</v>
      </c>
      <c r="Y255" s="480" t="e">
        <f ca="1">Y251/Z234</f>
        <v>#DIV/0!</v>
      </c>
      <c r="Z255" s="457" t="e">
        <f ca="1">(Y255-X255)/X255*100</f>
        <v>#DIV/0!</v>
      </c>
      <c r="AA255" s="504"/>
      <c r="AB255" s="450"/>
      <c r="AO255" s="49"/>
    </row>
    <row r="256" spans="1:61" ht="15.95" customHeight="1">
      <c r="A256" s="664" t="s">
        <v>724</v>
      </c>
      <c r="B256" s="893"/>
      <c r="C256" s="894"/>
      <c r="D256" s="894"/>
      <c r="E256" s="894"/>
      <c r="F256" s="894"/>
      <c r="G256" s="894"/>
      <c r="H256" s="779"/>
      <c r="I256" s="779"/>
      <c r="J256" s="895"/>
      <c r="K256" s="667"/>
      <c r="L256" s="312"/>
      <c r="M256" s="896"/>
      <c r="N256" s="894"/>
      <c r="O256" s="894"/>
      <c r="P256" s="897"/>
      <c r="Q256" s="894"/>
      <c r="R256" s="729"/>
      <c r="S256" s="69"/>
      <c r="T256" s="69"/>
      <c r="U256" s="161"/>
      <c r="V256" s="257"/>
      <c r="W256" s="461" t="s">
        <v>725</v>
      </c>
      <c r="X256" s="521">
        <v>4.0712799901597156</v>
      </c>
      <c r="Y256" s="480" t="e">
        <f ca="1">Y254/Z234</f>
        <v>#DIV/0!</v>
      </c>
      <c r="Z256" s="457" t="e">
        <f ca="1">(Y256-X256)/X256*100</f>
        <v>#DIV/0!</v>
      </c>
    </row>
    <row r="257" spans="1:47" ht="15.95" customHeight="1">
      <c r="A257" s="678" t="s">
        <v>1186</v>
      </c>
      <c r="B257" s="679" t="s">
        <v>64</v>
      </c>
      <c r="C257" s="679">
        <v>1</v>
      </c>
      <c r="D257" s="654" t="s">
        <v>47</v>
      </c>
      <c r="E257" s="654"/>
      <c r="F257" s="654" t="s">
        <v>48</v>
      </c>
      <c r="G257" s="654" t="s">
        <v>49</v>
      </c>
      <c r="H257" s="655" cm="1">
        <f t="array" aca="1" ref="H257" ca="1">IFERROR(
    INDIRECT(
        "RawData!" &amp;
        ADDRESS(
            2,
            MATCH(
                TRIM(MID(A257, SEARCH(". ", A257) + 2, LEN(A257))) &amp; ".Import_kWh",
                RawData!$1:$1,
                0
            ),
            4
        )
    ),
    0
)</f>
        <v>0</v>
      </c>
      <c r="I257" s="655" cm="1">
        <f t="array" aca="1" ref="I257" ca="1">IFERROR(
    INDIRECT(
        "RawData!" &amp;
        ADDRESS(
            COUNTA(RawData!A:A),
            MATCH(
                TRIM(MID(A257, SEARCH(". ", A257) + 2, LEN(A257))) &amp; ".Import_kWh",
                RawData!$1:$1,
                0
            ),
            4
        )
    ),
    0
)</f>
        <v>0</v>
      </c>
      <c r="J257" s="680">
        <f ca="1">(I257-H257)*C257</f>
        <v>0</v>
      </c>
      <c r="K257" s="824" t="e">
        <f ca="1">J257*K$212/(J$213+J$225+J$243+J$267+J$272+J$257)</f>
        <v>#DIV/0!</v>
      </c>
      <c r="L257" s="681" t="e">
        <f ca="1">K257/J257</f>
        <v>#DIV/0!</v>
      </c>
      <c r="M257" s="682" t="e">
        <f ca="1">R259+R260+R263+R265+R266+R261</f>
        <v>#DIV/0!</v>
      </c>
      <c r="N257" s="683"/>
      <c r="O257" s="683"/>
      <c r="P257" s="573"/>
      <c r="Q257" s="856"/>
      <c r="R257" s="575"/>
      <c r="S257" s="69"/>
      <c r="T257" s="69"/>
      <c r="U257" s="161"/>
      <c r="V257" s="522"/>
      <c r="W257" s="523" t="s">
        <v>726</v>
      </c>
      <c r="X257" s="524">
        <v>57.566141224188797</v>
      </c>
      <c r="Y257" s="525" t="e">
        <f ca="1">J777/(J770*24*30)*100</f>
        <v>#DIV/0!</v>
      </c>
      <c r="Z257" s="526" t="e">
        <f t="shared" ca="1" si="88"/>
        <v>#DIV/0!</v>
      </c>
    </row>
    <row r="258" spans="1:47" ht="15.95" customHeight="1">
      <c r="A258" s="555" t="s">
        <v>1151</v>
      </c>
      <c r="B258" s="595" t="s">
        <v>72</v>
      </c>
      <c r="C258" s="595">
        <v>1</v>
      </c>
      <c r="D258" s="595" t="s">
        <v>47</v>
      </c>
      <c r="E258" s="595"/>
      <c r="F258" s="595" t="s">
        <v>48</v>
      </c>
      <c r="G258" s="595" t="s">
        <v>49</v>
      </c>
      <c r="H258" s="665" cm="1">
        <f t="array" aca="1" ref="H258" ca="1">IFERROR(
    INDIRECT(
        "RawData!" &amp;
        ADDRESS(
            2,
            MATCH(
                TRIM(MID(A258, SEARCH(". ", A258) + 2, LEN(A258))) &amp; ".Import_kWh",
                RawData!$1:$1,
                0
            ),
            4
        )
    ),
    0
)</f>
        <v>0</v>
      </c>
      <c r="I258" s="665" cm="1">
        <f t="array" aca="1" ref="I258" ca="1">IFERROR(
    INDIRECT(
        "RawData!" &amp;
        ADDRESS(
            COUNTA(RawData!A:A),
            MATCH(
                TRIM(MID(A258, SEARCH(". ", A258) + 2, LEN(A258))) &amp; ".Import_kWh",
                RawData!$1:$1,
                0
            ),
            4
        )
    ),
    0
)</f>
        <v>0</v>
      </c>
      <c r="J258" s="666">
        <f ca="1">(I258-H258)*C258</f>
        <v>0</v>
      </c>
      <c r="K258" s="667" t="e">
        <f ca="1">J258*K$257/(J$258+J$262+J$264)</f>
        <v>#DIV/0!</v>
      </c>
      <c r="L258" s="312" t="e">
        <f ca="1">K258/J258</f>
        <v>#DIV/0!</v>
      </c>
      <c r="M258" s="668" t="e">
        <f ca="1">R259+R260+R261</f>
        <v>#DIV/0!</v>
      </c>
      <c r="N258" s="669"/>
      <c r="O258" s="669"/>
      <c r="P258" s="800"/>
      <c r="Q258" s="603"/>
      <c r="R258" s="569"/>
      <c r="S258" s="69"/>
      <c r="T258" s="69"/>
      <c r="U258" s="161"/>
      <c r="X258" s="79"/>
      <c r="Y258" s="527"/>
      <c r="Z258" s="49"/>
    </row>
    <row r="259" spans="1:47" ht="15.95" customHeight="1">
      <c r="A259" s="555" t="s">
        <v>727</v>
      </c>
      <c r="B259" s="671" t="s">
        <v>728</v>
      </c>
      <c r="C259" s="595"/>
      <c r="D259" s="595"/>
      <c r="E259" s="595"/>
      <c r="F259" s="595"/>
      <c r="G259" s="595"/>
      <c r="H259" s="724"/>
      <c r="I259" s="724"/>
      <c r="J259" s="666"/>
      <c r="K259" s="667"/>
      <c r="L259" s="312"/>
      <c r="M259" s="568">
        <v>32</v>
      </c>
      <c r="N259" s="669">
        <v>22</v>
      </c>
      <c r="O259" s="669">
        <v>29</v>
      </c>
      <c r="P259" s="689">
        <f>M259*O259</f>
        <v>928</v>
      </c>
      <c r="Q259" s="603">
        <f>P259/(P$259+P$260+P$261)</f>
        <v>0.50586266482782682</v>
      </c>
      <c r="R259" s="569" t="e">
        <f ca="1">K$258*Q259</f>
        <v>#DIV/0!</v>
      </c>
      <c r="S259" s="114" t="s">
        <v>200</v>
      </c>
      <c r="T259" s="115" t="s">
        <v>201</v>
      </c>
      <c r="U259" s="161"/>
      <c r="X259" s="49"/>
      <c r="Y259" s="527"/>
      <c r="Z259" s="79"/>
    </row>
    <row r="260" spans="1:47" ht="15.95" customHeight="1">
      <c r="A260" s="555" t="s">
        <v>729</v>
      </c>
      <c r="B260" s="595"/>
      <c r="C260" s="595"/>
      <c r="D260" s="595"/>
      <c r="E260" s="595"/>
      <c r="F260" s="595"/>
      <c r="G260" s="595"/>
      <c r="H260" s="724"/>
      <c r="I260" s="724"/>
      <c r="J260" s="666"/>
      <c r="K260" s="667"/>
      <c r="L260" s="312"/>
      <c r="M260" s="568">
        <f>20+20+0.06+7.65</f>
        <v>47.71</v>
      </c>
      <c r="N260" s="669">
        <v>17</v>
      </c>
      <c r="O260" s="669">
        <v>19</v>
      </c>
      <c r="P260" s="689">
        <f>M260*O260</f>
        <v>906.49</v>
      </c>
      <c r="Q260" s="603">
        <f>P260/(P$259+P$260+P$261)</f>
        <v>0.49413733517217318</v>
      </c>
      <c r="R260" s="569" t="e">
        <f ca="1">K$258*Q260</f>
        <v>#DIV/0!</v>
      </c>
      <c r="S260" s="114" t="s">
        <v>197</v>
      </c>
      <c r="T260" s="115" t="s">
        <v>198</v>
      </c>
      <c r="U260" s="161"/>
      <c r="V260" s="79"/>
      <c r="X260" s="79"/>
      <c r="Y260" s="528"/>
      <c r="Z260" s="79"/>
      <c r="AA260" s="504"/>
    </row>
    <row r="261" spans="1:47" ht="15.95" customHeight="1">
      <c r="A261" s="695" t="s">
        <v>730</v>
      </c>
      <c r="B261" s="898"/>
      <c r="C261" s="736"/>
      <c r="D261" s="736"/>
      <c r="E261" s="736"/>
      <c r="F261" s="736"/>
      <c r="G261" s="736"/>
      <c r="H261" s="899"/>
      <c r="I261" s="899"/>
      <c r="J261" s="742"/>
      <c r="K261" s="743" t="e">
        <f ca="1">R261/O261</f>
        <v>#DIV/0!</v>
      </c>
      <c r="L261" s="700"/>
      <c r="M261" s="738">
        <f>20+9.6+1.87</f>
        <v>31.470000000000002</v>
      </c>
      <c r="N261" s="727">
        <v>0</v>
      </c>
      <c r="O261" s="727">
        <v>0</v>
      </c>
      <c r="P261" s="689">
        <f>M261*O261</f>
        <v>0</v>
      </c>
      <c r="Q261" s="603">
        <f>P261/(P$259+P$260+P$261)</f>
        <v>0</v>
      </c>
      <c r="R261" s="569" t="e">
        <f ca="1">K$258*Q261</f>
        <v>#DIV/0!</v>
      </c>
      <c r="S261" s="114" t="s">
        <v>190</v>
      </c>
      <c r="T261" s="115" t="s">
        <v>191</v>
      </c>
      <c r="U261" s="161"/>
      <c r="X261" s="49"/>
      <c r="Y261" s="528"/>
      <c r="Z261" s="49"/>
    </row>
    <row r="262" spans="1:47" ht="15.95" customHeight="1">
      <c r="A262" s="555" t="s">
        <v>731</v>
      </c>
      <c r="B262" s="595" t="s">
        <v>72</v>
      </c>
      <c r="C262" s="595">
        <v>1</v>
      </c>
      <c r="D262" s="595" t="s">
        <v>47</v>
      </c>
      <c r="E262" s="595"/>
      <c r="F262" s="595" t="s">
        <v>48</v>
      </c>
      <c r="G262" s="595" t="s">
        <v>49</v>
      </c>
      <c r="H262" s="665" cm="1">
        <f t="array" aca="1" ref="H262" ca="1">IFERROR(
    INDIRECT(
        "RawData!" &amp;
        ADDRESS(
            2,
            MATCH(
                TRIM(MID(A262, SEARCH(". ", A262) + 2, LEN(A262))) &amp; ".Import_kWh",
                RawData!$1:$1,
                0
            ),
            4
        )
    ),
    0
)</f>
        <v>0</v>
      </c>
      <c r="I262" s="665" cm="1">
        <f t="array" aca="1" ref="I262" ca="1">IFERROR(
    INDIRECT(
        "RawData!" &amp;
        ADDRESS(
            COUNTA(RawData!A:A),
            MATCH(
                TRIM(MID(A262, SEARCH(". ", A262) + 2, LEN(A262))) &amp; ".Import_kWh",
                RawData!$1:$1,
                0
            ),
            4
        )
    ),
    0
)</f>
        <v>0</v>
      </c>
      <c r="J262" s="666">
        <f ca="1">(I262-H262)*C262</f>
        <v>0</v>
      </c>
      <c r="K262" s="667" t="e">
        <f ca="1">J262*K$257/(J$258+J$262+J$264)</f>
        <v>#DIV/0!</v>
      </c>
      <c r="L262" s="312" t="e">
        <f ca="1">K262/J262</f>
        <v>#DIV/0!</v>
      </c>
      <c r="M262" s="668" t="e">
        <f ca="1">R263</f>
        <v>#DIV/0!</v>
      </c>
      <c r="N262" s="669"/>
      <c r="O262" s="669"/>
      <c r="P262" s="800"/>
      <c r="Q262" s="603"/>
      <c r="R262" s="569"/>
      <c r="S262" s="69"/>
      <c r="T262" s="69"/>
      <c r="U262" s="161"/>
      <c r="X262" s="79"/>
      <c r="Y262" s="529"/>
      <c r="Z262" s="49"/>
      <c r="AB262" s="520"/>
    </row>
    <row r="263" spans="1:47" ht="15.95" customHeight="1">
      <c r="A263" s="664" t="s">
        <v>732</v>
      </c>
      <c r="B263" s="671"/>
      <c r="C263" s="595"/>
      <c r="D263" s="595"/>
      <c r="E263" s="595"/>
      <c r="F263" s="595"/>
      <c r="G263" s="595"/>
      <c r="H263" s="594"/>
      <c r="I263" s="594"/>
      <c r="J263" s="673"/>
      <c r="K263" s="667"/>
      <c r="L263" s="312"/>
      <c r="M263" s="568">
        <f>23.9+28.6</f>
        <v>52.5</v>
      </c>
      <c r="N263" s="669">
        <v>29</v>
      </c>
      <c r="O263" s="669">
        <v>43</v>
      </c>
      <c r="P263" s="689">
        <f>M263*O263</f>
        <v>2257.5</v>
      </c>
      <c r="Q263" s="603">
        <f>P263/(P$263)</f>
        <v>1</v>
      </c>
      <c r="R263" s="569" t="e">
        <f ca="1">Q263*K$262</f>
        <v>#DIV/0!</v>
      </c>
      <c r="S263" s="114" t="s">
        <v>266</v>
      </c>
      <c r="T263" s="115" t="s">
        <v>283</v>
      </c>
      <c r="U263" s="161"/>
      <c r="Y263" s="528"/>
      <c r="Z263" s="49"/>
    </row>
    <row r="264" spans="1:47" ht="15.95" customHeight="1">
      <c r="A264" s="664" t="s">
        <v>733</v>
      </c>
      <c r="B264" s="595" t="s">
        <v>382</v>
      </c>
      <c r="C264" s="595">
        <v>1</v>
      </c>
      <c r="D264" s="595" t="s">
        <v>47</v>
      </c>
      <c r="E264" s="595"/>
      <c r="F264" s="595" t="s">
        <v>48</v>
      </c>
      <c r="G264" s="595" t="s">
        <v>49</v>
      </c>
      <c r="H264" s="665" cm="1">
        <f t="array" aca="1" ref="H264" ca="1">IFERROR(
    INDIRECT(
        "RawData!" &amp;
        ADDRESS(
            2,
            MATCH(
                TRIM(MID(A264, SEARCH(". ", A264) + 2, LEN(A264))) &amp; ".Import_kWh",
                RawData!$1:$1,
                0
            ),
            4
        )
    ),
    0
)</f>
        <v>0</v>
      </c>
      <c r="I264" s="665" cm="1">
        <f t="array" aca="1" ref="I264" ca="1">IFERROR(
    INDIRECT(
        "RawData!" &amp;
        ADDRESS(
            COUNTA(RawData!A:A),
            MATCH(
                TRIM(MID(A264, SEARCH(". ", A264) + 2, LEN(A264))) &amp; ".Import_kWh",
                RawData!$1:$1,
                0
            ),
            4
        )
    ),
    0
)</f>
        <v>0</v>
      </c>
      <c r="J264" s="666">
        <f ca="1">(I264-H264)*C264</f>
        <v>0</v>
      </c>
      <c r="K264" s="667" t="e">
        <f ca="1">J264*K$257/(J$258+J$262+J$264)</f>
        <v>#DIV/0!</v>
      </c>
      <c r="L264" s="840" t="e">
        <f ca="1">K264/J264</f>
        <v>#DIV/0!</v>
      </c>
      <c r="M264" s="668" t="e">
        <f ca="1">R265+R266</f>
        <v>#DIV/0!</v>
      </c>
      <c r="N264" s="669"/>
      <c r="O264" s="669"/>
      <c r="P264" s="568"/>
      <c r="Q264" s="603"/>
      <c r="R264" s="569"/>
      <c r="S264" s="69"/>
      <c r="T264" s="69"/>
      <c r="U264" s="161"/>
      <c r="Y264" s="528"/>
      <c r="Z264" s="49"/>
      <c r="AA264" s="530"/>
      <c r="AB264" s="531"/>
    </row>
    <row r="265" spans="1:47" ht="15.95" customHeight="1">
      <c r="A265" s="664" t="s">
        <v>734</v>
      </c>
      <c r="B265" s="595"/>
      <c r="C265" s="595"/>
      <c r="D265" s="595"/>
      <c r="E265" s="595"/>
      <c r="F265" s="595"/>
      <c r="G265" s="595"/>
      <c r="H265" s="810"/>
      <c r="I265" s="810"/>
      <c r="J265" s="666"/>
      <c r="K265" s="667"/>
      <c r="L265" s="801"/>
      <c r="M265" s="676">
        <f>4.77+7.5+1.5</f>
        <v>13.77</v>
      </c>
      <c r="N265" s="669">
        <v>29</v>
      </c>
      <c r="O265" s="669">
        <v>43</v>
      </c>
      <c r="P265" s="568">
        <f>M265*O265</f>
        <v>592.11</v>
      </c>
      <c r="Q265" s="603">
        <f>P265/(P$265+P$266)</f>
        <v>0.25821264570823033</v>
      </c>
      <c r="R265" s="569" t="e">
        <f ca="1">K$264*Q265</f>
        <v>#DIV/0!</v>
      </c>
      <c r="S265" s="114" t="s">
        <v>266</v>
      </c>
      <c r="T265" s="115" t="s">
        <v>283</v>
      </c>
      <c r="U265" s="161"/>
      <c r="Y265" s="528"/>
      <c r="Z265" s="49"/>
      <c r="AA265" s="530"/>
      <c r="AB265" s="532"/>
    </row>
    <row r="266" spans="1:47" ht="15.95" customHeight="1">
      <c r="A266" s="664" t="s">
        <v>735</v>
      </c>
      <c r="B266" s="595"/>
      <c r="C266" s="595"/>
      <c r="D266" s="595"/>
      <c r="E266" s="595"/>
      <c r="F266" s="595"/>
      <c r="G266" s="595"/>
      <c r="H266" s="809"/>
      <c r="I266" s="809"/>
      <c r="J266" s="666"/>
      <c r="K266" s="667"/>
      <c r="L266" s="801"/>
      <c r="M266" s="455">
        <f>28.64+16+16+0.11</f>
        <v>60.75</v>
      </c>
      <c r="N266" s="669">
        <v>25</v>
      </c>
      <c r="O266" s="669">
        <v>28</v>
      </c>
      <c r="P266" s="568">
        <f>M266*O266</f>
        <v>1701</v>
      </c>
      <c r="Q266" s="603">
        <f>P266/(P$265+P$266)</f>
        <v>0.74178735429176967</v>
      </c>
      <c r="R266" s="569" t="e">
        <f ca="1">K$264*Q266</f>
        <v>#DIV/0!</v>
      </c>
      <c r="S266" s="114" t="s">
        <v>186</v>
      </c>
      <c r="T266" s="115" t="s">
        <v>187</v>
      </c>
      <c r="U266" s="161"/>
      <c r="Y266" s="528"/>
      <c r="Z266" s="49"/>
      <c r="AA266" s="533"/>
      <c r="AB266" s="532"/>
    </row>
    <row r="267" spans="1:47" ht="15.95" customHeight="1">
      <c r="A267" s="678" t="s">
        <v>736</v>
      </c>
      <c r="B267" s="679" t="s">
        <v>64</v>
      </c>
      <c r="C267" s="679">
        <v>1</v>
      </c>
      <c r="D267" s="654" t="s">
        <v>47</v>
      </c>
      <c r="E267" s="654"/>
      <c r="F267" s="654" t="s">
        <v>48</v>
      </c>
      <c r="G267" s="654" t="s">
        <v>49</v>
      </c>
      <c r="H267" s="655" cm="1">
        <f t="array" aca="1" ref="H267" ca="1">IFERROR(
    INDIRECT(
        "RawData!" &amp;
        ADDRESS(
            2,
            MATCH(
                TRIM(MID(A267, SEARCH(". ", A267) + 2, LEN(A267))) &amp; ".Import_kWh",
                RawData!$1:$1,
                0
            ),
            4
        )
    ),
    0
)</f>
        <v>0</v>
      </c>
      <c r="I267" s="655" cm="1">
        <f t="array" aca="1" ref="I267" ca="1">IFERROR(
    INDIRECT(
        "RawData!" &amp;
        ADDRESS(
            COUNTA(RawData!A:A),
            MATCH(
                TRIM(MID(A267, SEARCH(". ", A267) + 2, LEN(A267))) &amp; ".Import_kWh",
                RawData!$1:$1,
                0
            ),
            4
        )
    ),
    0
)</f>
        <v>0</v>
      </c>
      <c r="J267" s="680">
        <f ca="1">(I267-H267)*C267</f>
        <v>0</v>
      </c>
      <c r="K267" s="824" t="e">
        <f ca="1">J267*K$212/(J$213+J$225+J$243+J$267+J$272+J$257)</f>
        <v>#DIV/0!</v>
      </c>
      <c r="L267" s="681" t="e">
        <f ca="1">K267/J267</f>
        <v>#DIV/0!</v>
      </c>
      <c r="M267" s="900" t="e">
        <f ca="1">R268+R271</f>
        <v>#DIV/0!</v>
      </c>
      <c r="N267" s="683"/>
      <c r="O267" s="683"/>
      <c r="P267" s="573"/>
      <c r="Q267" s="856"/>
      <c r="R267" s="575"/>
      <c r="S267" s="69"/>
      <c r="T267" s="69"/>
      <c r="U267" s="161"/>
      <c r="Y267" s="528"/>
      <c r="Z267" s="49"/>
      <c r="AA267" s="533"/>
      <c r="AB267" s="532"/>
    </row>
    <row r="268" spans="1:47" ht="15.95" customHeight="1">
      <c r="A268" s="555" t="s">
        <v>737</v>
      </c>
      <c r="B268" s="595"/>
      <c r="C268" s="595"/>
      <c r="D268" s="595"/>
      <c r="E268" s="595"/>
      <c r="F268" s="595"/>
      <c r="G268" s="595"/>
      <c r="H268" s="617"/>
      <c r="I268" s="617"/>
      <c r="J268" s="673"/>
      <c r="K268" s="667" t="e">
        <f ca="1">K267-K271</f>
        <v>#DIV/0!</v>
      </c>
      <c r="L268" s="312"/>
      <c r="M268" s="901"/>
      <c r="N268" s="669"/>
      <c r="O268" s="669"/>
      <c r="P268" s="568"/>
      <c r="Q268" s="603"/>
      <c r="R268" s="569" t="e">
        <f ca="1">K268</f>
        <v>#DIV/0!</v>
      </c>
      <c r="S268" s="114" t="s">
        <v>228</v>
      </c>
      <c r="T268" s="115" t="s">
        <v>229</v>
      </c>
      <c r="U268" s="161"/>
      <c r="Y268" s="528"/>
      <c r="Z268" s="49"/>
      <c r="AA268" s="530"/>
      <c r="AB268" s="532"/>
    </row>
    <row r="269" spans="1:47" ht="15.95" customHeight="1">
      <c r="A269" s="555" t="s">
        <v>738</v>
      </c>
      <c r="B269" s="595"/>
      <c r="C269" s="595"/>
      <c r="D269" s="595"/>
      <c r="E269" s="595"/>
      <c r="F269" s="595"/>
      <c r="G269" s="595"/>
      <c r="H269" s="762"/>
      <c r="I269" s="762"/>
      <c r="J269" s="673"/>
      <c r="K269" s="568"/>
      <c r="L269" s="312"/>
      <c r="M269" s="902"/>
      <c r="N269" s="669"/>
      <c r="O269" s="669"/>
      <c r="P269" s="568"/>
      <c r="Q269" s="603"/>
      <c r="R269" s="569"/>
      <c r="S269" s="69"/>
      <c r="T269" s="69"/>
      <c r="U269" s="161"/>
      <c r="Y269" s="528"/>
      <c r="Z269" s="49"/>
      <c r="AA269" s="530"/>
      <c r="AB269" s="532"/>
    </row>
    <row r="270" spans="1:47" ht="15.95" customHeight="1">
      <c r="A270" s="555" t="s">
        <v>739</v>
      </c>
      <c r="B270" s="595"/>
      <c r="C270" s="595"/>
      <c r="D270" s="595"/>
      <c r="E270" s="595"/>
      <c r="F270" s="595"/>
      <c r="G270" s="595"/>
      <c r="H270" s="762"/>
      <c r="I270" s="762"/>
      <c r="J270" s="673"/>
      <c r="K270" s="568"/>
      <c r="L270" s="840"/>
      <c r="M270" s="901"/>
      <c r="N270" s="669"/>
      <c r="O270" s="669"/>
      <c r="P270" s="568"/>
      <c r="Q270" s="603"/>
      <c r="R270" s="569"/>
      <c r="S270" s="69"/>
      <c r="T270" s="69"/>
      <c r="U270" s="161"/>
      <c r="Y270" s="528"/>
      <c r="Z270" s="49"/>
      <c r="AA270" s="530"/>
      <c r="AB270" s="532"/>
      <c r="AT270" s="49"/>
      <c r="AU270" s="7"/>
    </row>
    <row r="271" spans="1:47" ht="15.95" customHeight="1">
      <c r="A271" s="555" t="s">
        <v>1187</v>
      </c>
      <c r="B271" s="865" t="s">
        <v>382</v>
      </c>
      <c r="C271" s="595">
        <v>1</v>
      </c>
      <c r="D271" s="595" t="s">
        <v>47</v>
      </c>
      <c r="E271" s="595"/>
      <c r="F271" s="595" t="s">
        <v>48</v>
      </c>
      <c r="G271" s="595" t="s">
        <v>49</v>
      </c>
      <c r="H271" s="665" cm="1">
        <f t="array" aca="1" ref="H271" ca="1">IFERROR(
    INDIRECT(
        "RawData!" &amp;
        ADDRESS(
            2,
            MATCH(
                TRIM(MID(A271, SEARCH(". ", A271) + 2, LEN(A271))) &amp; ".Import_kWh",
                RawData!$1:$1,
                0
            ),
            4
        )
    ),
    0
)</f>
        <v>0</v>
      </c>
      <c r="I271" s="665" cm="1">
        <f t="array" aca="1" ref="I271" ca="1">IFERROR(
    INDIRECT(
        "RawData!" &amp;
        ADDRESS(
            COUNTA(RawData!A:A),
            MATCH(
                TRIM(MID(A271, SEARCH(". ", A271) + 2, LEN(A271))) &amp; ".Import_kWh",
                RawData!$1:$1,
                0
            ),
            4
        )
    ),
    0
)</f>
        <v>0</v>
      </c>
      <c r="J271" s="666">
        <f ca="1">(I271-H271)*C271</f>
        <v>0</v>
      </c>
      <c r="K271" s="667">
        <f ca="1">J271</f>
        <v>0</v>
      </c>
      <c r="L271" s="801"/>
      <c r="M271" s="903"/>
      <c r="N271" s="669"/>
      <c r="O271" s="669"/>
      <c r="P271" s="568"/>
      <c r="Q271" s="603"/>
      <c r="R271" s="569">
        <f ca="1">K271</f>
        <v>0</v>
      </c>
      <c r="S271" s="114" t="s">
        <v>228</v>
      </c>
      <c r="T271" s="115" t="s">
        <v>740</v>
      </c>
      <c r="U271" s="161"/>
      <c r="Y271" s="528"/>
      <c r="Z271" s="49"/>
      <c r="AA271" s="530"/>
      <c r="AB271" s="532"/>
    </row>
    <row r="272" spans="1:47" ht="15.95" customHeight="1">
      <c r="A272" s="678" t="s">
        <v>741</v>
      </c>
      <c r="B272" s="679" t="s">
        <v>64</v>
      </c>
      <c r="C272" s="679">
        <v>1</v>
      </c>
      <c r="D272" s="654" t="s">
        <v>47</v>
      </c>
      <c r="E272" s="654"/>
      <c r="F272" s="654" t="s">
        <v>48</v>
      </c>
      <c r="G272" s="654" t="s">
        <v>49</v>
      </c>
      <c r="H272" s="655" cm="1">
        <f t="array" aca="1" ref="H272" ca="1">IFERROR(
    INDIRECT(
        "RawData!" &amp;
        ADDRESS(
            2,
            MATCH(
                TRIM(MID(A272, SEARCH(". ", A272) + 2, LEN(A272))) &amp; ".Import_kWh",
                RawData!$1:$1,
                0
            ),
            4
        )
    ),
    0
)</f>
        <v>0</v>
      </c>
      <c r="I272" s="655" cm="1">
        <f t="array" aca="1" ref="I272" ca="1">IFERROR(
    INDIRECT(
        "RawData!" &amp;
        ADDRESS(
            COUNTA(RawData!A:A),
            MATCH(
                TRIM(MID(A272, SEARCH(". ", A272) + 2, LEN(A272))) &amp; ".Import_kWh",
                RawData!$1:$1,
                0
            ),
            4
        )
    ),
    0
)</f>
        <v>0</v>
      </c>
      <c r="J272" s="680">
        <f ca="1">(I272-H272)*C272</f>
        <v>0</v>
      </c>
      <c r="K272" s="824" t="e">
        <f ca="1">J272*K$212/(J$213+J$225+J$243+J$267+J$272+J$257)</f>
        <v>#DIV/0!</v>
      </c>
      <c r="L272" s="681" t="e">
        <f ca="1">K272/J272</f>
        <v>#DIV/0!</v>
      </c>
      <c r="M272" s="904" t="e">
        <f ca="1">R272+R274+R277+R278+R279+R283+R281</f>
        <v>#DIV/0!</v>
      </c>
      <c r="N272" s="683"/>
      <c r="O272" s="683"/>
      <c r="P272" s="573"/>
      <c r="Q272" s="856"/>
      <c r="R272" s="575" t="e">
        <f ca="1">K273</f>
        <v>#DIV/0!</v>
      </c>
      <c r="S272" s="114" t="s">
        <v>228</v>
      </c>
      <c r="T272" s="115" t="s">
        <v>229</v>
      </c>
      <c r="U272" s="161"/>
      <c r="Y272" s="528"/>
      <c r="Z272" s="49"/>
      <c r="AA272" s="530"/>
      <c r="AB272" s="532"/>
      <c r="AU272" s="534"/>
    </row>
    <row r="273" spans="1:28" ht="15.95" customHeight="1">
      <c r="A273" s="555" t="s">
        <v>742</v>
      </c>
      <c r="B273" s="595"/>
      <c r="C273" s="595"/>
      <c r="D273" s="595"/>
      <c r="E273" s="595"/>
      <c r="F273" s="595"/>
      <c r="G273" s="595"/>
      <c r="H273" s="762"/>
      <c r="I273" s="762"/>
      <c r="J273" s="666"/>
      <c r="K273" s="667" t="e">
        <f ca="1">K272-(K274+K276+K283+K281)</f>
        <v>#DIV/0!</v>
      </c>
      <c r="L273" s="312"/>
      <c r="M273" s="905"/>
      <c r="N273" s="669"/>
      <c r="O273" s="669"/>
      <c r="P273" s="568"/>
      <c r="Q273" s="603"/>
      <c r="R273" s="569"/>
      <c r="S273" s="69"/>
      <c r="T273" s="69"/>
      <c r="U273" s="161"/>
      <c r="Y273" s="528"/>
      <c r="Z273" s="49"/>
      <c r="AA273" s="530"/>
      <c r="AB273" s="532"/>
    </row>
    <row r="274" spans="1:28" ht="15.95" customHeight="1">
      <c r="A274" s="555" t="s">
        <v>743</v>
      </c>
      <c r="B274" s="595" t="s">
        <v>382</v>
      </c>
      <c r="C274" s="595">
        <v>1</v>
      </c>
      <c r="D274" s="595" t="s">
        <v>47</v>
      </c>
      <c r="E274" s="595"/>
      <c r="F274" s="595" t="s">
        <v>48</v>
      </c>
      <c r="G274" s="595" t="s">
        <v>49</v>
      </c>
      <c r="H274" s="665" cm="1">
        <f t="array" aca="1" ref="H274" ca="1">IFERROR(
    INDIRECT(
        "RawData!" &amp;
        ADDRESS(
            2,
            MATCH(
                TRIM(MID(A273, SEARCH(". ", A273) + 2, LEN(A273))) &amp; ".Import_kWh",
                RawData!$1:$1,
                0
            ),
            4
        )
    ),
    0
)</f>
        <v>0</v>
      </c>
      <c r="I274" s="665" cm="1">
        <f t="array" aca="1" ref="I274" ca="1">IFERROR(
    INDIRECT(
        "RawData!" &amp;
        ADDRESS(
            COUNTA(RawData!A:A),
            MATCH(
                TRIM(MID(A273, SEARCH(". ", A273) + 2, LEN(A273))) &amp; ".Import_kWh",
                RawData!$1:$1,
                0
            ),
            4
        )
    ),
    0
)</f>
        <v>0</v>
      </c>
      <c r="J274" s="666">
        <f ca="1">(I274-H274)*C274</f>
        <v>0</v>
      </c>
      <c r="K274" s="667">
        <f ca="1">J274</f>
        <v>0</v>
      </c>
      <c r="L274" s="312"/>
      <c r="M274" s="905"/>
      <c r="N274" s="669"/>
      <c r="O274" s="669"/>
      <c r="P274" s="568"/>
      <c r="Q274" s="603"/>
      <c r="R274" s="569">
        <f ca="1">K274</f>
        <v>0</v>
      </c>
      <c r="S274" s="114" t="s">
        <v>236</v>
      </c>
      <c r="T274" s="115" t="s">
        <v>237</v>
      </c>
      <c r="U274" s="161"/>
      <c r="Y274" s="528"/>
      <c r="Z274" s="49"/>
      <c r="AA274" s="530"/>
      <c r="AB274" s="532"/>
    </row>
    <row r="275" spans="1:28" ht="15.95" customHeight="1">
      <c r="A275" s="555" t="s">
        <v>744</v>
      </c>
      <c r="B275" s="595"/>
      <c r="C275" s="595"/>
      <c r="D275" s="595"/>
      <c r="E275" s="595"/>
      <c r="F275" s="595"/>
      <c r="G275" s="595"/>
      <c r="H275" s="762"/>
      <c r="I275" s="762"/>
      <c r="J275" s="666"/>
      <c r="K275" s="667"/>
      <c r="L275" s="312"/>
      <c r="M275" s="905"/>
      <c r="N275" s="669"/>
      <c r="O275" s="669"/>
      <c r="P275" s="568"/>
      <c r="Q275" s="603"/>
      <c r="R275" s="569"/>
      <c r="S275" s="69"/>
      <c r="T275" s="69"/>
      <c r="U275" s="161"/>
      <c r="Y275" s="528"/>
      <c r="Z275" s="49"/>
      <c r="AA275" s="530"/>
      <c r="AB275" s="532"/>
    </row>
    <row r="276" spans="1:28" ht="15.95" customHeight="1">
      <c r="A276" s="804" t="s">
        <v>745</v>
      </c>
      <c r="B276" s="696" t="s">
        <v>512</v>
      </c>
      <c r="C276" s="696">
        <v>30</v>
      </c>
      <c r="D276" s="696" t="s">
        <v>335</v>
      </c>
      <c r="E276" s="906" t="s">
        <v>336</v>
      </c>
      <c r="F276" s="696" t="s">
        <v>243</v>
      </c>
      <c r="G276" s="696" t="s">
        <v>49</v>
      </c>
      <c r="H276" s="886" cm="1">
        <f t="array" aca="1" ref="H276" ca="1">IFERROR(
    INDIRECT(
        "RawData!" &amp;
        ADDRESS(
            2,
            MATCH(
                TRIM(MID(A276, SEARCH(". ", A276) + 2, LEN(A276))) &amp; ".Import_kWh",
                RawData!$1:$1,
                0
            ),
            4
        )
    ),
    0
)</f>
        <v>0</v>
      </c>
      <c r="I276" s="886" cm="1">
        <f t="array" aca="1" ref="I276" ca="1">IFERROR(
    INDIRECT(
        "RawData!" &amp;
        ADDRESS(
            COUNTA(RawData!A:A),
            MATCH(
                TRIM(MID(A276, SEARCH(". ", A276) + 2, LEN(A276))) &amp; ".Import_kWh",
                RawData!$1:$1,
                0
            ),
            4
        )
    ),
    0
)</f>
        <v>0</v>
      </c>
      <c r="J276" s="742">
        <f ca="1">(I276-H276)*C276</f>
        <v>0</v>
      </c>
      <c r="K276" s="743">
        <f ca="1">J276</f>
        <v>0</v>
      </c>
      <c r="L276" s="700"/>
      <c r="M276" s="908" t="e">
        <f ca="1">R277+R278+R279</f>
        <v>#DIV/0!</v>
      </c>
      <c r="N276" s="887"/>
      <c r="O276" s="887"/>
      <c r="P276" s="699"/>
      <c r="Q276" s="843"/>
      <c r="R276" s="704"/>
      <c r="T276" s="69"/>
      <c r="U276" s="161"/>
      <c r="Y276" s="528"/>
      <c r="Z276" s="49"/>
      <c r="AA276" s="530"/>
      <c r="AB276" s="532"/>
    </row>
    <row r="277" spans="1:28" ht="15.95" customHeight="1">
      <c r="A277" s="804" t="s">
        <v>1174</v>
      </c>
      <c r="B277" s="696"/>
      <c r="C277" s="696"/>
      <c r="D277" s="696"/>
      <c r="E277" s="696"/>
      <c r="F277" s="696"/>
      <c r="G277" s="696"/>
      <c r="H277" s="907"/>
      <c r="I277" s="907"/>
      <c r="J277" s="698"/>
      <c r="K277" s="699"/>
      <c r="L277" s="700"/>
      <c r="M277" s="909"/>
      <c r="N277" s="887"/>
      <c r="O277" s="887"/>
      <c r="P277" s="699">
        <f ca="1">J208</f>
        <v>0</v>
      </c>
      <c r="Q277" s="843" t="e">
        <f ca="1">P277/(P$277+P$278+P$279)</f>
        <v>#DIV/0!</v>
      </c>
      <c r="R277" s="704" t="e">
        <f ca="1">Q277*K$276</f>
        <v>#DIV/0!</v>
      </c>
      <c r="S277" s="52" t="s">
        <v>240</v>
      </c>
      <c r="T277" s="52" t="s">
        <v>445</v>
      </c>
      <c r="U277" s="161"/>
      <c r="Y277" s="528"/>
      <c r="Z277" s="49"/>
      <c r="AA277" s="530"/>
      <c r="AB277" s="532"/>
    </row>
    <row r="278" spans="1:28" ht="15.95" customHeight="1">
      <c r="A278" s="804" t="s">
        <v>746</v>
      </c>
      <c r="B278" s="696"/>
      <c r="C278" s="696"/>
      <c r="D278" s="696"/>
      <c r="E278" s="696"/>
      <c r="F278" s="696"/>
      <c r="G278" s="696"/>
      <c r="H278" s="907"/>
      <c r="I278" s="907"/>
      <c r="J278" s="698"/>
      <c r="K278" s="699"/>
      <c r="L278" s="700"/>
      <c r="M278" s="909"/>
      <c r="N278" s="887"/>
      <c r="O278" s="887"/>
      <c r="P278" s="699">
        <f ca="1">J274</f>
        <v>0</v>
      </c>
      <c r="Q278" s="843" t="e">
        <f ca="1">P278/(P$277+P$278+P$279)</f>
        <v>#DIV/0!</v>
      </c>
      <c r="R278" s="704" t="e">
        <f ca="1">Q278*K$276</f>
        <v>#DIV/0!</v>
      </c>
      <c r="S278" s="52" t="s">
        <v>236</v>
      </c>
      <c r="T278" s="52" t="s">
        <v>449</v>
      </c>
      <c r="U278" s="161"/>
      <c r="Y278" s="528"/>
      <c r="Z278" s="49"/>
      <c r="AA278" s="530"/>
      <c r="AB278" s="532"/>
    </row>
    <row r="279" spans="1:28" ht="15.95" customHeight="1">
      <c r="A279" s="804" t="s">
        <v>747</v>
      </c>
      <c r="B279" s="696"/>
      <c r="C279" s="696"/>
      <c r="D279" s="696"/>
      <c r="E279" s="696"/>
      <c r="F279" s="696"/>
      <c r="G279" s="696"/>
      <c r="H279" s="907"/>
      <c r="I279" s="907"/>
      <c r="J279" s="698"/>
      <c r="K279" s="699"/>
      <c r="L279" s="700"/>
      <c r="M279" s="909"/>
      <c r="N279" s="887"/>
      <c r="O279" s="887"/>
      <c r="P279" s="699" t="e">
        <f ca="1">(W300*2)+K207</f>
        <v>#DIV/0!</v>
      </c>
      <c r="Q279" s="843" t="e">
        <f ca="1">P279/(P$277+P$278+P$279)</f>
        <v>#DIV/0!</v>
      </c>
      <c r="R279" s="704" t="e">
        <f ca="1">Q279*K$276</f>
        <v>#DIV/0!</v>
      </c>
      <c r="S279" s="52" t="s">
        <v>228</v>
      </c>
      <c r="T279" s="52" t="s">
        <v>444</v>
      </c>
      <c r="U279" s="161"/>
      <c r="Y279" s="528"/>
      <c r="Z279" s="49"/>
      <c r="AA279" s="530"/>
      <c r="AB279" s="532"/>
    </row>
    <row r="280" spans="1:28" ht="15.95" customHeight="1">
      <c r="A280" s="555" t="s">
        <v>748</v>
      </c>
      <c r="B280" s="595"/>
      <c r="C280" s="595"/>
      <c r="D280" s="595"/>
      <c r="E280" s="595"/>
      <c r="F280" s="595"/>
      <c r="G280" s="595"/>
      <c r="H280" s="762"/>
      <c r="I280" s="762"/>
      <c r="J280" s="673"/>
      <c r="K280" s="568"/>
      <c r="L280" s="312"/>
      <c r="M280" s="905"/>
      <c r="N280" s="669"/>
      <c r="O280" s="669"/>
      <c r="P280" s="568"/>
      <c r="Q280" s="603"/>
      <c r="R280" s="569"/>
      <c r="S280" s="69"/>
      <c r="T280" s="69"/>
      <c r="U280" s="161"/>
      <c r="V280" s="161"/>
      <c r="W280" s="161"/>
      <c r="X280" s="161"/>
      <c r="Y280" s="528"/>
      <c r="Z280" s="161"/>
      <c r="AA280" s="530"/>
      <c r="AB280" s="532"/>
    </row>
    <row r="281" spans="1:28" ht="15.95" customHeight="1">
      <c r="A281" s="804" t="s">
        <v>1253</v>
      </c>
      <c r="B281" s="696"/>
      <c r="C281" s="696">
        <v>1</v>
      </c>
      <c r="D281" s="696"/>
      <c r="E281" s="696"/>
      <c r="F281" s="696"/>
      <c r="G281" s="696"/>
      <c r="H281" s="886" cm="1">
        <f t="array" aca="1" ref="H281" ca="1">IFERROR(
    INDIRECT(
        "RawData!" &amp;
        ADDRESS(
            2,
            MATCH(
                TRIM(MID(A281, SEARCH(". ", A281) + 2, LEN(A281))) &amp; ".Import_kWh",
                RawData!$1:$1,
                0
            ),
            4
        )
    ),
    0
)</f>
        <v>0</v>
      </c>
      <c r="I281" s="886" cm="1">
        <f t="array" aca="1" ref="I281" ca="1">IFERROR(
    INDIRECT(
        "RawData!" &amp;
        ADDRESS(
            COUNTA(RawData!A:A),
            MATCH(
                TRIM(MID(A281, SEARCH(". ", A281) + 2, LEN(A281))) &amp; ".Import_kWh",
                RawData!$1:$1,
                0
            ),
            4
        )
    ),
    0
)</f>
        <v>0</v>
      </c>
      <c r="J281" s="742">
        <f ca="1">(I281-H281)*C281</f>
        <v>0</v>
      </c>
      <c r="K281" s="743">
        <f ca="1">J281</f>
        <v>0</v>
      </c>
      <c r="L281" s="700"/>
      <c r="M281" s="909"/>
      <c r="N281" s="887"/>
      <c r="O281" s="887"/>
      <c r="P281" s="699"/>
      <c r="Q281" s="843"/>
      <c r="R281" s="704">
        <f ca="1">K281</f>
        <v>0</v>
      </c>
      <c r="S281" s="69"/>
      <c r="T281" s="69"/>
      <c r="U281" s="161"/>
      <c r="V281" s="161"/>
      <c r="W281" s="161"/>
      <c r="X281" s="161"/>
      <c r="Y281" s="528"/>
      <c r="Z281" s="161"/>
      <c r="AA281" s="530"/>
      <c r="AB281" s="532"/>
    </row>
    <row r="282" spans="1:28" ht="15.95" customHeight="1">
      <c r="A282" s="555" t="s">
        <v>749</v>
      </c>
      <c r="B282" s="595"/>
      <c r="C282" s="595"/>
      <c r="D282" s="595"/>
      <c r="E282" s="595"/>
      <c r="F282" s="595"/>
      <c r="G282" s="595"/>
      <c r="H282" s="762"/>
      <c r="I282" s="762"/>
      <c r="J282" s="673"/>
      <c r="K282" s="568"/>
      <c r="L282" s="312"/>
      <c r="M282" s="905"/>
      <c r="N282" s="669"/>
      <c r="O282" s="669"/>
      <c r="P282" s="568"/>
      <c r="Q282" s="603"/>
      <c r="R282" s="569"/>
      <c r="S282" s="69"/>
      <c r="T282" s="69"/>
      <c r="U282" s="161"/>
      <c r="V282" s="161"/>
      <c r="W282" s="161"/>
      <c r="X282" s="161"/>
      <c r="Y282" s="529"/>
      <c r="Z282" s="161"/>
      <c r="AA282" s="530"/>
      <c r="AB282" s="532"/>
    </row>
    <row r="283" spans="1:28" ht="15.95" customHeight="1">
      <c r="A283" s="804" t="s">
        <v>750</v>
      </c>
      <c r="B283" s="696" t="s">
        <v>512</v>
      </c>
      <c r="C283" s="696">
        <v>30</v>
      </c>
      <c r="D283" s="696" t="s">
        <v>335</v>
      </c>
      <c r="E283" s="906" t="s">
        <v>336</v>
      </c>
      <c r="F283" s="696" t="s">
        <v>243</v>
      </c>
      <c r="G283" s="696" t="s">
        <v>49</v>
      </c>
      <c r="H283" s="886" cm="1">
        <f t="array" aca="1" ref="H283" ca="1">IFERROR(
    INDIRECT(
        "RawData!" &amp;
        ADDRESS(
            2,
            MATCH(
                TRIM(MID(A283, SEARCH(". ", A283) + 2, LEN(A283))) &amp; ".Import_kWh",
                RawData!$1:$1,
                0
            ),
            4
        )
    ),
    0
)</f>
        <v>0</v>
      </c>
      <c r="I283" s="886" cm="1">
        <f t="array" aca="1" ref="I283" ca="1">IFERROR(
    INDIRECT(
        "RawData!" &amp;
        ADDRESS(
            COUNTA(RawData!A:A),
            MATCH(
                TRIM(MID(A283, SEARCH(". ", A283) + 2, LEN(A283))) &amp; ".Import_kWh",
                RawData!$1:$1,
                0
            ),
            4
        )
    ),
    0
)</f>
        <v>0</v>
      </c>
      <c r="J283" s="698">
        <f ca="1">(I283-H283)*C283</f>
        <v>0</v>
      </c>
      <c r="K283" s="743">
        <f ca="1">J283</f>
        <v>0</v>
      </c>
      <c r="L283" s="700"/>
      <c r="M283" s="909"/>
      <c r="N283" s="887"/>
      <c r="O283" s="887"/>
      <c r="P283" s="699"/>
      <c r="Q283" s="843"/>
      <c r="R283" s="704">
        <f ca="1">K283</f>
        <v>0</v>
      </c>
      <c r="S283" s="535" t="s">
        <v>228</v>
      </c>
      <c r="T283" s="535" t="s">
        <v>444</v>
      </c>
      <c r="U283" s="161"/>
      <c r="V283" s="161"/>
      <c r="W283" s="161"/>
      <c r="X283" s="161"/>
      <c r="Y283" s="529"/>
      <c r="Z283" s="536"/>
      <c r="AA283" s="530"/>
      <c r="AB283" s="532"/>
    </row>
    <row r="284" spans="1:28" ht="15.95" customHeight="1">
      <c r="A284" s="555" t="s">
        <v>751</v>
      </c>
      <c r="B284" s="595"/>
      <c r="C284" s="595"/>
      <c r="D284" s="595"/>
      <c r="E284" s="595"/>
      <c r="F284" s="595"/>
      <c r="G284" s="595"/>
      <c r="H284" s="762"/>
      <c r="I284" s="762"/>
      <c r="J284" s="673"/>
      <c r="K284" s="667"/>
      <c r="L284" s="312"/>
      <c r="M284" s="905"/>
      <c r="N284" s="669"/>
      <c r="O284" s="669"/>
      <c r="P284" s="568"/>
      <c r="Q284" s="603"/>
      <c r="R284" s="569"/>
      <c r="S284" s="69"/>
      <c r="T284" s="69"/>
      <c r="U284" s="161"/>
      <c r="V284" s="161"/>
      <c r="W284" s="161"/>
      <c r="X284" s="451"/>
      <c r="Y284" s="537"/>
      <c r="Z284" s="538"/>
      <c r="AA284" s="530"/>
      <c r="AB284" s="532"/>
    </row>
    <row r="285" spans="1:28" ht="15.95" customHeight="1">
      <c r="A285" s="910" t="s">
        <v>752</v>
      </c>
      <c r="B285" s="911" t="s">
        <v>753</v>
      </c>
      <c r="C285" s="911">
        <v>1</v>
      </c>
      <c r="D285" s="786" t="s">
        <v>47</v>
      </c>
      <c r="E285" s="911"/>
      <c r="F285" s="786" t="s">
        <v>243</v>
      </c>
      <c r="G285" s="786" t="s">
        <v>49</v>
      </c>
      <c r="H285" s="766" cm="1">
        <f t="array" aca="1" ref="H285" ca="1">IFERROR(
    INDIRECT(
        "RawData!" &amp;
        ADDRESS(
            2,
            MATCH(
                TRIM(MID(A285, SEARCH(". ", A285) + 2, LEN(A285))) &amp; ".Import_kWh",
                RawData!$1:$1,
                0
            ),
            4
        )
    ),
    0
)</f>
        <v>0</v>
      </c>
      <c r="I285" s="766" cm="1">
        <f t="array" aca="1" ref="I285" ca="1">IFERROR(
    INDIRECT(
        "RawData!" &amp;
        ADDRESS(
            COUNTA(RawData!A:A),
            MATCH(
                TRIM(MID(A285, SEARCH(". ", A285) + 2, LEN(A285))) &amp; ".Import_kWh",
                RawData!$1:$1,
                0
            ),
            4
        )
    ),
    0
)</f>
        <v>0</v>
      </c>
      <c r="J285" s="646">
        <f ca="1">(I285-H285)*C285</f>
        <v>0</v>
      </c>
      <c r="K285" s="647" t="e">
        <f ca="1">J285*J$777/(J$5+J$65+J$72+J$81+J$89+J$138+J$212+J$285+J$306+J$373+J$388+J$396+J$397+J$450+J$463+J$471+J$513+J$564+J$603+J$646)</f>
        <v>#DIV/0!</v>
      </c>
      <c r="L285" s="912" t="e">
        <f ca="1">K285/J285</f>
        <v>#DIV/0!</v>
      </c>
      <c r="M285" s="913" t="e">
        <f ca="1">R287+R288+R289+R290+R291+R292+R293+R294+R295+R296+R297+R298+R299+R301+R302+R304</f>
        <v>#DIV/0!</v>
      </c>
      <c r="N285" s="914"/>
      <c r="O285" s="914"/>
      <c r="P285" s="915"/>
      <c r="Q285" s="915"/>
      <c r="R285" s="916"/>
      <c r="S285" s="69"/>
      <c r="T285" s="69"/>
      <c r="U285" s="161"/>
      <c r="V285" s="161"/>
      <c r="W285" s="539"/>
      <c r="X285" s="540"/>
      <c r="Y285" s="541"/>
      <c r="Z285" s="451"/>
      <c r="AA285" s="530"/>
      <c r="AB285" s="532"/>
    </row>
    <row r="286" spans="1:28" ht="15.95" customHeight="1">
      <c r="A286" s="555"/>
      <c r="B286" s="800"/>
      <c r="C286" s="800"/>
      <c r="D286" s="800"/>
      <c r="E286" s="800"/>
      <c r="F286" s="800"/>
      <c r="G286" s="800"/>
      <c r="H286" s="594"/>
      <c r="I286" s="594"/>
      <c r="J286" s="675"/>
      <c r="K286" s="667" t="e">
        <f ca="1">K285-(K301+K302+K304)</f>
        <v>#DIV/0!</v>
      </c>
      <c r="L286" s="801"/>
      <c r="M286" s="873"/>
      <c r="N286" s="687"/>
      <c r="O286" s="687"/>
      <c r="P286" s="917"/>
      <c r="Q286" s="917"/>
      <c r="R286" s="918"/>
      <c r="S286" s="69"/>
      <c r="T286" s="69"/>
      <c r="U286" s="161"/>
      <c r="V286" s="161"/>
      <c r="W286" s="539"/>
      <c r="X286" s="527"/>
      <c r="Y286" s="527"/>
      <c r="Z286" s="451"/>
      <c r="AA286" s="530"/>
      <c r="AB286" s="532"/>
    </row>
    <row r="287" spans="1:28" ht="15.95" customHeight="1">
      <c r="A287" s="555" t="s">
        <v>754</v>
      </c>
      <c r="B287" s="903"/>
      <c r="C287" s="800"/>
      <c r="D287" s="800"/>
      <c r="E287" s="800"/>
      <c r="F287" s="800"/>
      <c r="G287" s="800"/>
      <c r="H287" s="594"/>
      <c r="I287" s="594"/>
      <c r="J287" s="673"/>
      <c r="K287" s="568"/>
      <c r="L287" s="801"/>
      <c r="M287" s="873"/>
      <c r="N287" s="687"/>
      <c r="O287" s="687"/>
      <c r="P287" s="800">
        <v>59</v>
      </c>
      <c r="Q287" s="917">
        <f t="shared" ref="Q287:Q299" si="89">P287/(P$287+P$288+P$289+P$290+P$291+P$292+P$293+P$294+P$295+P$296+P$297+P$298+P$299)</f>
        <v>0.4041095890410959</v>
      </c>
      <c r="R287" s="918" t="e">
        <f t="shared" ref="R287:R299" ca="1" si="90">Q287*K$286</f>
        <v>#DIV/0!</v>
      </c>
      <c r="S287" s="535" t="s">
        <v>65</v>
      </c>
      <c r="T287" s="535" t="s">
        <v>66</v>
      </c>
      <c r="U287" s="161"/>
      <c r="V287" s="161"/>
      <c r="W287" s="539"/>
      <c r="X287" s="540"/>
      <c r="Y287" s="528"/>
      <c r="Z287" s="451"/>
      <c r="AA287" s="530"/>
      <c r="AB287" s="532"/>
    </row>
    <row r="288" spans="1:28" ht="15.75" customHeight="1">
      <c r="A288" s="555" t="s">
        <v>755</v>
      </c>
      <c r="B288" s="903"/>
      <c r="C288" s="800"/>
      <c r="D288" s="800"/>
      <c r="E288" s="800"/>
      <c r="F288" s="800"/>
      <c r="G288" s="800"/>
      <c r="H288" s="594"/>
      <c r="I288" s="594"/>
      <c r="J288" s="673"/>
      <c r="K288" s="568"/>
      <c r="L288" s="801"/>
      <c r="M288" s="873"/>
      <c r="N288" s="687"/>
      <c r="O288" s="687"/>
      <c r="P288" s="800">
        <v>23</v>
      </c>
      <c r="Q288" s="917">
        <f t="shared" si="89"/>
        <v>0.15753424657534246</v>
      </c>
      <c r="R288" s="918" t="e">
        <f t="shared" ca="1" si="90"/>
        <v>#DIV/0!</v>
      </c>
      <c r="S288" s="535" t="s">
        <v>65</v>
      </c>
      <c r="T288" s="535" t="s">
        <v>66</v>
      </c>
      <c r="U288" s="161"/>
      <c r="V288" s="161"/>
      <c r="W288" s="539"/>
      <c r="X288" s="540"/>
      <c r="Y288" s="528"/>
      <c r="Z288" s="451"/>
      <c r="AA288" s="530"/>
      <c r="AB288" s="532"/>
    </row>
    <row r="289" spans="1:28" ht="15.75" customHeight="1">
      <c r="A289" s="555" t="s">
        <v>756</v>
      </c>
      <c r="B289" s="903"/>
      <c r="C289" s="800"/>
      <c r="D289" s="800"/>
      <c r="E289" s="800"/>
      <c r="F289" s="800"/>
      <c r="G289" s="800"/>
      <c r="H289" s="594"/>
      <c r="I289" s="594"/>
      <c r="J289" s="673"/>
      <c r="K289" s="568"/>
      <c r="L289" s="801"/>
      <c r="M289" s="873"/>
      <c r="N289" s="687"/>
      <c r="O289" s="687"/>
      <c r="P289" s="800">
        <v>17</v>
      </c>
      <c r="Q289" s="917">
        <f t="shared" si="89"/>
        <v>0.11643835616438356</v>
      </c>
      <c r="R289" s="918" t="e">
        <f t="shared" ca="1" si="90"/>
        <v>#DIV/0!</v>
      </c>
      <c r="S289" s="535" t="s">
        <v>65</v>
      </c>
      <c r="T289" s="535" t="s">
        <v>66</v>
      </c>
      <c r="U289" s="161"/>
      <c r="V289" s="161"/>
      <c r="W289" s="539"/>
      <c r="X289" s="540"/>
      <c r="Y289" s="528"/>
      <c r="Z289" s="451"/>
      <c r="AA289" s="530"/>
      <c r="AB289" s="532"/>
    </row>
    <row r="290" spans="1:28" ht="15.75" customHeight="1">
      <c r="A290" s="555" t="s">
        <v>757</v>
      </c>
      <c r="B290" s="903"/>
      <c r="C290" s="800"/>
      <c r="D290" s="800"/>
      <c r="E290" s="800"/>
      <c r="F290" s="800"/>
      <c r="G290" s="800"/>
      <c r="H290" s="594"/>
      <c r="I290" s="594"/>
      <c r="J290" s="673"/>
      <c r="K290" s="568"/>
      <c r="L290" s="801"/>
      <c r="M290" s="873"/>
      <c r="N290" s="687"/>
      <c r="O290" s="687"/>
      <c r="P290" s="800">
        <v>29</v>
      </c>
      <c r="Q290" s="917">
        <f t="shared" si="89"/>
        <v>0.19863013698630136</v>
      </c>
      <c r="R290" s="918" t="e">
        <f t="shared" ca="1" si="90"/>
        <v>#DIV/0!</v>
      </c>
      <c r="S290" s="535" t="s">
        <v>65</v>
      </c>
      <c r="T290" s="535" t="s">
        <v>66</v>
      </c>
      <c r="U290" s="161"/>
      <c r="V290" s="161"/>
      <c r="W290" s="542"/>
      <c r="X290" s="528"/>
      <c r="Y290" s="528"/>
      <c r="Z290" s="451"/>
      <c r="AA290" s="530"/>
      <c r="AB290" s="532"/>
    </row>
    <row r="291" spans="1:28" ht="15.75" customHeight="1">
      <c r="A291" s="555" t="s">
        <v>758</v>
      </c>
      <c r="B291" s="800"/>
      <c r="C291" s="800"/>
      <c r="D291" s="800"/>
      <c r="E291" s="800"/>
      <c r="F291" s="800"/>
      <c r="G291" s="800"/>
      <c r="H291" s="594"/>
      <c r="I291" s="594"/>
      <c r="J291" s="673"/>
      <c r="K291" s="568"/>
      <c r="L291" s="801"/>
      <c r="M291" s="873"/>
      <c r="N291" s="687"/>
      <c r="O291" s="687"/>
      <c r="P291" s="800">
        <v>18</v>
      </c>
      <c r="Q291" s="917">
        <f t="shared" si="89"/>
        <v>0.12328767123287671</v>
      </c>
      <c r="R291" s="918" t="e">
        <f t="shared" ca="1" si="90"/>
        <v>#DIV/0!</v>
      </c>
      <c r="S291" s="535" t="s">
        <v>65</v>
      </c>
      <c r="T291" s="535" t="s">
        <v>66</v>
      </c>
      <c r="U291" s="161"/>
      <c r="V291" s="161"/>
      <c r="W291" s="542"/>
      <c r="X291" s="540"/>
      <c r="Y291" s="540"/>
      <c r="Z291" s="451"/>
      <c r="AA291" s="530"/>
      <c r="AB291" s="532"/>
    </row>
    <row r="292" spans="1:28" ht="15.95" customHeight="1">
      <c r="A292" s="555" t="s">
        <v>759</v>
      </c>
      <c r="B292" s="800"/>
      <c r="C292" s="800"/>
      <c r="D292" s="800"/>
      <c r="E292" s="800"/>
      <c r="F292" s="800"/>
      <c r="G292" s="800"/>
      <c r="H292" s="594"/>
      <c r="I292" s="594"/>
      <c r="J292" s="673"/>
      <c r="K292" s="568"/>
      <c r="L292" s="801"/>
      <c r="M292" s="873"/>
      <c r="N292" s="687"/>
      <c r="O292" s="687"/>
      <c r="P292" s="800"/>
      <c r="Q292" s="917">
        <f t="shared" si="89"/>
        <v>0</v>
      </c>
      <c r="R292" s="918" t="e">
        <f t="shared" ca="1" si="90"/>
        <v>#DIV/0!</v>
      </c>
      <c r="S292" s="535" t="s">
        <v>65</v>
      </c>
      <c r="T292" s="535" t="s">
        <v>66</v>
      </c>
      <c r="U292" s="161"/>
      <c r="V292" s="161"/>
      <c r="W292" s="542"/>
      <c r="X292" s="540"/>
      <c r="Y292" s="540"/>
      <c r="Z292" s="451"/>
      <c r="AA292" s="530"/>
      <c r="AB292" s="532"/>
    </row>
    <row r="293" spans="1:28" ht="15.95" customHeight="1">
      <c r="A293" s="555"/>
      <c r="B293" s="800"/>
      <c r="C293" s="800"/>
      <c r="D293" s="800"/>
      <c r="E293" s="800"/>
      <c r="F293" s="800"/>
      <c r="G293" s="800"/>
      <c r="H293" s="594"/>
      <c r="I293" s="594"/>
      <c r="J293" s="673"/>
      <c r="K293" s="568"/>
      <c r="L293" s="801"/>
      <c r="M293" s="873"/>
      <c r="N293" s="687"/>
      <c r="O293" s="687"/>
      <c r="P293" s="800"/>
      <c r="Q293" s="917">
        <f t="shared" si="89"/>
        <v>0</v>
      </c>
      <c r="R293" s="918" t="e">
        <f t="shared" ca="1" si="90"/>
        <v>#DIV/0!</v>
      </c>
      <c r="S293" s="535" t="s">
        <v>65</v>
      </c>
      <c r="T293" s="535" t="s">
        <v>66</v>
      </c>
      <c r="U293" s="161"/>
      <c r="V293" s="161"/>
      <c r="W293" s="542"/>
      <c r="X293" s="540"/>
      <c r="Y293" s="540"/>
      <c r="Z293" s="451"/>
      <c r="AA293" s="530"/>
      <c r="AB293" s="532"/>
    </row>
    <row r="294" spans="1:28" ht="15.95" customHeight="1">
      <c r="A294" s="555"/>
      <c r="B294" s="800"/>
      <c r="C294" s="800"/>
      <c r="D294" s="800"/>
      <c r="E294" s="800"/>
      <c r="F294" s="800"/>
      <c r="G294" s="800"/>
      <c r="H294" s="594"/>
      <c r="I294" s="594"/>
      <c r="J294" s="673"/>
      <c r="K294" s="568"/>
      <c r="L294" s="801"/>
      <c r="M294" s="873"/>
      <c r="N294" s="687"/>
      <c r="O294" s="687"/>
      <c r="P294" s="800"/>
      <c r="Q294" s="917">
        <f t="shared" si="89"/>
        <v>0</v>
      </c>
      <c r="R294" s="918" t="e">
        <f t="shared" ca="1" si="90"/>
        <v>#DIV/0!</v>
      </c>
      <c r="S294" s="535" t="s">
        <v>65</v>
      </c>
      <c r="T294" s="535" t="s">
        <v>66</v>
      </c>
      <c r="U294" s="161"/>
      <c r="V294" s="161"/>
      <c r="W294" s="161"/>
      <c r="X294" s="161"/>
      <c r="Y294" s="161"/>
      <c r="Z294" s="161"/>
      <c r="AA294" s="530"/>
      <c r="AB294" s="532"/>
    </row>
    <row r="295" spans="1:28" ht="15.95" customHeight="1">
      <c r="A295" s="555"/>
      <c r="B295" s="800"/>
      <c r="C295" s="800"/>
      <c r="D295" s="800"/>
      <c r="E295" s="800"/>
      <c r="F295" s="800"/>
      <c r="G295" s="800"/>
      <c r="H295" s="594"/>
      <c r="I295" s="594"/>
      <c r="J295" s="673"/>
      <c r="K295" s="568"/>
      <c r="L295" s="801"/>
      <c r="M295" s="873"/>
      <c r="N295" s="687"/>
      <c r="O295" s="687"/>
      <c r="P295" s="800"/>
      <c r="Q295" s="917">
        <f t="shared" si="89"/>
        <v>0</v>
      </c>
      <c r="R295" s="918" t="e">
        <f t="shared" ca="1" si="90"/>
        <v>#DIV/0!</v>
      </c>
      <c r="S295" s="535" t="s">
        <v>65</v>
      </c>
      <c r="T295" s="535" t="s">
        <v>66</v>
      </c>
      <c r="U295" s="161"/>
      <c r="V295" s="161"/>
      <c r="W295" s="161"/>
      <c r="X295" s="161"/>
      <c r="Y295" s="161"/>
      <c r="Z295" s="161"/>
      <c r="AA295" s="530"/>
      <c r="AB295" s="532"/>
    </row>
    <row r="296" spans="1:28" ht="15.95" customHeight="1">
      <c r="A296" s="555"/>
      <c r="B296" s="903"/>
      <c r="C296" s="800"/>
      <c r="D296" s="800"/>
      <c r="E296" s="800"/>
      <c r="F296" s="800"/>
      <c r="G296" s="800"/>
      <c r="H296" s="594"/>
      <c r="I296" s="594"/>
      <c r="J296" s="673"/>
      <c r="K296" s="568"/>
      <c r="L296" s="801"/>
      <c r="M296" s="873"/>
      <c r="N296" s="687"/>
      <c r="O296" s="687"/>
      <c r="P296" s="800"/>
      <c r="Q296" s="917">
        <f t="shared" si="89"/>
        <v>0</v>
      </c>
      <c r="R296" s="918" t="e">
        <f t="shared" ca="1" si="90"/>
        <v>#DIV/0!</v>
      </c>
      <c r="S296" s="535" t="s">
        <v>65</v>
      </c>
      <c r="T296" s="535" t="s">
        <v>66</v>
      </c>
      <c r="U296" s="161"/>
      <c r="V296" s="161"/>
      <c r="W296" s="161"/>
      <c r="X296" s="161"/>
      <c r="Y296" s="161"/>
      <c r="Z296" s="161"/>
      <c r="AA296" s="530"/>
      <c r="AB296" s="532"/>
    </row>
    <row r="297" spans="1:28" ht="15.95" customHeight="1">
      <c r="A297" s="555"/>
      <c r="B297" s="800"/>
      <c r="C297" s="800"/>
      <c r="D297" s="800"/>
      <c r="E297" s="800"/>
      <c r="F297" s="800"/>
      <c r="G297" s="800"/>
      <c r="H297" s="594"/>
      <c r="I297" s="594"/>
      <c r="J297" s="673"/>
      <c r="K297" s="568"/>
      <c r="L297" s="801"/>
      <c r="M297" s="873"/>
      <c r="N297" s="687"/>
      <c r="O297" s="687"/>
      <c r="P297" s="800"/>
      <c r="Q297" s="917">
        <f t="shared" si="89"/>
        <v>0</v>
      </c>
      <c r="R297" s="918" t="e">
        <f t="shared" ca="1" si="90"/>
        <v>#DIV/0!</v>
      </c>
      <c r="S297" s="535" t="s">
        <v>65</v>
      </c>
      <c r="T297" s="535" t="s">
        <v>66</v>
      </c>
      <c r="U297" s="161"/>
      <c r="V297" s="161"/>
      <c r="W297" s="161"/>
      <c r="X297" s="161"/>
      <c r="Y297" s="161"/>
      <c r="Z297" s="161"/>
      <c r="AA297" s="530"/>
      <c r="AB297" s="532"/>
    </row>
    <row r="298" spans="1:28" ht="15.95" customHeight="1">
      <c r="A298" s="555"/>
      <c r="B298" s="800"/>
      <c r="C298" s="800"/>
      <c r="D298" s="800"/>
      <c r="E298" s="800"/>
      <c r="F298" s="800"/>
      <c r="G298" s="800"/>
      <c r="H298" s="594"/>
      <c r="I298" s="594"/>
      <c r="J298" s="673"/>
      <c r="K298" s="568"/>
      <c r="L298" s="801"/>
      <c r="M298" s="873"/>
      <c r="N298" s="687"/>
      <c r="O298" s="687"/>
      <c r="P298" s="800"/>
      <c r="Q298" s="917">
        <f t="shared" si="89"/>
        <v>0</v>
      </c>
      <c r="R298" s="918" t="e">
        <f t="shared" ca="1" si="90"/>
        <v>#DIV/0!</v>
      </c>
      <c r="S298" s="535" t="s">
        <v>65</v>
      </c>
      <c r="T298" s="535" t="s">
        <v>66</v>
      </c>
      <c r="U298" s="161"/>
      <c r="V298" s="161"/>
      <c r="W298" s="543"/>
      <c r="X298" s="161"/>
      <c r="Y298" s="161"/>
      <c r="Z298" s="161"/>
      <c r="AA298" s="530"/>
      <c r="AB298" s="532"/>
    </row>
    <row r="299" spans="1:28" ht="15.95" customHeight="1">
      <c r="A299" s="555"/>
      <c r="B299" s="800"/>
      <c r="C299" s="800"/>
      <c r="D299" s="800"/>
      <c r="E299" s="800"/>
      <c r="F299" s="800"/>
      <c r="G299" s="800"/>
      <c r="H299" s="594"/>
      <c r="I299" s="594"/>
      <c r="J299" s="673"/>
      <c r="K299" s="568"/>
      <c r="L299" s="801"/>
      <c r="M299" s="873"/>
      <c r="N299" s="687"/>
      <c r="O299" s="687"/>
      <c r="P299" s="800"/>
      <c r="Q299" s="917">
        <f t="shared" si="89"/>
        <v>0</v>
      </c>
      <c r="R299" s="918" t="e">
        <f t="shared" ca="1" si="90"/>
        <v>#DIV/0!</v>
      </c>
      <c r="S299" s="535" t="s">
        <v>65</v>
      </c>
      <c r="T299" s="535" t="s">
        <v>66</v>
      </c>
      <c r="U299" s="161"/>
      <c r="V299" s="161"/>
      <c r="W299" s="544"/>
      <c r="X299" s="543"/>
      <c r="Y299" s="161"/>
      <c r="Z299" s="161"/>
      <c r="AA299" s="530"/>
      <c r="AB299" s="532"/>
    </row>
    <row r="300" spans="1:28" ht="15.95" customHeight="1">
      <c r="A300" s="555"/>
      <c r="B300" s="800"/>
      <c r="C300" s="800"/>
      <c r="D300" s="800"/>
      <c r="E300" s="800"/>
      <c r="F300" s="800"/>
      <c r="G300" s="800"/>
      <c r="H300" s="594"/>
      <c r="I300" s="594"/>
      <c r="J300" s="673"/>
      <c r="K300" s="568"/>
      <c r="L300" s="801"/>
      <c r="M300" s="873"/>
      <c r="N300" s="687"/>
      <c r="O300" s="687"/>
      <c r="P300" s="800"/>
      <c r="Q300" s="917"/>
      <c r="R300" s="918"/>
      <c r="S300" s="69"/>
      <c r="T300" s="69"/>
      <c r="U300" s="161"/>
      <c r="W300" s="543"/>
      <c r="X300" s="543"/>
      <c r="Y300" s="161"/>
      <c r="Z300" s="161"/>
      <c r="AA300" s="530"/>
      <c r="AB300" s="532"/>
    </row>
    <row r="301" spans="1:28" ht="15.95" customHeight="1">
      <c r="A301" s="919" t="s">
        <v>760</v>
      </c>
      <c r="B301" s="857" t="s">
        <v>512</v>
      </c>
      <c r="C301" s="920">
        <v>1</v>
      </c>
      <c r="D301" s="654" t="s">
        <v>47</v>
      </c>
      <c r="E301" s="920"/>
      <c r="F301" s="654" t="s">
        <v>243</v>
      </c>
      <c r="G301" s="654" t="s">
        <v>49</v>
      </c>
      <c r="H301" s="655" cm="1">
        <f t="array" aca="1" ref="H301" ca="1">IFERROR(
    INDIRECT(
        "RawData!" &amp;
        ADDRESS(
            2,
            MATCH(
                TRIM(MID(A301, SEARCH(". ", A301) + 2, LEN(A301))) &amp; ".Import_kWh",
                RawData!$1:$1,
                0
            ),
            4
        )
    ),
    0
)</f>
        <v>0</v>
      </c>
      <c r="I301" s="655" cm="1">
        <f t="array" aca="1" ref="I301" ca="1">IFERROR(
    INDIRECT(
        "RawData!" &amp;
        ADDRESS(
            COUNTA(RawData!A:A),
            MATCH(
                TRIM(MID(A301, SEARCH(". ", A301) + 2, LEN(A301))) &amp; ".Import_kWh",
                RawData!$1:$1,
                0
            ),
            4
        )
    ),
    0
)</f>
        <v>0</v>
      </c>
      <c r="J301" s="680">
        <f ca="1">(I301-H301)*C301</f>
        <v>0</v>
      </c>
      <c r="K301" s="824">
        <f ca="1">J301</f>
        <v>0</v>
      </c>
      <c r="L301" s="581" t="e">
        <f ca="1">K301/J301</f>
        <v>#DIV/0!</v>
      </c>
      <c r="M301" s="921"/>
      <c r="N301" s="922"/>
      <c r="O301" s="922"/>
      <c r="P301" s="920"/>
      <c r="Q301" s="923"/>
      <c r="R301" s="924">
        <f ca="1">K301</f>
        <v>0</v>
      </c>
      <c r="S301" s="114" t="s">
        <v>85</v>
      </c>
      <c r="T301" s="115" t="s">
        <v>102</v>
      </c>
      <c r="U301" s="161"/>
      <c r="X301" s="161"/>
      <c r="Y301" s="161"/>
      <c r="Z301" s="161"/>
      <c r="AA301" s="530"/>
      <c r="AB301" s="532"/>
    </row>
    <row r="302" spans="1:28" ht="15.95" customHeight="1">
      <c r="A302" s="919" t="s">
        <v>1152</v>
      </c>
      <c r="B302" s="857" t="s">
        <v>382</v>
      </c>
      <c r="C302" s="920">
        <v>1</v>
      </c>
      <c r="D302" s="654" t="s">
        <v>47</v>
      </c>
      <c r="E302" s="920"/>
      <c r="F302" s="654" t="s">
        <v>243</v>
      </c>
      <c r="G302" s="654" t="s">
        <v>49</v>
      </c>
      <c r="H302" s="655" cm="1">
        <f t="array" aca="1" ref="H302" ca="1">IFERROR(
    INDIRECT(
        "RawData!" &amp;
        ADDRESS(
            2,
            MATCH(
                TRIM(MID(A302, SEARCH(". ", A302) + 2, LEN(A302))) &amp; ".Import_kWh",
                RawData!$1:$1,
                0
            ),
            4
        )
    ),
    0
)</f>
        <v>0</v>
      </c>
      <c r="I302" s="655" cm="1">
        <f t="array" aca="1" ref="I302" ca="1">IFERROR(
    INDIRECT(
        "RawData!" &amp;
        ADDRESS(
            COUNTA(RawData!A:A),
            MATCH(
                TRIM(MID(A302, SEARCH(". ", A302) + 2, LEN(A302))) &amp; ".Import_kWh",
                RawData!$1:$1,
                0
            ),
            4
        )
    ),
    0
)</f>
        <v>0</v>
      </c>
      <c r="J302" s="680">
        <f ca="1">(I302-H302)*C302</f>
        <v>0</v>
      </c>
      <c r="K302" s="824">
        <f ca="1">J302</f>
        <v>0</v>
      </c>
      <c r="L302" s="581" t="e">
        <f ca="1">K302/J302</f>
        <v>#DIV/0!</v>
      </c>
      <c r="M302" s="921"/>
      <c r="N302" s="922"/>
      <c r="O302" s="922"/>
      <c r="P302" s="920"/>
      <c r="Q302" s="923"/>
      <c r="R302" s="924">
        <f ca="1">K302</f>
        <v>0</v>
      </c>
      <c r="S302" s="114" t="s">
        <v>85</v>
      </c>
      <c r="T302" s="115" t="s">
        <v>102</v>
      </c>
      <c r="W302" s="161"/>
      <c r="X302" s="161"/>
      <c r="Y302" s="161"/>
      <c r="Z302" s="161"/>
      <c r="AA302" s="530"/>
      <c r="AB302" s="532"/>
    </row>
    <row r="303" spans="1:28" ht="15.95" customHeight="1">
      <c r="A303" s="919"/>
      <c r="B303" s="857"/>
      <c r="C303" s="920"/>
      <c r="D303" s="920"/>
      <c r="E303" s="920"/>
      <c r="F303" s="920"/>
      <c r="G303" s="920"/>
      <c r="H303" s="862"/>
      <c r="I303" s="862"/>
      <c r="J303" s="862"/>
      <c r="K303" s="824"/>
      <c r="L303" s="581"/>
      <c r="M303" s="921"/>
      <c r="N303" s="922"/>
      <c r="O303" s="922"/>
      <c r="P303" s="920"/>
      <c r="Q303" s="923"/>
      <c r="R303" s="924"/>
      <c r="S303" s="69"/>
      <c r="T303" s="69"/>
      <c r="V303" s="161"/>
      <c r="W303" s="161"/>
      <c r="X303" s="161"/>
      <c r="Y303" s="161"/>
      <c r="Z303" s="161"/>
      <c r="AA303" s="530"/>
      <c r="AB303" s="532"/>
    </row>
    <row r="304" spans="1:28" ht="15.95" customHeight="1">
      <c r="A304" s="919" t="s">
        <v>761</v>
      </c>
      <c r="B304" s="857" t="s">
        <v>382</v>
      </c>
      <c r="C304" s="920">
        <v>1</v>
      </c>
      <c r="D304" s="654" t="s">
        <v>47</v>
      </c>
      <c r="E304" s="920"/>
      <c r="F304" s="654" t="s">
        <v>243</v>
      </c>
      <c r="G304" s="654" t="s">
        <v>49</v>
      </c>
      <c r="H304" s="655" cm="1">
        <f t="array" aca="1" ref="H304" ca="1">IFERROR(
    INDIRECT(
        "RawData!" &amp;
        ADDRESS(
            2,
            MATCH(
                TRIM(MID(A304, SEARCH(". ", A304) + 2, LEN(A304))) &amp; ".Import_kWh",
                RawData!$1:$1,
                0
            ),
            4
        )
    ),
    0
)</f>
        <v>0</v>
      </c>
      <c r="I304" s="655" cm="1">
        <f t="array" aca="1" ref="I304" ca="1">IFERROR(
    INDIRECT(
        "RawData!" &amp;
        ADDRESS(
            COUNTA(RawData!A:A),
            MATCH(
                TRIM(MID(A304, SEARCH(". ", A304) + 2, LEN(A304))) &amp; ".Import_kWh",
                RawData!$1:$1,
                0
            ),
            4
        )
    ),
    0
)</f>
        <v>0</v>
      </c>
      <c r="J304" s="853">
        <f ca="1">(I304-H304)*C304</f>
        <v>0</v>
      </c>
      <c r="K304" s="824">
        <f ca="1">J304</f>
        <v>0</v>
      </c>
      <c r="L304" s="581" t="e">
        <f ca="1">K304/J304</f>
        <v>#DIV/0!</v>
      </c>
      <c r="M304" s="921"/>
      <c r="N304" s="922"/>
      <c r="O304" s="922"/>
      <c r="P304" s="920">
        <f>290*6</f>
        <v>1740</v>
      </c>
      <c r="Q304" s="923"/>
      <c r="R304" s="924">
        <f ca="1">K304</f>
        <v>0</v>
      </c>
      <c r="S304" s="114" t="s">
        <v>85</v>
      </c>
      <c r="T304" s="115" t="s">
        <v>97</v>
      </c>
      <c r="V304" s="161"/>
      <c r="W304" s="161"/>
      <c r="X304" s="161"/>
      <c r="Y304" s="161"/>
      <c r="Z304" s="161"/>
      <c r="AA304" s="530"/>
      <c r="AB304" s="532"/>
    </row>
    <row r="305" spans="1:47" ht="15.95" customHeight="1">
      <c r="A305" s="586"/>
      <c r="B305" s="800"/>
      <c r="C305" s="800"/>
      <c r="D305" s="800"/>
      <c r="E305" s="800"/>
      <c r="F305" s="800"/>
      <c r="G305" s="800"/>
      <c r="H305" s="594"/>
      <c r="I305" s="594"/>
      <c r="J305" s="925"/>
      <c r="K305" s="926"/>
      <c r="L305" s="927"/>
      <c r="M305" s="928"/>
      <c r="N305" s="929"/>
      <c r="O305" s="929"/>
      <c r="P305" s="930"/>
      <c r="Q305" s="931"/>
      <c r="R305" s="932"/>
      <c r="S305" s="69"/>
      <c r="T305" s="69"/>
      <c r="U305" s="161"/>
      <c r="V305" s="161"/>
      <c r="W305" s="161"/>
      <c r="X305" s="161"/>
      <c r="Y305" s="161"/>
      <c r="Z305" s="161"/>
      <c r="AA305" s="530"/>
      <c r="AB305" s="532"/>
    </row>
    <row r="306" spans="1:47" ht="15.95" customHeight="1">
      <c r="A306" s="910" t="s">
        <v>762</v>
      </c>
      <c r="B306" s="933" t="s">
        <v>545</v>
      </c>
      <c r="C306" s="933">
        <v>1</v>
      </c>
      <c r="D306" s="644" t="s">
        <v>47</v>
      </c>
      <c r="E306" s="643"/>
      <c r="F306" s="644" t="s">
        <v>48</v>
      </c>
      <c r="G306" s="643" t="s">
        <v>49</v>
      </c>
      <c r="H306" s="766" cm="1">
        <f t="array" aca="1" ref="H306" ca="1">IFERROR(
    INDIRECT(
        "RawData!" &amp;
        ADDRESS(
            2,
            MATCH(
                TRIM(MID(A306, SEARCH(". ", A306) + 2, LEN(A306))) &amp; ".Import_kWh",
                RawData!$1:$1,
                0
            ),
            4
        )
    ),
    0
)</f>
        <v>0</v>
      </c>
      <c r="I306" s="766" cm="1">
        <f t="array" aca="1" ref="I306" ca="1">IFERROR(
    INDIRECT(
        "RawData!" &amp;
        ADDRESS(
            COUNTA(RawData!A:A),
            MATCH(
                TRIM(MID(A306, SEARCH(". ", A306) + 2, LEN(A306))) &amp; ".Import_kWh",
                RawData!$1:$1,
                0
            ),
            4
        )
    ),
    0
)</f>
        <v>0</v>
      </c>
      <c r="J306" s="646">
        <f ca="1">(I306-H306)*C306</f>
        <v>0</v>
      </c>
      <c r="K306" s="647" t="e">
        <f ca="1">J306*J$777/(J$5+J$65+J$72+J$81+J$89+J$138+J$212+J$285+J$306+J$373+J$388+J$396+J$397+J$450+J$463+J$471+J$513+J$564+J$603+J$646)</f>
        <v>#DIV/0!</v>
      </c>
      <c r="L306" s="648" t="e">
        <f ca="1">K306/J306</f>
        <v>#DIV/0!</v>
      </c>
      <c r="M306" s="934" t="e">
        <f ca="1">SUM(R308:R372)</f>
        <v>#DIV/0!</v>
      </c>
      <c r="N306" s="935"/>
      <c r="O306" s="935"/>
      <c r="P306" s="936"/>
      <c r="Q306" s="937"/>
      <c r="R306" s="938"/>
      <c r="S306" s="69"/>
      <c r="T306" s="69"/>
      <c r="U306" s="161"/>
      <c r="V306" s="161"/>
      <c r="W306" s="161"/>
      <c r="X306" s="161"/>
      <c r="Y306" s="161"/>
      <c r="Z306" s="161"/>
      <c r="AA306" s="530"/>
      <c r="AB306" s="532"/>
    </row>
    <row r="307" spans="1:47" ht="15.95" customHeight="1">
      <c r="A307" s="939" t="s">
        <v>763</v>
      </c>
      <c r="B307" s="857" t="s">
        <v>64</v>
      </c>
      <c r="C307" s="857">
        <v>1</v>
      </c>
      <c r="D307" s="654" t="s">
        <v>47</v>
      </c>
      <c r="E307" s="940"/>
      <c r="F307" s="654" t="s">
        <v>243</v>
      </c>
      <c r="G307" s="654" t="s">
        <v>49</v>
      </c>
      <c r="H307" s="655" cm="1">
        <f t="array" aca="1" ref="H307" ca="1">IFERROR(
    INDIRECT(
        "RawData!" &amp;
        ADDRESS(
            2,
            MATCH(
                TRIM(MID(A307, SEARCH(". ", A307) + 2, LEN(A307))) &amp; ".Import_kWh",
                RawData!$1:$1,
                0
            ),
            4
        )
    ),
    0
)</f>
        <v>0</v>
      </c>
      <c r="I307" s="655" cm="1">
        <f t="array" aca="1" ref="I307" ca="1">IFERROR(
    INDIRECT(
        "RawData!" &amp;
        ADDRESS(
            COUNTA(RawData!A:A),
            MATCH(
                TRIM(MID(A307, SEARCH(". ", A307) + 2, LEN(A307))) &amp; ".Import_kWh",
                RawData!$1:$1,
                0
            ),
            4
        )
    ),
    0
)</f>
        <v>0</v>
      </c>
      <c r="J307" s="680">
        <f ca="1">(I307-H307)*C307</f>
        <v>0</v>
      </c>
      <c r="K307" s="941" t="e">
        <f ca="1">J307*K$306/(J$307+J$314+J$323+J$334+J$339+J$349+J$356+J$357+J$358+J$361+J$364+J$370)</f>
        <v>#DIV/0!</v>
      </c>
      <c r="L307" s="581" t="e">
        <f ca="1">K307/J307</f>
        <v>#DIV/0!</v>
      </c>
      <c r="M307" s="900" t="e">
        <f ca="1">R308+R309+R311+R312+R313</f>
        <v>#DIV/0!</v>
      </c>
      <c r="N307" s="942"/>
      <c r="O307" s="942"/>
      <c r="P307" s="943"/>
      <c r="Q307" s="944"/>
      <c r="R307" s="945"/>
      <c r="S307" s="69"/>
      <c r="T307" s="69"/>
      <c r="U307" s="161"/>
      <c r="V307" s="161"/>
      <c r="W307" s="161"/>
      <c r="X307" s="161"/>
      <c r="Y307" s="161"/>
      <c r="Z307" s="161"/>
      <c r="AA307" s="530"/>
      <c r="AB307" s="532"/>
    </row>
    <row r="308" spans="1:47" ht="15.95" customHeight="1">
      <c r="A308" s="555" t="s">
        <v>764</v>
      </c>
      <c r="B308" s="946" t="s">
        <v>717</v>
      </c>
      <c r="C308" s="946" t="s">
        <v>717</v>
      </c>
      <c r="D308" s="946"/>
      <c r="E308" s="946"/>
      <c r="F308" s="946"/>
      <c r="G308" s="946"/>
      <c r="H308" s="594"/>
      <c r="I308" s="594"/>
      <c r="J308" s="794"/>
      <c r="K308" s="472"/>
      <c r="L308" s="840"/>
      <c r="M308" s="455">
        <v>53.23</v>
      </c>
      <c r="N308" s="693">
        <v>29</v>
      </c>
      <c r="O308" s="693">
        <v>22</v>
      </c>
      <c r="P308" s="455">
        <f>M308*O308</f>
        <v>1171.06</v>
      </c>
      <c r="Q308" s="947">
        <f>P308/(P$308+P$309+P$311+P$312+P$313)</f>
        <v>0.36779984673174282</v>
      </c>
      <c r="R308" s="948" t="e">
        <f ca="1">K$307*Q308</f>
        <v>#DIV/0!</v>
      </c>
      <c r="S308" s="114" t="s">
        <v>593</v>
      </c>
      <c r="T308" s="115" t="s">
        <v>596</v>
      </c>
      <c r="U308" s="161"/>
      <c r="V308" s="161"/>
      <c r="W308" s="161"/>
      <c r="X308" s="161"/>
      <c r="Y308" s="161"/>
      <c r="Z308" s="161"/>
      <c r="AA308" s="530"/>
      <c r="AB308" s="532"/>
    </row>
    <row r="309" spans="1:47" ht="15.95" customHeight="1">
      <c r="A309" s="555" t="s">
        <v>1145</v>
      </c>
      <c r="B309" s="946" t="s">
        <v>717</v>
      </c>
      <c r="C309" s="946" t="s">
        <v>717</v>
      </c>
      <c r="D309" s="946"/>
      <c r="E309" s="946"/>
      <c r="F309" s="946"/>
      <c r="G309" s="946"/>
      <c r="H309" s="594"/>
      <c r="I309" s="594"/>
      <c r="J309" s="949">
        <f ca="1">J307+J314+J323+J334+J339+J349+J356+J357+J358+J361+J364+J370</f>
        <v>0</v>
      </c>
      <c r="K309" s="455"/>
      <c r="L309" s="950"/>
      <c r="M309" s="455">
        <v>53.23</v>
      </c>
      <c r="N309" s="693">
        <v>23</v>
      </c>
      <c r="O309" s="693">
        <v>30</v>
      </c>
      <c r="P309" s="455">
        <f>M309*O309</f>
        <v>1596.8999999999999</v>
      </c>
      <c r="Q309" s="947">
        <f>P309/(P$308+P$309+P$311+P$312+P$313)</f>
        <v>0.50154524554328572</v>
      </c>
      <c r="R309" s="948" t="e">
        <f ca="1">K$307*Q309</f>
        <v>#DIV/0!</v>
      </c>
      <c r="S309" s="114" t="s">
        <v>593</v>
      </c>
      <c r="T309" s="115" t="s">
        <v>594</v>
      </c>
      <c r="U309" s="161"/>
      <c r="V309" s="161"/>
      <c r="W309" s="161"/>
      <c r="X309" s="161"/>
      <c r="Y309" s="161"/>
      <c r="Z309" s="161"/>
      <c r="AA309" s="530"/>
      <c r="AB309" s="532"/>
    </row>
    <row r="310" spans="1:47" ht="15.95" customHeight="1">
      <c r="A310" s="804" t="s">
        <v>765</v>
      </c>
      <c r="B310" s="946"/>
      <c r="C310" s="946"/>
      <c r="D310" s="946"/>
      <c r="E310" s="946"/>
      <c r="F310" s="946"/>
      <c r="G310" s="946"/>
      <c r="H310" s="594"/>
      <c r="I310" s="594"/>
      <c r="J310" s="800"/>
      <c r="K310" s="455"/>
      <c r="L310" s="950"/>
      <c r="M310" s="455"/>
      <c r="N310" s="693"/>
      <c r="O310" s="693"/>
      <c r="P310" s="455"/>
      <c r="Q310" s="947"/>
      <c r="R310" s="948"/>
      <c r="S310" s="69"/>
      <c r="T310" s="69"/>
      <c r="U310" s="161"/>
      <c r="V310" s="545"/>
      <c r="W310" s="161"/>
      <c r="X310" s="161"/>
      <c r="Y310" s="161"/>
      <c r="Z310" s="161"/>
      <c r="AA310" s="530"/>
      <c r="AB310" s="532"/>
      <c r="AU310" s="49" t="e">
        <f ca="1">SUBTOTAL(9,AU18:AU230)</f>
        <v>#DIV/0!</v>
      </c>
    </row>
    <row r="311" spans="1:47" ht="15.95" customHeight="1">
      <c r="A311" s="804" t="s">
        <v>766</v>
      </c>
      <c r="B311" s="946"/>
      <c r="C311" s="946"/>
      <c r="D311" s="946"/>
      <c r="E311" s="946"/>
      <c r="F311" s="946"/>
      <c r="G311" s="946"/>
      <c r="H311" s="594"/>
      <c r="I311" s="594"/>
      <c r="J311" s="800"/>
      <c r="K311" s="455"/>
      <c r="L311" s="950"/>
      <c r="M311" s="455">
        <v>4</v>
      </c>
      <c r="N311" s="693">
        <v>23</v>
      </c>
      <c r="O311" s="693">
        <v>30</v>
      </c>
      <c r="P311" s="455">
        <f>M311*O311</f>
        <v>120</v>
      </c>
      <c r="Q311" s="947">
        <f>P311/(P$308+P$309+P$311+P$312+P$313)</f>
        <v>3.7688915689895602E-2</v>
      </c>
      <c r="R311" s="948" t="e">
        <f ca="1">K$307*Q311</f>
        <v>#DIV/0!</v>
      </c>
      <c r="S311" s="114" t="s">
        <v>593</v>
      </c>
      <c r="T311" s="115" t="s">
        <v>594</v>
      </c>
      <c r="U311" s="161"/>
      <c r="V311" s="545"/>
      <c r="W311" s="161"/>
      <c r="X311" s="161"/>
      <c r="Y311" s="161"/>
      <c r="Z311" s="161"/>
      <c r="AA311" s="530"/>
      <c r="AB311" s="532"/>
    </row>
    <row r="312" spans="1:47" ht="15.95" customHeight="1">
      <c r="A312" s="804" t="s">
        <v>767</v>
      </c>
      <c r="B312" s="946"/>
      <c r="C312" s="946"/>
      <c r="D312" s="946"/>
      <c r="E312" s="946"/>
      <c r="F312" s="946"/>
      <c r="G312" s="946"/>
      <c r="H312" s="594"/>
      <c r="I312" s="594"/>
      <c r="J312" s="800"/>
      <c r="K312" s="455"/>
      <c r="L312" s="950"/>
      <c r="M312" s="455">
        <v>0</v>
      </c>
      <c r="N312" s="693">
        <v>29</v>
      </c>
      <c r="O312" s="693">
        <v>22</v>
      </c>
      <c r="P312" s="455">
        <f>M312*O312</f>
        <v>0</v>
      </c>
      <c r="Q312" s="947">
        <f>P312/(P$308+P$309+P$311+P$312+P$313)</f>
        <v>0</v>
      </c>
      <c r="R312" s="948" t="e">
        <f ca="1">K$307*Q312</f>
        <v>#DIV/0!</v>
      </c>
      <c r="S312" s="114" t="s">
        <v>593</v>
      </c>
      <c r="T312" s="115" t="s">
        <v>596</v>
      </c>
      <c r="U312" s="545"/>
      <c r="V312" s="545"/>
      <c r="W312" s="161"/>
      <c r="X312" s="161"/>
      <c r="Y312" s="161"/>
      <c r="Z312" s="161"/>
      <c r="AA312" s="530"/>
      <c r="AB312" s="532"/>
    </row>
    <row r="313" spans="1:47" ht="15.95" customHeight="1">
      <c r="A313" s="804" t="s">
        <v>768</v>
      </c>
      <c r="B313" s="946"/>
      <c r="C313" s="946"/>
      <c r="D313" s="946"/>
      <c r="E313" s="946"/>
      <c r="F313" s="946"/>
      <c r="G313" s="946"/>
      <c r="H313" s="594"/>
      <c r="I313" s="594"/>
      <c r="J313" s="800"/>
      <c r="K313" s="455"/>
      <c r="L313" s="950"/>
      <c r="M313" s="455">
        <v>8</v>
      </c>
      <c r="N313" s="693">
        <v>30</v>
      </c>
      <c r="O313" s="693">
        <v>37</v>
      </c>
      <c r="P313" s="455">
        <f>M313*O313</f>
        <v>296</v>
      </c>
      <c r="Q313" s="947">
        <f>P313/(P$308+P$309+P$311+P$312+P$313)</f>
        <v>9.2965992035075815E-2</v>
      </c>
      <c r="R313" s="948" t="e">
        <f ca="1">K$307*Q313</f>
        <v>#DIV/0!</v>
      </c>
      <c r="S313" s="114" t="s">
        <v>546</v>
      </c>
      <c r="T313" s="115" t="s">
        <v>571</v>
      </c>
      <c r="U313" s="545"/>
      <c r="V313" s="545"/>
      <c r="W313" s="161"/>
      <c r="X313" s="161"/>
      <c r="Y313" s="161"/>
      <c r="Z313" s="161"/>
      <c r="AA313" s="530"/>
      <c r="AB313" s="532"/>
    </row>
    <row r="314" spans="1:47" ht="42" customHeight="1">
      <c r="A314" s="939" t="s">
        <v>1188</v>
      </c>
      <c r="B314" s="857" t="s">
        <v>64</v>
      </c>
      <c r="C314" s="857">
        <v>1</v>
      </c>
      <c r="D314" s="654" t="s">
        <v>47</v>
      </c>
      <c r="E314" s="940"/>
      <c r="F314" s="654" t="s">
        <v>243</v>
      </c>
      <c r="G314" s="654" t="s">
        <v>49</v>
      </c>
      <c r="H314" s="655" cm="1">
        <f t="array" aca="1" ref="H314" ca="1">IFERROR(
    INDIRECT(
        "RawData!" &amp;
        ADDRESS(
            2,
            MATCH(
                TRIM(MID(A314, SEARCH(". ", A314) + 2, LEN(A314))) &amp; ".Import_kWh",
                RawData!$1:$1,
                0
            ),
            4
        )
    ),
    0
)</f>
        <v>0</v>
      </c>
      <c r="I314" s="655" cm="1">
        <f t="array" aca="1" ref="I314" ca="1">IFERROR(
    INDIRECT(
        "RawData!" &amp;
        ADDRESS(
            COUNTA(RawData!A:A),
            MATCH(
                TRIM(MID(A314, SEARCH(". ", A314) + 2, LEN(A314))) &amp; ".Import_kWh",
                RawData!$1:$1,
                0
            ),
            4
        )
    ),
    0
)</f>
        <v>0</v>
      </c>
      <c r="J314" s="680">
        <f ca="1">(I314-H314)*C314</f>
        <v>0</v>
      </c>
      <c r="K314" s="941" t="e">
        <f ca="1">J314*K$306/(J$307+J$314+J$323+J$334+J$339+J$349+J$356+J$357+J$358+J$361+J$364+J$370)</f>
        <v>#DIV/0!</v>
      </c>
      <c r="L314" s="581" t="e">
        <f ca="1">K314/J314</f>
        <v>#DIV/0!</v>
      </c>
      <c r="M314" s="900" t="e">
        <f ca="1">R315+R316</f>
        <v>#DIV/0!</v>
      </c>
      <c r="N314" s="942"/>
      <c r="O314" s="942"/>
      <c r="P314" s="951"/>
      <c r="Q314" s="952"/>
      <c r="R314" s="945"/>
      <c r="S314" s="69"/>
      <c r="T314" s="69"/>
      <c r="U314" s="545"/>
      <c r="V314" s="545"/>
      <c r="W314" s="161"/>
      <c r="X314" s="161"/>
      <c r="Y314" s="161"/>
      <c r="Z314" s="161"/>
      <c r="AA314" s="530"/>
      <c r="AB314" s="532"/>
    </row>
    <row r="315" spans="1:47" ht="15.95" customHeight="1">
      <c r="A315" s="555" t="s">
        <v>769</v>
      </c>
      <c r="B315" s="794"/>
      <c r="C315" s="794"/>
      <c r="D315" s="794"/>
      <c r="E315" s="794"/>
      <c r="F315" s="794"/>
      <c r="G315" s="794"/>
      <c r="H315" s="594"/>
      <c r="I315" s="594"/>
      <c r="J315" s="673"/>
      <c r="K315" s="759" t="e">
        <f ca="1">K314-K316</f>
        <v>#DIV/0!</v>
      </c>
      <c r="L315" s="840"/>
      <c r="M315" s="953"/>
      <c r="N315" s="693"/>
      <c r="O315" s="693"/>
      <c r="P315" s="455"/>
      <c r="Q315" s="947"/>
      <c r="R315" s="948" t="e">
        <f ca="1">K315</f>
        <v>#DIV/0!</v>
      </c>
      <c r="S315" s="114" t="s">
        <v>667</v>
      </c>
      <c r="T315" s="115" t="s">
        <v>668</v>
      </c>
      <c r="U315" s="545"/>
      <c r="V315" s="545"/>
      <c r="W315" s="161"/>
      <c r="X315" s="161"/>
      <c r="Y315" s="161"/>
      <c r="Z315" s="161"/>
      <c r="AA315" s="530"/>
      <c r="AB315" s="532"/>
    </row>
    <row r="316" spans="1:47" ht="15.95" customHeight="1">
      <c r="A316" s="555" t="s">
        <v>770</v>
      </c>
      <c r="B316" s="901" t="s">
        <v>771</v>
      </c>
      <c r="C316" s="946"/>
      <c r="D316" s="946"/>
      <c r="E316" s="946"/>
      <c r="F316" s="946"/>
      <c r="G316" s="946"/>
      <c r="H316" s="724"/>
      <c r="I316" s="724"/>
      <c r="J316" s="954"/>
      <c r="K316" s="955" t="e">
        <f ca="1">K314*0.4</f>
        <v>#DIV/0!</v>
      </c>
      <c r="L316" s="950"/>
      <c r="M316" s="455"/>
      <c r="N316" s="693"/>
      <c r="O316" s="693"/>
      <c r="P316" s="455"/>
      <c r="Q316" s="947"/>
      <c r="R316" s="948" t="e">
        <f ca="1">K316</f>
        <v>#DIV/0!</v>
      </c>
      <c r="S316" s="546" t="s">
        <v>772</v>
      </c>
      <c r="T316" s="547" t="s">
        <v>773</v>
      </c>
      <c r="U316" s="545"/>
      <c r="V316" s="545"/>
      <c r="W316" s="161"/>
      <c r="X316" s="161"/>
      <c r="Y316" s="161"/>
      <c r="Z316" s="161"/>
      <c r="AA316" s="530"/>
      <c r="AB316" s="532"/>
    </row>
    <row r="317" spans="1:47" ht="15.95" customHeight="1">
      <c r="A317" s="555" t="s">
        <v>774</v>
      </c>
      <c r="B317" s="901"/>
      <c r="C317" s="946"/>
      <c r="D317" s="946"/>
      <c r="E317" s="946"/>
      <c r="F317" s="946"/>
      <c r="G317" s="946"/>
      <c r="H317" s="796"/>
      <c r="I317" s="796"/>
      <c r="J317" s="956"/>
      <c r="K317" s="957"/>
      <c r="L317" s="950"/>
      <c r="M317" s="455"/>
      <c r="N317" s="693"/>
      <c r="O317" s="693"/>
      <c r="P317" s="455"/>
      <c r="Q317" s="947"/>
      <c r="R317" s="948"/>
      <c r="S317" s="69"/>
      <c r="T317" s="69"/>
      <c r="U317" s="545"/>
      <c r="V317" s="545"/>
      <c r="W317" s="161"/>
      <c r="X317" s="161"/>
      <c r="Y317" s="161"/>
      <c r="Z317" s="536" t="e">
        <f ca="1">SUBTOTAL(9,Z61:Z83)</f>
        <v>#DIV/0!</v>
      </c>
      <c r="AA317" s="530"/>
      <c r="AB317" s="532"/>
    </row>
    <row r="318" spans="1:47" ht="15.95" customHeight="1">
      <c r="A318" s="798" t="s">
        <v>775</v>
      </c>
      <c r="B318" s="794"/>
      <c r="C318" s="946"/>
      <c r="D318" s="946"/>
      <c r="E318" s="946"/>
      <c r="F318" s="946"/>
      <c r="G318" s="946"/>
      <c r="H318" s="594"/>
      <c r="I318" s="594"/>
      <c r="J318" s="800"/>
      <c r="K318" s="455"/>
      <c r="L318" s="950"/>
      <c r="M318" s="455"/>
      <c r="N318" s="693"/>
      <c r="O318" s="693"/>
      <c r="P318" s="455"/>
      <c r="Q318" s="947"/>
      <c r="R318" s="948"/>
      <c r="S318" s="69"/>
      <c r="T318" s="69"/>
      <c r="U318" s="545"/>
      <c r="V318" s="545"/>
      <c r="W318" s="161"/>
      <c r="X318" s="161"/>
      <c r="Y318" s="161"/>
      <c r="Z318" s="161"/>
      <c r="AA318" s="530"/>
      <c r="AB318" s="532"/>
    </row>
    <row r="319" spans="1:47" ht="15.95" customHeight="1">
      <c r="A319" s="798" t="s">
        <v>776</v>
      </c>
      <c r="B319" s="946"/>
      <c r="C319" s="946"/>
      <c r="D319" s="946"/>
      <c r="E319" s="946"/>
      <c r="F319" s="946"/>
      <c r="G319" s="946"/>
      <c r="H319" s="594"/>
      <c r="I319" s="594"/>
      <c r="J319" s="800"/>
      <c r="K319" s="455"/>
      <c r="L319" s="950"/>
      <c r="M319" s="455"/>
      <c r="N319" s="693"/>
      <c r="O319" s="693"/>
      <c r="P319" s="455"/>
      <c r="Q319" s="947"/>
      <c r="R319" s="948"/>
      <c r="S319" s="69"/>
      <c r="T319" s="69"/>
      <c r="U319" s="545"/>
      <c r="V319" s="545"/>
      <c r="W319" s="161"/>
      <c r="X319" s="161"/>
      <c r="Y319" s="161"/>
      <c r="Z319" s="161"/>
      <c r="AA319" s="530"/>
      <c r="AB319" s="532"/>
    </row>
    <row r="320" spans="1:47" ht="15.95" customHeight="1">
      <c r="A320" s="798" t="s">
        <v>777</v>
      </c>
      <c r="B320" s="946"/>
      <c r="C320" s="946"/>
      <c r="D320" s="946"/>
      <c r="E320" s="946"/>
      <c r="F320" s="946"/>
      <c r="G320" s="946"/>
      <c r="H320" s="594"/>
      <c r="I320" s="594"/>
      <c r="J320" s="800"/>
      <c r="K320" s="455"/>
      <c r="L320" s="950"/>
      <c r="M320" s="455"/>
      <c r="N320" s="693"/>
      <c r="O320" s="693"/>
      <c r="P320" s="455"/>
      <c r="Q320" s="947"/>
      <c r="R320" s="948"/>
      <c r="S320" s="69"/>
      <c r="T320" s="69"/>
      <c r="U320" s="545"/>
      <c r="V320" s="545"/>
      <c r="W320" s="161"/>
      <c r="X320" s="161"/>
      <c r="Y320" s="161"/>
      <c r="Z320" s="161"/>
      <c r="AA320" s="530"/>
      <c r="AB320" s="532"/>
    </row>
    <row r="321" spans="1:28" ht="15.95" customHeight="1">
      <c r="A321" s="798" t="s">
        <v>778</v>
      </c>
      <c r="B321" s="946"/>
      <c r="C321" s="946"/>
      <c r="D321" s="946"/>
      <c r="E321" s="946"/>
      <c r="F321" s="946"/>
      <c r="G321" s="946"/>
      <c r="H321" s="594"/>
      <c r="I321" s="594"/>
      <c r="J321" s="800"/>
      <c r="K321" s="455"/>
      <c r="L321" s="950"/>
      <c r="M321" s="455"/>
      <c r="N321" s="693"/>
      <c r="O321" s="693"/>
      <c r="P321" s="455"/>
      <c r="Q321" s="947"/>
      <c r="R321" s="948"/>
      <c r="S321" s="69"/>
      <c r="T321" s="69"/>
      <c r="U321" s="545"/>
      <c r="V321" s="545"/>
      <c r="W321" s="161"/>
      <c r="X321" s="161"/>
      <c r="Y321" s="161"/>
      <c r="Z321" s="161"/>
      <c r="AA321" s="530"/>
      <c r="AB321" s="532"/>
    </row>
    <row r="322" spans="1:28" ht="15.95" customHeight="1">
      <c r="A322" s="798" t="s">
        <v>776</v>
      </c>
      <c r="B322" s="946"/>
      <c r="C322" s="946"/>
      <c r="D322" s="946"/>
      <c r="E322" s="946"/>
      <c r="F322" s="946"/>
      <c r="G322" s="946"/>
      <c r="H322" s="594"/>
      <c r="I322" s="594"/>
      <c r="J322" s="800"/>
      <c r="K322" s="455"/>
      <c r="L322" s="950"/>
      <c r="M322" s="455"/>
      <c r="N322" s="693"/>
      <c r="O322" s="693"/>
      <c r="P322" s="455"/>
      <c r="Q322" s="947"/>
      <c r="R322" s="948"/>
      <c r="S322" s="69"/>
      <c r="T322" s="69"/>
      <c r="U322" s="545"/>
      <c r="V322" s="545"/>
      <c r="W322" s="161"/>
      <c r="X322" s="161"/>
      <c r="Y322" s="161"/>
      <c r="Z322" s="161"/>
      <c r="AA322" s="530"/>
      <c r="AB322" s="532"/>
    </row>
    <row r="323" spans="1:28" ht="15.95" customHeight="1">
      <c r="A323" s="939" t="s">
        <v>1189</v>
      </c>
      <c r="B323" s="857" t="s">
        <v>64</v>
      </c>
      <c r="C323" s="857">
        <v>1</v>
      </c>
      <c r="D323" s="654" t="s">
        <v>47</v>
      </c>
      <c r="E323" s="940"/>
      <c r="F323" s="654" t="s">
        <v>243</v>
      </c>
      <c r="G323" s="654" t="s">
        <v>49</v>
      </c>
      <c r="H323" s="655" cm="1">
        <f t="array" aca="1" ref="H323" ca="1">IFERROR(
    INDIRECT(
        "RawData!" &amp;
        ADDRESS(
            2,
            MATCH(
                TRIM(MID(A323, SEARCH(". ", A323) + 2, LEN(A323))) &amp; ".Import_kWh",
                RawData!$1:$1,
                0
            ),
            4
        )
    ),
    0
)</f>
        <v>0</v>
      </c>
      <c r="I323" s="655" cm="1">
        <f t="array" aca="1" ref="I323" ca="1">IFERROR(
    INDIRECT(
        "RawData!" &amp;
        ADDRESS(
            COUNTA(RawData!A:A),
            MATCH(
                TRIM(MID(A323, SEARCH(". ", A323) + 2, LEN(A323))) &amp; ".Import_kWh",
                RawData!$1:$1,
                0
            ),
            4
        )
    ),
    0
)</f>
        <v>0</v>
      </c>
      <c r="J323" s="680">
        <f ca="1">(I323-H323)*C323</f>
        <v>0</v>
      </c>
      <c r="K323" s="941" t="e">
        <f ca="1">J323*K$306/(J$307+J$314+J$323+J$334+J$339+J$349+J$356+J$357+J$358+J$361+J$364+J$370)</f>
        <v>#DIV/0!</v>
      </c>
      <c r="L323" s="581" t="e">
        <f ca="1">K323/J323</f>
        <v>#DIV/0!</v>
      </c>
      <c r="M323" s="900" t="e">
        <f ca="1">R324+R327+R328+R333+R330+R331</f>
        <v>#DIV/0!</v>
      </c>
      <c r="N323" s="942"/>
      <c r="O323" s="942"/>
      <c r="P323" s="958"/>
      <c r="Q323" s="944"/>
      <c r="R323" s="945"/>
      <c r="S323" s="69"/>
      <c r="T323" s="69"/>
      <c r="U323" s="545"/>
      <c r="V323" s="161"/>
      <c r="W323" s="161"/>
      <c r="X323" s="161"/>
      <c r="Y323" s="161"/>
      <c r="Z323" s="161"/>
      <c r="AA323" s="530"/>
      <c r="AB323" s="532"/>
    </row>
    <row r="324" spans="1:28" ht="15.95" customHeight="1">
      <c r="A324" s="959" t="s">
        <v>1277</v>
      </c>
      <c r="B324" s="794" t="s">
        <v>185</v>
      </c>
      <c r="C324" s="946">
        <v>1</v>
      </c>
      <c r="D324" s="595" t="s">
        <v>47</v>
      </c>
      <c r="E324" s="800"/>
      <c r="F324" s="595" t="s">
        <v>243</v>
      </c>
      <c r="G324" s="595" t="s">
        <v>49</v>
      </c>
      <c r="H324" s="665" cm="1">
        <f t="array" aca="1" ref="H324" ca="1">IFERROR(
    INDIRECT(
        "RawData!" &amp;
        ADDRESS(
            2,
            MATCH(
                TRIM(MID(A324, SEARCH(". ", A324) + 2, LEN(A324))) &amp; ".Import_kWh",
                RawData!$1:$1,
                0
            ),
            4
        )
    ),
    0
)</f>
        <v>0</v>
      </c>
      <c r="I324" s="665" cm="1">
        <f t="array" aca="1" ref="I324" ca="1">IFERROR(
    INDIRECT(
        "RawData!" &amp;
        ADDRESS(
            COUNTA(RawData!A:A),
            MATCH(
                TRIM(MID(A324, SEARCH(". ", A324) + 2, LEN(A324))) &amp; ".Import_kWh",
                RawData!$1:$1,
                0
            ),
            4
        )
    ),
    0
)</f>
        <v>0</v>
      </c>
      <c r="J324" s="666">
        <f ca="1">(I324-H324)*C324</f>
        <v>0</v>
      </c>
      <c r="K324" s="957">
        <f ca="1">J324</f>
        <v>0</v>
      </c>
      <c r="L324" s="840" t="e">
        <f ca="1">K324/J324</f>
        <v>#DIV/0!</v>
      </c>
      <c r="M324" s="957">
        <f>0.79+1.9+1.66+0.5+0.76+1.25</f>
        <v>6.8599999999999994</v>
      </c>
      <c r="N324" s="693"/>
      <c r="O324" s="693"/>
      <c r="P324" s="455">
        <f>M324*O324</f>
        <v>0</v>
      </c>
      <c r="Q324" s="960"/>
      <c r="R324" s="948">
        <f ca="1">K324</f>
        <v>0</v>
      </c>
      <c r="S324" s="114" t="s">
        <v>426</v>
      </c>
      <c r="T324" s="115" t="s">
        <v>439</v>
      </c>
      <c r="U324" s="545"/>
      <c r="V324" s="161"/>
      <c r="W324" s="161"/>
      <c r="X324" s="161"/>
      <c r="Y324" s="161"/>
      <c r="Z324" s="161"/>
      <c r="AA324" s="530"/>
      <c r="AB324" s="532"/>
    </row>
    <row r="325" spans="1:28" ht="21.75">
      <c r="A325" s="555" t="s">
        <v>779</v>
      </c>
      <c r="B325" s="946"/>
      <c r="C325" s="946"/>
      <c r="D325" s="946"/>
      <c r="E325" s="946"/>
      <c r="F325" s="946"/>
      <c r="G325" s="946"/>
      <c r="H325" s="594"/>
      <c r="I325" s="594"/>
      <c r="J325" s="794"/>
      <c r="K325" s="957"/>
      <c r="L325" s="950"/>
      <c r="M325" s="961"/>
      <c r="N325" s="693"/>
      <c r="O325" s="693"/>
      <c r="P325" s="455"/>
      <c r="Q325" s="960"/>
      <c r="R325" s="948"/>
      <c r="S325" s="69"/>
      <c r="T325" s="69"/>
      <c r="U325" s="161"/>
      <c r="V325" s="161"/>
      <c r="W325" s="161"/>
      <c r="X325" s="161"/>
      <c r="Y325" s="161"/>
      <c r="Z325" s="161"/>
      <c r="AA325" s="530"/>
      <c r="AB325" s="532"/>
    </row>
    <row r="326" spans="1:28" ht="15.95" customHeight="1">
      <c r="A326" s="962" t="s">
        <v>780</v>
      </c>
      <c r="B326" s="617" t="s">
        <v>781</v>
      </c>
      <c r="C326" s="617"/>
      <c r="D326" s="617"/>
      <c r="E326" s="617"/>
      <c r="F326" s="617"/>
      <c r="G326" s="617"/>
      <c r="H326" s="617"/>
      <c r="I326" s="617"/>
      <c r="J326" s="617"/>
      <c r="K326" s="963" t="e">
        <f ca="1">K323*0.08</f>
        <v>#DIV/0!</v>
      </c>
      <c r="L326" s="617"/>
      <c r="M326" s="617"/>
      <c r="N326" s="617"/>
      <c r="O326" s="617"/>
      <c r="P326" s="617"/>
      <c r="Q326" s="617"/>
      <c r="R326" s="778"/>
      <c r="S326" s="69"/>
      <c r="T326" s="69"/>
      <c r="U326" s="161"/>
      <c r="V326" s="161"/>
      <c r="W326" s="161"/>
      <c r="X326" s="161"/>
      <c r="Y326" s="161"/>
      <c r="Z326" s="161"/>
      <c r="AA326" s="530"/>
      <c r="AB326" s="532"/>
    </row>
    <row r="327" spans="1:28" ht="15.95" customHeight="1">
      <c r="A327" s="555" t="s">
        <v>776</v>
      </c>
      <c r="B327" s="946"/>
      <c r="C327" s="946" t="s">
        <v>717</v>
      </c>
      <c r="D327" s="964"/>
      <c r="E327" s="964"/>
      <c r="F327" s="964"/>
      <c r="G327" s="964"/>
      <c r="I327" s="617"/>
      <c r="J327" s="794"/>
      <c r="K327" s="472"/>
      <c r="L327" s="950"/>
      <c r="M327" s="455">
        <f>((250*15)/1000)</f>
        <v>3.75</v>
      </c>
      <c r="N327" s="693">
        <v>19</v>
      </c>
      <c r="O327" s="693">
        <v>22</v>
      </c>
      <c r="P327" s="455">
        <f>M327*O327</f>
        <v>82.5</v>
      </c>
      <c r="Q327" s="947"/>
      <c r="R327" s="948" t="e">
        <f ca="1">K326</f>
        <v>#DIV/0!</v>
      </c>
      <c r="S327" s="546" t="s">
        <v>772</v>
      </c>
      <c r="T327" s="547" t="s">
        <v>773</v>
      </c>
      <c r="U327" s="161"/>
      <c r="V327" s="161"/>
      <c r="W327" s="161"/>
      <c r="X327" s="161"/>
      <c r="Y327" s="161"/>
      <c r="Z327" s="161"/>
      <c r="AA327" s="530"/>
      <c r="AB327" s="532"/>
    </row>
    <row r="328" spans="1:28" ht="15.95" customHeight="1">
      <c r="A328" s="962" t="s">
        <v>1254</v>
      </c>
      <c r="B328" s="794" t="s">
        <v>72</v>
      </c>
      <c r="C328" s="946">
        <v>1</v>
      </c>
      <c r="D328" s="595" t="s">
        <v>335</v>
      </c>
      <c r="E328" s="774" t="s">
        <v>336</v>
      </c>
      <c r="F328" s="595" t="s">
        <v>243</v>
      </c>
      <c r="G328" s="595" t="s">
        <v>49</v>
      </c>
      <c r="H328" s="665" cm="1">
        <f t="array" aca="1" ref="H328" ca="1">IFERROR(
    INDIRECT(
        "RawData!" &amp;
        ADDRESS(
            2,
            MATCH(
                TRIM(MID(A328, SEARCH(". ", A328) + 2, LEN(A328))) &amp; ".Import_kWh",
                RawData!$1:$1,
                0
            ),
            4
        )
    ),
    0
)</f>
        <v>0</v>
      </c>
      <c r="I328" s="665" cm="1">
        <f t="array" aca="1" ref="I328" ca="1">IFERROR(
    INDIRECT(
        "RawData!" &amp;
        ADDRESS(
            COUNTA(RawData!A:A),
            MATCH(
                TRIM(MID(A328, SEARCH(". ", A328) + 2, LEN(A328))) &amp; ".Import_kWh",
                RawData!$1:$1,
                0
            ),
            4
        )
    ),
    0
)</f>
        <v>0</v>
      </c>
      <c r="J328" s="666">
        <f ca="1">(I328-H328)*C328</f>
        <v>0</v>
      </c>
      <c r="K328" s="759">
        <f ca="1">J328</f>
        <v>0</v>
      </c>
      <c r="L328" s="840" t="e">
        <f ca="1">K328/J328</f>
        <v>#DIV/0!</v>
      </c>
      <c r="M328" s="455"/>
      <c r="N328" s="693"/>
      <c r="O328" s="693"/>
      <c r="P328" s="455"/>
      <c r="Q328" s="947"/>
      <c r="R328" s="948"/>
      <c r="S328" s="69"/>
      <c r="T328" s="69"/>
      <c r="U328" s="161"/>
      <c r="V328" s="161"/>
      <c r="W328" s="161"/>
      <c r="X328" s="161"/>
      <c r="Y328" s="161"/>
      <c r="Z328" s="161"/>
      <c r="AA328" s="530"/>
      <c r="AB328" s="532"/>
    </row>
    <row r="329" spans="1:28" ht="15.95" customHeight="1">
      <c r="A329" s="804" t="s">
        <v>782</v>
      </c>
      <c r="B329" s="965"/>
      <c r="C329" s="966"/>
      <c r="D329" s="966"/>
      <c r="E329" s="966"/>
      <c r="F329" s="966"/>
      <c r="G329" s="966"/>
      <c r="H329" s="737"/>
      <c r="I329" s="737"/>
      <c r="J329" s="698"/>
      <c r="K329" s="686"/>
      <c r="L329" s="967"/>
      <c r="M329" s="686"/>
      <c r="N329" s="968"/>
      <c r="O329" s="968"/>
      <c r="P329" s="686"/>
      <c r="Q329" s="969"/>
      <c r="R329" s="970"/>
      <c r="S329" s="69"/>
      <c r="T329" s="69"/>
      <c r="U329" s="161"/>
      <c r="V329" s="161"/>
      <c r="W329" s="161"/>
      <c r="X329" s="161"/>
      <c r="Y329" s="161"/>
      <c r="Z329" s="161"/>
      <c r="AA329" s="530"/>
      <c r="AB329" s="532"/>
    </row>
    <row r="330" spans="1:28" ht="15.95" customHeight="1">
      <c r="A330" s="555" t="s">
        <v>783</v>
      </c>
      <c r="B330" s="901" t="s">
        <v>784</v>
      </c>
      <c r="C330" s="946"/>
      <c r="D330" s="946"/>
      <c r="E330" s="946"/>
      <c r="F330" s="946"/>
      <c r="G330" s="946"/>
      <c r="H330" s="594"/>
      <c r="I330" s="594"/>
      <c r="J330" s="673"/>
      <c r="K330" s="455"/>
      <c r="L330" s="840"/>
      <c r="M330" s="455">
        <v>5.5</v>
      </c>
      <c r="N330" s="693"/>
      <c r="O330" s="693"/>
      <c r="P330" s="455"/>
      <c r="Q330" s="947"/>
      <c r="R330" s="948">
        <f ca="1">K328</f>
        <v>0</v>
      </c>
      <c r="S330" s="535" t="s">
        <v>583</v>
      </c>
      <c r="T330" s="535" t="s">
        <v>584</v>
      </c>
      <c r="U330" s="161"/>
      <c r="V330" s="161"/>
      <c r="W330" s="161"/>
      <c r="X330" s="161"/>
      <c r="Y330" s="161"/>
      <c r="Z330" s="161"/>
      <c r="AA330" s="530"/>
      <c r="AB330" s="532"/>
    </row>
    <row r="331" spans="1:28" ht="15.95" customHeight="1">
      <c r="A331" s="971" t="s">
        <v>785</v>
      </c>
      <c r="B331" s="965" t="s">
        <v>72</v>
      </c>
      <c r="C331" s="966">
        <v>40</v>
      </c>
      <c r="D331" s="696" t="s">
        <v>47</v>
      </c>
      <c r="E331" s="888"/>
      <c r="F331" s="696" t="s">
        <v>243</v>
      </c>
      <c r="G331" s="696" t="s">
        <v>49</v>
      </c>
      <c r="H331" s="886" cm="1">
        <f t="array" aca="1" ref="H331" ca="1">IFERROR(
    INDIRECT(
        "RawData!" &amp;
        ADDRESS(
            2,
            MATCH(
                TRIM(MID(A331, SEARCH(". ", A331) + 2, LEN(A331))) &amp; ".Import_kWh",
                RawData!$1:$1,
                0
            ),
            4
        )
    ),
    0
)</f>
        <v>0</v>
      </c>
      <c r="I331" s="886" cm="1">
        <f t="array" aca="1" ref="I331" ca="1">IFERROR(
    INDIRECT(
        "RawData!" &amp;
        ADDRESS(
            COUNTA(RawData!A:A),
            MATCH(
                TRIM(MID(A331, SEARCH(". ", A331) + 2, LEN(A331))) &amp; ".Import_kWh",
                RawData!$1:$1,
                0
            ),
            4
        )
    ),
    0
)</f>
        <v>0</v>
      </c>
      <c r="J331" s="698">
        <f ca="1">(I331-H331)*C331</f>
        <v>0</v>
      </c>
      <c r="K331" s="686">
        <f ca="1">J331</f>
        <v>0</v>
      </c>
      <c r="L331" s="967"/>
      <c r="M331" s="686"/>
      <c r="N331" s="968"/>
      <c r="O331" s="968"/>
      <c r="P331" s="686"/>
      <c r="Q331" s="969"/>
      <c r="R331" s="970">
        <f ca="1">K331</f>
        <v>0</v>
      </c>
      <c r="S331" s="535" t="s">
        <v>583</v>
      </c>
      <c r="T331" s="548" t="s">
        <v>589</v>
      </c>
      <c r="U331" s="161"/>
      <c r="V331" s="161"/>
      <c r="W331" s="161"/>
      <c r="X331" s="161"/>
      <c r="Y331" s="161"/>
      <c r="Z331" s="161"/>
      <c r="AA331" s="530"/>
      <c r="AB331" s="532"/>
    </row>
    <row r="332" spans="1:28" ht="15.95" customHeight="1">
      <c r="A332" s="555" t="s">
        <v>786</v>
      </c>
      <c r="B332" s="901"/>
      <c r="C332" s="946"/>
      <c r="D332" s="946"/>
      <c r="E332" s="946"/>
      <c r="F332" s="946"/>
      <c r="G332" s="946"/>
      <c r="H332" s="594"/>
      <c r="I332" s="594"/>
      <c r="J332" s="673">
        <f>390.6*28</f>
        <v>10936.800000000001</v>
      </c>
      <c r="K332" s="455"/>
      <c r="L332" s="840"/>
      <c r="M332" s="455"/>
      <c r="N332" s="693"/>
      <c r="O332" s="693"/>
      <c r="P332" s="455"/>
      <c r="Q332" s="947"/>
      <c r="R332" s="948"/>
      <c r="S332" s="69"/>
      <c r="T332" s="69"/>
      <c r="U332" s="549"/>
      <c r="V332" s="161"/>
      <c r="W332" s="161"/>
      <c r="X332" s="161"/>
      <c r="Y332" s="161"/>
      <c r="Z332" s="161"/>
      <c r="AA332" s="530"/>
      <c r="AB332" s="532"/>
    </row>
    <row r="333" spans="1:28" ht="15.95" customHeight="1">
      <c r="A333" s="962" t="s">
        <v>787</v>
      </c>
      <c r="B333" s="794"/>
      <c r="C333" s="946"/>
      <c r="D333" s="946"/>
      <c r="E333" s="946"/>
      <c r="F333" s="946"/>
      <c r="G333" s="946"/>
      <c r="H333" s="594"/>
      <c r="I333" s="594"/>
      <c r="J333" s="673"/>
      <c r="K333" s="957" t="e">
        <f ca="1">K323-(K324+K326+K328+K331)</f>
        <v>#DIV/0!</v>
      </c>
      <c r="L333" s="950"/>
      <c r="M333" s="455">
        <v>50.08</v>
      </c>
      <c r="N333" s="693">
        <v>15</v>
      </c>
      <c r="O333" s="693">
        <v>37</v>
      </c>
      <c r="P333" s="455"/>
      <c r="Q333" s="947"/>
      <c r="R333" s="948" t="e">
        <f ca="1">K333</f>
        <v>#DIV/0!</v>
      </c>
      <c r="S333" s="18" t="s">
        <v>593</v>
      </c>
      <c r="T333" s="550" t="s">
        <v>597</v>
      </c>
      <c r="U333" s="161"/>
      <c r="V333" s="161"/>
      <c r="W333" s="161"/>
      <c r="X333" s="161"/>
      <c r="Y333" s="161"/>
      <c r="Z333" s="161"/>
      <c r="AA333" s="530"/>
      <c r="AB333" s="532"/>
    </row>
    <row r="334" spans="1:28" ht="15.95" customHeight="1">
      <c r="A334" s="939" t="s">
        <v>788</v>
      </c>
      <c r="B334" s="857" t="s">
        <v>64</v>
      </c>
      <c r="C334" s="857">
        <v>1</v>
      </c>
      <c r="D334" s="654" t="s">
        <v>47</v>
      </c>
      <c r="E334" s="940"/>
      <c r="F334" s="654" t="s">
        <v>243</v>
      </c>
      <c r="G334" s="654" t="s">
        <v>49</v>
      </c>
      <c r="H334" s="655" cm="1">
        <f t="array" aca="1" ref="H334" ca="1">IFERROR(
    INDIRECT(
        "RawData!" &amp;
        ADDRESS(
            2,
            MATCH(
                TRIM(MID(A334, SEARCH(". ", A334) + 2, LEN(A334))) &amp; ".Import_kWh",
                RawData!$1:$1,
                0
            ),
            4
        )
    ),
    0
)</f>
        <v>0</v>
      </c>
      <c r="I334" s="655" cm="1">
        <f t="array" aca="1" ref="I334" ca="1">IFERROR(
    INDIRECT(
        "RawData!" &amp;
        ADDRESS(
            COUNTA(RawData!A:A),
            MATCH(
                TRIM(MID(A334, SEARCH(". ", A334) + 2, LEN(A334))) &amp; ".Import_kWh",
                RawData!$1:$1,
                0
            ),
            4
        )
    ),
    0
)</f>
        <v>0</v>
      </c>
      <c r="J334" s="680">
        <f ca="1">(I334-H334)*C334</f>
        <v>0</v>
      </c>
      <c r="K334" s="941" t="e">
        <f ca="1">J334*K$306/(J$307+J$314+J$323+J$334+J$339+J$349+J$356+J$357+J$358+J$361+J$364+J$370)</f>
        <v>#DIV/0!</v>
      </c>
      <c r="L334" s="581" t="e">
        <f ca="1">K334/J334</f>
        <v>#DIV/0!</v>
      </c>
      <c r="M334" s="900" t="e">
        <f ca="1">R335+R337</f>
        <v>#DIV/0!</v>
      </c>
      <c r="N334" s="942"/>
      <c r="O334" s="942"/>
      <c r="P334" s="951"/>
      <c r="Q334" s="952"/>
      <c r="R334" s="945"/>
      <c r="S334" s="69"/>
      <c r="T334" s="69"/>
      <c r="U334" s="161"/>
      <c r="V334" s="161"/>
      <c r="W334" s="161"/>
      <c r="X334" s="161"/>
      <c r="Y334" s="161"/>
      <c r="Z334" s="161"/>
      <c r="AA334" s="530"/>
      <c r="AB334" s="532"/>
    </row>
    <row r="335" spans="1:28" ht="15.95" customHeight="1">
      <c r="A335" s="804" t="s">
        <v>789</v>
      </c>
      <c r="B335" s="794"/>
      <c r="C335" s="794"/>
      <c r="D335" s="794"/>
      <c r="E335" s="794"/>
      <c r="F335" s="794"/>
      <c r="G335" s="794"/>
      <c r="H335" s="594"/>
      <c r="I335" s="594"/>
      <c r="J335" s="717"/>
      <c r="K335" s="472" t="e">
        <f ca="1">K334-K337</f>
        <v>#DIV/0!</v>
      </c>
      <c r="L335" s="840"/>
      <c r="M335" s="953"/>
      <c r="N335" s="693">
        <v>32</v>
      </c>
      <c r="O335" s="693">
        <v>31</v>
      </c>
      <c r="P335" s="455"/>
      <c r="Q335" s="947"/>
      <c r="R335" s="948" t="e">
        <f ca="1">K335</f>
        <v>#DIV/0!</v>
      </c>
      <c r="S335" s="114" t="s">
        <v>537</v>
      </c>
      <c r="T335" s="115" t="s">
        <v>538</v>
      </c>
      <c r="U335" s="161"/>
      <c r="V335" s="161"/>
      <c r="W335" s="161"/>
      <c r="X335" s="161"/>
      <c r="Y335" s="161"/>
      <c r="Z335" s="161"/>
      <c r="AA335" s="530"/>
      <c r="AB335" s="532"/>
    </row>
    <row r="336" spans="1:28" ht="15.95" customHeight="1">
      <c r="A336" s="555" t="s">
        <v>790</v>
      </c>
      <c r="B336" s="946"/>
      <c r="C336" s="946"/>
      <c r="D336" s="946"/>
      <c r="E336" s="946"/>
      <c r="F336" s="946"/>
      <c r="G336" s="946"/>
      <c r="H336" s="594"/>
      <c r="I336" s="594"/>
      <c r="J336" s="800"/>
      <c r="K336" s="455"/>
      <c r="L336" s="950"/>
      <c r="M336" s="455"/>
      <c r="N336" s="693"/>
      <c r="O336" s="693"/>
      <c r="P336" s="455"/>
      <c r="Q336" s="947"/>
      <c r="R336" s="948"/>
      <c r="S336" s="69"/>
      <c r="T336" s="69"/>
      <c r="U336" s="161"/>
      <c r="V336" s="161"/>
      <c r="W336" s="161"/>
      <c r="X336" s="161"/>
      <c r="Y336" s="161"/>
      <c r="Z336" s="161"/>
      <c r="AA336" s="530"/>
      <c r="AB336" s="532"/>
    </row>
    <row r="337" spans="1:28" ht="15.95" customHeight="1">
      <c r="A337" s="962" t="s">
        <v>1190</v>
      </c>
      <c r="B337" s="946"/>
      <c r="C337" s="946">
        <v>1</v>
      </c>
      <c r="D337" s="595" t="s">
        <v>47</v>
      </c>
      <c r="E337" s="800"/>
      <c r="F337" s="595" t="s">
        <v>243</v>
      </c>
      <c r="G337" s="595" t="s">
        <v>49</v>
      </c>
      <c r="H337" s="665" cm="1">
        <f t="array" aca="1" ref="H337" ca="1">IFERROR(
    INDIRECT(
        "RawData!" &amp;
        ADDRESS(
            2,
            MATCH(
                TRIM(MID(A337, SEARCH(". ", A337) + 2, LEN(A337))) &amp; ".Import_kWh",
                RawData!$1:$1,
                0
            ),
            4
        )
    ),
    0
)</f>
        <v>0</v>
      </c>
      <c r="I337" s="665" cm="1">
        <f t="array" aca="1" ref="I337" ca="1">IFERROR(
    INDIRECT(
        "RawData!" &amp;
        ADDRESS(
            COUNTA(RawData!A:A),
            MATCH(
                TRIM(MID(A337, SEARCH(". ", A337) + 2, LEN(A337))) &amp; ".Import_kWh",
                RawData!$1:$1,
                0
            ),
            4
        )
    ),
    0
)</f>
        <v>0</v>
      </c>
      <c r="J337" s="666">
        <f ca="1">(I337-H337)*C337</f>
        <v>0</v>
      </c>
      <c r="K337" s="759">
        <f ca="1">J337</f>
        <v>0</v>
      </c>
      <c r="L337" s="950"/>
      <c r="M337" s="455"/>
      <c r="N337" s="693"/>
      <c r="O337" s="693"/>
      <c r="P337" s="455"/>
      <c r="Q337" s="947"/>
      <c r="R337" s="948">
        <f ca="1">K337</f>
        <v>0</v>
      </c>
      <c r="S337" s="114" t="s">
        <v>667</v>
      </c>
      <c r="T337" s="115" t="s">
        <v>668</v>
      </c>
      <c r="U337" s="161"/>
      <c r="V337" s="161"/>
      <c r="W337" s="161"/>
      <c r="X337" s="161"/>
      <c r="Y337" s="161"/>
      <c r="Z337" s="161"/>
      <c r="AA337" s="530"/>
      <c r="AB337" s="532"/>
    </row>
    <row r="338" spans="1:28" ht="15.95" customHeight="1">
      <c r="A338" s="804" t="s">
        <v>791</v>
      </c>
      <c r="B338" s="946"/>
      <c r="C338" s="946"/>
      <c r="D338" s="946"/>
      <c r="E338" s="946"/>
      <c r="F338" s="946"/>
      <c r="G338" s="946"/>
      <c r="H338" s="594"/>
      <c r="I338" s="594"/>
      <c r="J338" s="673"/>
      <c r="K338" s="455"/>
      <c r="L338" s="950"/>
      <c r="M338" s="455"/>
      <c r="N338" s="693"/>
      <c r="O338" s="693"/>
      <c r="P338" s="455"/>
      <c r="Q338" s="947"/>
      <c r="R338" s="948"/>
      <c r="S338" s="69"/>
      <c r="T338" s="69"/>
      <c r="U338" s="161"/>
      <c r="V338" s="161"/>
      <c r="W338" s="161"/>
      <c r="X338" s="161"/>
      <c r="Y338" s="161"/>
      <c r="Z338" s="161"/>
      <c r="AA338" s="530"/>
      <c r="AB338" s="532"/>
    </row>
    <row r="339" spans="1:28" ht="15.95" customHeight="1">
      <c r="A339" s="939" t="s">
        <v>792</v>
      </c>
      <c r="B339" s="857" t="s">
        <v>64</v>
      </c>
      <c r="C339" s="857">
        <v>1</v>
      </c>
      <c r="D339" s="654" t="s">
        <v>47</v>
      </c>
      <c r="E339" s="940"/>
      <c r="F339" s="654" t="s">
        <v>243</v>
      </c>
      <c r="G339" s="654" t="s">
        <v>49</v>
      </c>
      <c r="H339" s="655" cm="1">
        <f t="array" aca="1" ref="H339" ca="1">IFERROR(
    INDIRECT(
        "RawData!" &amp;
        ADDRESS(
            2,
            MATCH(
                TRIM(MID(A339, SEARCH(". ", A339) + 2, LEN(A339))) &amp; ".Import_kWh",
                RawData!$1:$1,
                0
            ),
            4
        )
    ),
    0
)</f>
        <v>0</v>
      </c>
      <c r="I339" s="655" cm="1">
        <f t="array" aca="1" ref="I339" ca="1">IFERROR(
    INDIRECT(
        "RawData!" &amp;
        ADDRESS(
            COUNTA(RawData!A:A),
            MATCH(
                TRIM(MID(A339, SEARCH(". ", A339) + 2, LEN(A339))) &amp; ".Import_kWh",
                RawData!$1:$1,
                0
            ),
            4
        )
    ),
    0
)</f>
        <v>0</v>
      </c>
      <c r="J339" s="680">
        <f ca="1">(I339-H339)*C339</f>
        <v>0</v>
      </c>
      <c r="K339" s="941" t="e">
        <f ca="1">J339*K$306/(J$307+J$314+J$323+J$334+J$339+J$349+J$356+J$357+J$358+J$361+J$364+J$370)</f>
        <v>#DIV/0!</v>
      </c>
      <c r="L339" s="581" t="e">
        <f ca="1">K339/J339</f>
        <v>#DIV/0!</v>
      </c>
      <c r="M339" s="900" t="e">
        <f ca="1">R341+R343</f>
        <v>#DIV/0!</v>
      </c>
      <c r="N339" s="942"/>
      <c r="O339" s="942"/>
      <c r="P339" s="951"/>
      <c r="Q339" s="944"/>
      <c r="R339" s="945"/>
      <c r="S339" s="69"/>
      <c r="T339" s="69"/>
      <c r="U339" s="161"/>
      <c r="V339" s="161"/>
      <c r="W339" s="161"/>
      <c r="X339" s="161"/>
      <c r="Y339" s="161"/>
      <c r="Z339" s="161"/>
      <c r="AA339" s="530"/>
      <c r="AB339" s="532"/>
    </row>
    <row r="340" spans="1:28" ht="15.95" customHeight="1">
      <c r="A340" s="555" t="s">
        <v>793</v>
      </c>
      <c r="B340" s="794"/>
      <c r="C340" s="946"/>
      <c r="D340" s="946"/>
      <c r="E340" s="946"/>
      <c r="F340" s="946"/>
      <c r="G340" s="946"/>
      <c r="H340" s="594"/>
      <c r="I340" s="594"/>
      <c r="J340" s="794"/>
      <c r="K340" s="972"/>
      <c r="L340" s="950"/>
      <c r="M340" s="455"/>
      <c r="N340" s="693"/>
      <c r="O340" s="693"/>
      <c r="P340" s="455"/>
      <c r="Q340" s="947"/>
      <c r="R340" s="948"/>
      <c r="S340" s="69"/>
      <c r="T340" s="69"/>
      <c r="U340" s="161"/>
      <c r="V340" s="161"/>
      <c r="W340" s="161"/>
      <c r="X340" s="161"/>
      <c r="Y340" s="161"/>
      <c r="Z340" s="161"/>
      <c r="AA340" s="530"/>
      <c r="AB340" s="532"/>
    </row>
    <row r="341" spans="1:28" ht="15.95" customHeight="1">
      <c r="A341" s="555" t="s">
        <v>794</v>
      </c>
      <c r="B341" s="794"/>
      <c r="C341" s="946"/>
      <c r="D341" s="946"/>
      <c r="E341" s="946"/>
      <c r="F341" s="946"/>
      <c r="G341" s="946"/>
      <c r="H341" s="594"/>
      <c r="I341" s="594"/>
      <c r="J341" s="800"/>
      <c r="K341" s="973" t="e">
        <f ca="1">K339-R343</f>
        <v>#DIV/0!</v>
      </c>
      <c r="L341" s="950"/>
      <c r="M341" s="472" t="e">
        <f ca="1">K341/K339</f>
        <v>#DIV/0!</v>
      </c>
      <c r="N341" s="693"/>
      <c r="O341" s="693"/>
      <c r="P341" s="455">
        <f>175+40</f>
        <v>215</v>
      </c>
      <c r="Q341" s="947"/>
      <c r="R341" s="948" t="e">
        <f ca="1">K341</f>
        <v>#DIV/0!</v>
      </c>
      <c r="S341" s="114" t="s">
        <v>667</v>
      </c>
      <c r="T341" s="115" t="s">
        <v>668</v>
      </c>
      <c r="U341" s="161"/>
      <c r="V341" s="161"/>
      <c r="W341" s="161"/>
      <c r="X341" s="161"/>
      <c r="Y341" s="161"/>
      <c r="Z341" s="161"/>
      <c r="AA341" s="530"/>
      <c r="AB341" s="532"/>
    </row>
    <row r="342" spans="1:28" ht="15.95" customHeight="1">
      <c r="A342" s="555" t="s">
        <v>776</v>
      </c>
      <c r="B342" s="946"/>
      <c r="C342" s="946"/>
      <c r="D342" s="946"/>
      <c r="E342" s="946"/>
      <c r="F342" s="946"/>
      <c r="G342" s="946"/>
      <c r="H342" s="594"/>
      <c r="I342" s="594"/>
      <c r="J342" s="800"/>
      <c r="K342" s="973"/>
      <c r="L342" s="950"/>
      <c r="M342" s="472"/>
      <c r="N342" s="693"/>
      <c r="O342" s="693"/>
      <c r="P342" s="455"/>
      <c r="Q342" s="947"/>
      <c r="R342" s="948"/>
      <c r="S342" s="69"/>
      <c r="T342" s="69"/>
      <c r="U342" s="161"/>
      <c r="V342" s="161"/>
      <c r="W342" s="161"/>
      <c r="X342" s="161"/>
      <c r="Y342" s="161"/>
      <c r="Z342" s="161"/>
      <c r="AA342" s="530"/>
      <c r="AB342" s="532"/>
    </row>
    <row r="343" spans="1:28" ht="15.95" customHeight="1">
      <c r="A343" s="974" t="s">
        <v>795</v>
      </c>
      <c r="B343" s="794"/>
      <c r="C343" s="946"/>
      <c r="D343" s="946"/>
      <c r="E343" s="946"/>
      <c r="F343" s="946" t="s">
        <v>796</v>
      </c>
      <c r="G343" s="946"/>
      <c r="H343" s="762"/>
      <c r="I343" s="762"/>
      <c r="J343" s="673">
        <v>1400</v>
      </c>
      <c r="K343" s="973">
        <f>J343</f>
        <v>1400</v>
      </c>
      <c r="L343" s="950"/>
      <c r="M343" s="472" t="e">
        <f ca="1">K343/K339</f>
        <v>#DIV/0!</v>
      </c>
      <c r="N343" s="693"/>
      <c r="O343" s="693"/>
      <c r="P343" s="455"/>
      <c r="Q343" s="947"/>
      <c r="R343" s="948">
        <f>K343</f>
        <v>1400</v>
      </c>
      <c r="S343" s="114" t="s">
        <v>455</v>
      </c>
      <c r="T343" s="283" t="s">
        <v>456</v>
      </c>
      <c r="U343" s="161"/>
      <c r="V343" s="161"/>
      <c r="W343" s="161"/>
      <c r="X343" s="161"/>
      <c r="Y343" s="161"/>
      <c r="Z343" s="161"/>
      <c r="AA343" s="530"/>
      <c r="AB343" s="532"/>
    </row>
    <row r="344" spans="1:28" ht="15.95" customHeight="1">
      <c r="A344" s="804" t="s">
        <v>797</v>
      </c>
      <c r="B344" s="946"/>
      <c r="C344" s="946"/>
      <c r="D344" s="946"/>
      <c r="E344" s="946"/>
      <c r="F344" s="946"/>
      <c r="G344" s="946"/>
      <c r="H344" s="594"/>
      <c r="I344" s="594"/>
      <c r="J344" s="800"/>
      <c r="K344" s="973"/>
      <c r="L344" s="950"/>
      <c r="M344" s="455"/>
      <c r="N344" s="693"/>
      <c r="O344" s="693"/>
      <c r="P344" s="455"/>
      <c r="Q344" s="947"/>
      <c r="R344" s="948"/>
      <c r="S344" s="69"/>
      <c r="T344" s="69"/>
      <c r="U344" s="161"/>
      <c r="V344" s="161"/>
      <c r="W344" s="161"/>
      <c r="X344" s="161"/>
      <c r="Y344" s="161"/>
      <c r="Z344" s="161"/>
      <c r="AA344" s="530"/>
      <c r="AB344" s="532"/>
    </row>
    <row r="345" spans="1:28" ht="15.95" customHeight="1">
      <c r="A345" s="974" t="s">
        <v>798</v>
      </c>
      <c r="B345" s="946"/>
      <c r="C345" s="946"/>
      <c r="D345" s="946"/>
      <c r="E345" s="946"/>
      <c r="F345" s="946"/>
      <c r="G345" s="946"/>
      <c r="H345" s="594"/>
      <c r="I345" s="594"/>
      <c r="J345" s="800"/>
      <c r="K345" s="973"/>
      <c r="L345" s="950"/>
      <c r="M345" s="455"/>
      <c r="N345" s="693"/>
      <c r="O345" s="693"/>
      <c r="P345" s="455"/>
      <c r="Q345" s="947"/>
      <c r="R345" s="948"/>
      <c r="S345" s="69"/>
      <c r="T345" s="69"/>
      <c r="U345" s="161"/>
      <c r="V345" s="161"/>
      <c r="W345" s="161"/>
      <c r="X345" s="161"/>
      <c r="Y345" s="161"/>
      <c r="Z345" s="161"/>
      <c r="AA345" s="530"/>
      <c r="AB345" s="532"/>
    </row>
    <row r="346" spans="1:28" ht="15.95" customHeight="1">
      <c r="A346" s="804" t="s">
        <v>799</v>
      </c>
      <c r="B346" s="946"/>
      <c r="C346" s="946"/>
      <c r="D346" s="946"/>
      <c r="E346" s="946"/>
      <c r="F346" s="946"/>
      <c r="G346" s="946"/>
      <c r="H346" s="594"/>
      <c r="I346" s="594"/>
      <c r="J346" s="800"/>
      <c r="K346" s="973"/>
      <c r="L346" s="950"/>
      <c r="M346" s="455"/>
      <c r="N346" s="693"/>
      <c r="O346" s="693"/>
      <c r="P346" s="455"/>
      <c r="Q346" s="947"/>
      <c r="R346" s="948"/>
      <c r="S346" s="69"/>
      <c r="T346" s="69"/>
      <c r="U346" s="161"/>
      <c r="V346" s="161"/>
      <c r="W346" s="161"/>
      <c r="X346" s="161"/>
      <c r="Y346" s="161"/>
      <c r="Z346" s="161"/>
      <c r="AA346" s="530"/>
      <c r="AB346" s="532"/>
    </row>
    <row r="347" spans="1:28" ht="15.95" customHeight="1">
      <c r="A347" s="974" t="s">
        <v>800</v>
      </c>
      <c r="B347" s="946"/>
      <c r="C347" s="946"/>
      <c r="D347" s="946"/>
      <c r="E347" s="946"/>
      <c r="F347" s="946"/>
      <c r="G347" s="946"/>
      <c r="H347" s="594"/>
      <c r="I347" s="594"/>
      <c r="J347" s="800"/>
      <c r="K347" s="973"/>
      <c r="L347" s="950"/>
      <c r="M347" s="455"/>
      <c r="N347" s="693"/>
      <c r="O347" s="693"/>
      <c r="P347" s="455"/>
      <c r="Q347" s="947"/>
      <c r="R347" s="948"/>
      <c r="S347" s="69"/>
      <c r="T347" s="69"/>
      <c r="U347" s="161"/>
      <c r="V347" s="161"/>
      <c r="W347" s="161"/>
      <c r="X347" s="161"/>
      <c r="Y347" s="161"/>
      <c r="Z347" s="161"/>
      <c r="AA347" s="530"/>
      <c r="AB347" s="532"/>
    </row>
    <row r="348" spans="1:28" ht="15.95" customHeight="1">
      <c r="A348" s="804" t="s">
        <v>799</v>
      </c>
      <c r="B348" s="946"/>
      <c r="C348" s="946"/>
      <c r="D348" s="946"/>
      <c r="E348" s="946"/>
      <c r="F348" s="946"/>
      <c r="G348" s="946"/>
      <c r="H348" s="594"/>
      <c r="I348" s="594"/>
      <c r="J348" s="800"/>
      <c r="K348" s="973"/>
      <c r="L348" s="950"/>
      <c r="M348" s="455"/>
      <c r="N348" s="693"/>
      <c r="O348" s="693"/>
      <c r="P348" s="455"/>
      <c r="Q348" s="947"/>
      <c r="R348" s="948"/>
      <c r="S348" s="69"/>
      <c r="T348" s="69"/>
      <c r="U348" s="161"/>
      <c r="V348" s="161"/>
      <c r="W348" s="161"/>
      <c r="X348" s="161"/>
      <c r="Y348" s="161"/>
      <c r="Z348" s="161"/>
      <c r="AA348" s="530"/>
      <c r="AB348" s="532"/>
    </row>
    <row r="349" spans="1:28" ht="15.95" customHeight="1">
      <c r="A349" s="919" t="s">
        <v>801</v>
      </c>
      <c r="B349" s="857" t="s">
        <v>64</v>
      </c>
      <c r="C349" s="857">
        <v>1</v>
      </c>
      <c r="D349" s="654" t="s">
        <v>47</v>
      </c>
      <c r="E349" s="940"/>
      <c r="F349" s="654" t="s">
        <v>243</v>
      </c>
      <c r="G349" s="654" t="s">
        <v>49</v>
      </c>
      <c r="H349" s="655" cm="1">
        <f t="array" aca="1" ref="H349" ca="1">IFERROR(
    INDIRECT(
        "RawData!" &amp;
        ADDRESS(
            2,
            MATCH(
                TRIM(MID(A349, SEARCH(". ", A349) + 2, LEN(A349))) &amp; ".Import_kWh",
                RawData!$1:$1,
                0
            ),
            4
        )
    ),
    0
)</f>
        <v>0</v>
      </c>
      <c r="I349" s="655" cm="1">
        <f t="array" aca="1" ref="I349" ca="1">IFERROR(
    INDIRECT(
        "RawData!" &amp;
        ADDRESS(
            COUNTA(RawData!A:A),
            MATCH(
                TRIM(MID(A349, SEARCH(". ", A349) + 2, LEN(A349))) &amp; ".Import_kWh",
                RawData!$1:$1,
                0
            ),
            4
        )
    ),
    0
)</f>
        <v>0</v>
      </c>
      <c r="J349" s="680">
        <f ca="1">(I349-H349)*C349</f>
        <v>0</v>
      </c>
      <c r="K349" s="941" t="e">
        <f ca="1">J349*K$306/(J$307+J$314+J$323+J$334+J$339+J$349+J$356+J$357+J$358+J$361+J$364+J$370)</f>
        <v>#DIV/0!</v>
      </c>
      <c r="L349" s="581" t="e">
        <f ca="1">K349/J349</f>
        <v>#DIV/0!</v>
      </c>
      <c r="M349" s="900" t="e">
        <f ca="1">R351+R352+R353</f>
        <v>#DIV/0!</v>
      </c>
      <c r="N349" s="942"/>
      <c r="O349" s="942"/>
      <c r="P349" s="951"/>
      <c r="Q349" s="944"/>
      <c r="R349" s="945"/>
      <c r="S349" s="69"/>
      <c r="T349" s="69"/>
      <c r="U349" s="161"/>
      <c r="V349" s="161"/>
      <c r="W349" s="161"/>
      <c r="X349" s="161"/>
      <c r="Y349" s="161"/>
      <c r="Z349" s="161"/>
      <c r="AA349" s="530"/>
      <c r="AB349" s="532"/>
    </row>
    <row r="350" spans="1:28" ht="15.95" customHeight="1">
      <c r="A350" s="975" t="s">
        <v>802</v>
      </c>
      <c r="B350" s="794"/>
      <c r="C350" s="794">
        <v>1</v>
      </c>
      <c r="D350" s="595" t="s">
        <v>47</v>
      </c>
      <c r="E350" s="800"/>
      <c r="F350" s="595" t="s">
        <v>243</v>
      </c>
      <c r="G350" s="595" t="s">
        <v>49</v>
      </c>
      <c r="H350" s="665" cm="1">
        <f t="array" aca="1" ref="H350" ca="1">IFERROR(
    INDIRECT(
        "RawData!" &amp;
        ADDRESS(
            2,
            MATCH(
                TRIM(MID(A350, SEARCH(". ", A350) + 2, LEN(A350))) &amp; ".Import_kWh",
                RawData!$1:$1,
                0
            ),
            4
        )
    ),
    0
)</f>
        <v>0</v>
      </c>
      <c r="I350" s="665" cm="1">
        <f t="array" aca="1" ref="I350" ca="1">IFERROR(
    INDIRECT(
        "RawData!" &amp;
        ADDRESS(
            COUNTA(RawData!A:A),
            MATCH(
                TRIM(MID(A350, SEARCH(". ", A350) + 2, LEN(A350))) &amp; ".Import_kWh",
                RawData!$1:$1,
                0
            ),
            4
        )
    ),
    0
)</f>
        <v>0</v>
      </c>
      <c r="J350" s="666">
        <f ca="1">(I350-H350)*C350</f>
        <v>0</v>
      </c>
      <c r="K350" s="705">
        <f ca="1">J350</f>
        <v>0</v>
      </c>
      <c r="L350" s="840"/>
      <c r="M350" s="953"/>
      <c r="N350" s="693"/>
      <c r="O350" s="693"/>
      <c r="P350" s="455"/>
      <c r="Q350" s="960"/>
      <c r="R350" s="948"/>
      <c r="S350" s="69"/>
      <c r="T350" s="69"/>
      <c r="U350" s="161"/>
      <c r="V350" s="161"/>
      <c r="W350" s="161"/>
      <c r="X350" s="161"/>
      <c r="Y350" s="161"/>
      <c r="Z350" s="161"/>
      <c r="AA350" s="530"/>
      <c r="AB350" s="532"/>
    </row>
    <row r="351" spans="1:28" ht="15.95" customHeight="1">
      <c r="A351" s="555" t="s">
        <v>803</v>
      </c>
      <c r="B351" s="794"/>
      <c r="C351" s="794"/>
      <c r="D351" s="794"/>
      <c r="E351" s="794"/>
      <c r="F351" s="794"/>
      <c r="G351" s="794"/>
      <c r="H351" s="762"/>
      <c r="I351" s="762"/>
      <c r="J351" s="673"/>
      <c r="K351" s="705"/>
      <c r="L351" s="840"/>
      <c r="M351" s="472">
        <v>1</v>
      </c>
      <c r="N351" s="693">
        <v>23</v>
      </c>
      <c r="O351" s="693">
        <v>26</v>
      </c>
      <c r="P351" s="472">
        <f>M351*O351</f>
        <v>26</v>
      </c>
      <c r="Q351" s="947">
        <f>P351/(P$351+P$352)</f>
        <v>1</v>
      </c>
      <c r="R351" s="948">
        <f ca="1">Q351*K$350</f>
        <v>0</v>
      </c>
      <c r="S351" s="114" t="s">
        <v>583</v>
      </c>
      <c r="T351" s="115" t="s">
        <v>584</v>
      </c>
      <c r="U351" s="161"/>
      <c r="V351" s="161"/>
      <c r="W351" s="161"/>
      <c r="X351" s="161"/>
      <c r="Y351" s="161"/>
      <c r="Z351" s="161"/>
      <c r="AA351" s="530"/>
      <c r="AB351" s="532"/>
    </row>
    <row r="352" spans="1:28" ht="15.95" customHeight="1">
      <c r="A352" s="555" t="s">
        <v>804</v>
      </c>
      <c r="B352" s="794"/>
      <c r="C352" s="794"/>
      <c r="D352" s="794"/>
      <c r="E352" s="794"/>
      <c r="F352" s="794"/>
      <c r="G352" s="794"/>
      <c r="H352" s="762"/>
      <c r="I352" s="762"/>
      <c r="J352" s="673"/>
      <c r="K352" s="705"/>
      <c r="L352" s="840"/>
      <c r="M352" s="472">
        <v>1</v>
      </c>
      <c r="N352" s="693">
        <v>0</v>
      </c>
      <c r="O352" s="693">
        <v>0</v>
      </c>
      <c r="P352" s="472">
        <f>M352*O352</f>
        <v>0</v>
      </c>
      <c r="Q352" s="947">
        <f>P352/(P$351+P$352)</f>
        <v>0</v>
      </c>
      <c r="R352" s="948">
        <f ca="1">Q352*K$350</f>
        <v>0</v>
      </c>
      <c r="S352" s="114" t="s">
        <v>583</v>
      </c>
      <c r="T352" s="115" t="s">
        <v>588</v>
      </c>
      <c r="U352" s="161"/>
      <c r="V352" s="161"/>
      <c r="W352" s="161"/>
      <c r="X352" s="161"/>
      <c r="Y352" s="161"/>
      <c r="Z352" s="161"/>
      <c r="AA352" s="530"/>
      <c r="AB352" s="532"/>
    </row>
    <row r="353" spans="1:61" ht="15.95" customHeight="1">
      <c r="A353" s="975" t="s">
        <v>805</v>
      </c>
      <c r="B353" s="794"/>
      <c r="C353" s="794"/>
      <c r="D353" s="794"/>
      <c r="E353" s="794"/>
      <c r="F353" s="794"/>
      <c r="G353" s="794"/>
      <c r="H353" s="762"/>
      <c r="I353" s="762"/>
      <c r="J353" s="673"/>
      <c r="K353" s="705" t="e">
        <f ca="1">K349-K350</f>
        <v>#DIV/0!</v>
      </c>
      <c r="L353" s="840"/>
      <c r="M353" s="472"/>
      <c r="N353" s="693"/>
      <c r="O353" s="693"/>
      <c r="P353" s="472"/>
      <c r="Q353" s="947"/>
      <c r="R353" s="948" t="e">
        <f ca="1">K353</f>
        <v>#DIV/0!</v>
      </c>
      <c r="S353" s="69"/>
      <c r="T353" s="69"/>
      <c r="U353" s="161"/>
      <c r="V353" s="161"/>
      <c r="W353" s="161"/>
      <c r="X353" s="161"/>
      <c r="Y353" s="161"/>
      <c r="Z353" s="161"/>
      <c r="AA353" s="530"/>
      <c r="AB353" s="532"/>
    </row>
    <row r="354" spans="1:61" ht="15.95" customHeight="1">
      <c r="A354" s="555" t="s">
        <v>806</v>
      </c>
      <c r="B354" s="794"/>
      <c r="C354" s="794"/>
      <c r="D354" s="794"/>
      <c r="E354" s="794"/>
      <c r="F354" s="794"/>
      <c r="G354" s="794"/>
      <c r="H354" s="594"/>
      <c r="I354" s="594"/>
      <c r="J354" s="673"/>
      <c r="K354" s="568"/>
      <c r="L354" s="840"/>
      <c r="M354" s="455"/>
      <c r="N354" s="693"/>
      <c r="O354" s="693"/>
      <c r="P354" s="976"/>
      <c r="Q354" s="947"/>
      <c r="R354" s="948"/>
      <c r="S354" s="69"/>
      <c r="T354" s="69"/>
      <c r="U354" s="161"/>
      <c r="V354" s="161"/>
      <c r="W354" s="161"/>
      <c r="X354" s="161"/>
      <c r="Y354" s="161"/>
      <c r="Z354" s="161"/>
      <c r="AA354" s="530"/>
      <c r="AB354" s="532"/>
    </row>
    <row r="355" spans="1:61" ht="15.95" customHeight="1">
      <c r="A355" s="555" t="s">
        <v>776</v>
      </c>
      <c r="B355" s="977"/>
      <c r="C355" s="794"/>
      <c r="D355" s="794"/>
      <c r="E355" s="794"/>
      <c r="F355" s="794"/>
      <c r="G355" s="794"/>
      <c r="H355" s="594"/>
      <c r="I355" s="594"/>
      <c r="J355" s="673"/>
      <c r="K355" s="568"/>
      <c r="L355" s="840"/>
      <c r="M355" s="455"/>
      <c r="N355" s="693"/>
      <c r="O355" s="693"/>
      <c r="P355" s="976"/>
      <c r="Q355" s="947"/>
      <c r="R355" s="948"/>
      <c r="S355" s="69"/>
      <c r="T355" s="69"/>
      <c r="U355" s="161"/>
      <c r="V355" s="161"/>
      <c r="W355" s="161"/>
      <c r="X355" s="161"/>
      <c r="Y355" s="161"/>
      <c r="Z355" s="161"/>
      <c r="AA355" s="530"/>
      <c r="AB355" s="532"/>
    </row>
    <row r="356" spans="1:61" ht="15.95" customHeight="1">
      <c r="A356" s="919" t="s">
        <v>1272</v>
      </c>
      <c r="B356" s="857" t="s">
        <v>382</v>
      </c>
      <c r="C356" s="978">
        <v>1</v>
      </c>
      <c r="D356" s="654" t="s">
        <v>47</v>
      </c>
      <c r="E356" s="940"/>
      <c r="F356" s="654" t="s">
        <v>243</v>
      </c>
      <c r="G356" s="654" t="s">
        <v>615</v>
      </c>
      <c r="H356" s="655" cm="1">
        <f t="array" aca="1" ref="H356" ca="1">IFERROR(
    INDIRECT(
        "RawData!" &amp;
        ADDRESS(
            2,
            MATCH(
                TRIM(MID(A356, SEARCH(". ", A356) + 2, LEN(A356))) &amp; ".Import_kWh",
                RawData!$1:$1,
                0
            ),
            4
        )
    ),
    0
)</f>
        <v>0</v>
      </c>
      <c r="I356" s="655" cm="1">
        <f t="array" aca="1" ref="I356" ca="1">IFERROR(
    INDIRECT(
        "RawData!" &amp;
        ADDRESS(
            COUNTA(RawData!A:A),
            MATCH(
                TRIM(MID(A356, SEARCH(". ", A356) + 2, LEN(A356))) &amp; ".Import_kWh",
                RawData!$1:$1,
                0
            ),
            4
        )
    ),
    0
)</f>
        <v>0</v>
      </c>
      <c r="J356" s="680">
        <f ca="1">(I356-H356)*C356</f>
        <v>0</v>
      </c>
      <c r="K356" s="941" t="e">
        <f ca="1">J356*K$306/(J$307+J$314+J$323+J$334+J$339+J$349+J$356+J$357+J$358+J$361+J$364+J$370)</f>
        <v>#DIV/0!</v>
      </c>
      <c r="L356" s="581" t="e">
        <f ca="1">K356/J356</f>
        <v>#DIV/0!</v>
      </c>
      <c r="M356" s="979"/>
      <c r="N356" s="942"/>
      <c r="O356" s="942"/>
      <c r="P356" s="958">
        <f>N357*31</f>
        <v>0</v>
      </c>
      <c r="Q356" s="944"/>
      <c r="R356" s="945" t="e">
        <f ca="1">K356</f>
        <v>#DIV/0!</v>
      </c>
      <c r="S356" s="114" t="s">
        <v>426</v>
      </c>
      <c r="T356" s="115" t="s">
        <v>807</v>
      </c>
      <c r="U356" s="161"/>
      <c r="V356" s="161"/>
      <c r="W356" s="161"/>
      <c r="X356" s="161"/>
      <c r="Y356" s="161"/>
      <c r="Z356" s="161"/>
      <c r="AA356" s="530"/>
      <c r="AB356" s="532"/>
    </row>
    <row r="357" spans="1:61" ht="15.95" customHeight="1">
      <c r="A357" s="919" t="s">
        <v>1273</v>
      </c>
      <c r="B357" s="857" t="s">
        <v>382</v>
      </c>
      <c r="C357" s="978">
        <v>1</v>
      </c>
      <c r="D357" s="654" t="s">
        <v>47</v>
      </c>
      <c r="E357" s="940"/>
      <c r="F357" s="654" t="s">
        <v>243</v>
      </c>
      <c r="G357" s="654" t="s">
        <v>615</v>
      </c>
      <c r="H357" s="655" cm="1">
        <f t="array" aca="1" ref="H357" ca="1">IFERROR(
    INDIRECT(
        "RawData!" &amp;
        ADDRESS(
            2,
            MATCH(
                TRIM(MID(A357, SEARCH(". ", A357) + 2, LEN(A357))) &amp; ".Import_kWh",
                RawData!$1:$1,
                0
            ),
            4
        )
    ),
    0
)</f>
        <v>0</v>
      </c>
      <c r="I357" s="655" cm="1">
        <f t="array" aca="1" ref="I357" ca="1">IFERROR(
    INDIRECT(
        "RawData!" &amp;
        ADDRESS(
            COUNTA(RawData!A:A),
            MATCH(
                TRIM(MID(A357, SEARCH(". ", A357) + 2, LEN(A357))) &amp; ".Import_kWh",
                RawData!$1:$1,
                0
            ),
            4
        )
    ),
    0
)</f>
        <v>0</v>
      </c>
      <c r="J357" s="680">
        <f ca="1">(I357-H357)*C357</f>
        <v>0</v>
      </c>
      <c r="K357" s="941" t="e">
        <f ca="1">J357*K$306/(J$307+J$314+J$323+J$334+J$339+J$349+J$356+J$357+J$358+J$361+J$364+J$370)</f>
        <v>#DIV/0!</v>
      </c>
      <c r="L357" s="581" t="e">
        <f ca="1">K357/J357</f>
        <v>#DIV/0!</v>
      </c>
      <c r="M357" s="979"/>
      <c r="N357" s="942"/>
      <c r="O357" s="942"/>
      <c r="P357" s="958">
        <f>N358*31</f>
        <v>0</v>
      </c>
      <c r="Q357" s="944"/>
      <c r="R357" s="945" t="e">
        <f ca="1">K357</f>
        <v>#DIV/0!</v>
      </c>
      <c r="S357" s="114" t="s">
        <v>426</v>
      </c>
      <c r="T357" s="115" t="s">
        <v>807</v>
      </c>
      <c r="U357" s="161"/>
      <c r="V357" s="161"/>
      <c r="W357" s="161"/>
      <c r="X357" s="161"/>
      <c r="Y357" s="161"/>
      <c r="Z357" s="161"/>
      <c r="AA357" s="530"/>
      <c r="AB357" s="532"/>
    </row>
    <row r="358" spans="1:61" ht="15.95" customHeight="1">
      <c r="A358" s="980" t="s">
        <v>808</v>
      </c>
      <c r="B358" s="857" t="s">
        <v>101</v>
      </c>
      <c r="C358" s="978">
        <v>1</v>
      </c>
      <c r="D358" s="654" t="s">
        <v>47</v>
      </c>
      <c r="E358" s="940"/>
      <c r="F358" s="654" t="s">
        <v>243</v>
      </c>
      <c r="G358" s="654" t="s">
        <v>49</v>
      </c>
      <c r="H358" s="655" cm="1">
        <f t="array" aca="1" ref="H358" ca="1">IFERROR(
    INDIRECT(
        "RawData!" &amp;
        ADDRESS(
            2,
            MATCH(
                TRIM(MID(A358, SEARCH(". ", A358) + 2, LEN(A358))) &amp; ".Import_kWh",
                RawData!$1:$1,
                0
            ),
            4
        )
    ),
    0
)</f>
        <v>0</v>
      </c>
      <c r="I358" s="655" cm="1">
        <f t="array" aca="1" ref="I358" ca="1">IFERROR(
    INDIRECT(
        "RawData!" &amp;
        ADDRESS(
            COUNTA(RawData!A:A),
            MATCH(
                TRIM(MID(A358, SEARCH(". ", A358) + 2, LEN(A358))) &amp; ".Import_kWh",
                RawData!$1:$1,
                0
            ),
            4
        )
    ),
    0
)</f>
        <v>0</v>
      </c>
      <c r="J358" s="680">
        <f ca="1">(I358-H358)*C358</f>
        <v>0</v>
      </c>
      <c r="K358" s="941" t="e">
        <f ca="1">J358*K$306/(J$307+J$314+J$323+J$334+J$339+J$349+J$356+J$357+J$358+J$361+J$364+J$370)</f>
        <v>#DIV/0!</v>
      </c>
      <c r="L358" s="581" t="e">
        <f ca="1">K358/J358</f>
        <v>#DIV/0!</v>
      </c>
      <c r="M358" s="900" t="e">
        <f ca="1">R359</f>
        <v>#DIV/0!</v>
      </c>
      <c r="N358" s="942"/>
      <c r="O358" s="942"/>
      <c r="P358" s="958"/>
      <c r="Q358" s="944"/>
      <c r="R358" s="945"/>
      <c r="S358" s="69"/>
      <c r="T358" s="69"/>
      <c r="U358" s="161"/>
      <c r="V358" s="161"/>
      <c r="W358" s="161"/>
      <c r="X358" s="161"/>
      <c r="Y358" s="161"/>
      <c r="Z358" s="161"/>
      <c r="AA358" s="530"/>
      <c r="AB358" s="532"/>
    </row>
    <row r="359" spans="1:61" ht="15.95" customHeight="1">
      <c r="A359" s="981" t="s">
        <v>809</v>
      </c>
      <c r="B359" s="901"/>
      <c r="C359" s="946"/>
      <c r="D359" s="946"/>
      <c r="E359" s="946"/>
      <c r="F359" s="946"/>
      <c r="G359" s="946"/>
      <c r="H359" s="664"/>
      <c r="I359" s="664"/>
      <c r="J359" s="675"/>
      <c r="K359" s="802"/>
      <c r="L359" s="840"/>
      <c r="M359" s="472">
        <v>21.14</v>
      </c>
      <c r="N359" s="693">
        <v>0</v>
      </c>
      <c r="O359" s="693">
        <v>15</v>
      </c>
      <c r="P359" s="472">
        <f>M359*O359</f>
        <v>317.10000000000002</v>
      </c>
      <c r="Q359" s="960">
        <f>P359/(P$359)</f>
        <v>1</v>
      </c>
      <c r="R359" s="948" t="e">
        <f ca="1">K358</f>
        <v>#DIV/0!</v>
      </c>
      <c r="S359" s="114" t="s">
        <v>546</v>
      </c>
      <c r="T359" s="115" t="s">
        <v>553</v>
      </c>
      <c r="U359" s="161"/>
      <c r="V359" s="161"/>
      <c r="W359" s="161"/>
      <c r="X359" s="161"/>
      <c r="Y359" s="161"/>
      <c r="Z359" s="161"/>
      <c r="AA359" s="530"/>
      <c r="AB359" s="532"/>
    </row>
    <row r="360" spans="1:61" ht="15.95" customHeight="1">
      <c r="A360" s="981"/>
      <c r="B360" s="901"/>
      <c r="C360" s="946"/>
      <c r="D360" s="946"/>
      <c r="E360" s="946"/>
      <c r="F360" s="946"/>
      <c r="G360" s="946"/>
      <c r="H360" s="664"/>
      <c r="I360" s="664"/>
      <c r="J360" s="675"/>
      <c r="K360" s="802"/>
      <c r="L360" s="840"/>
      <c r="M360" s="472"/>
      <c r="N360" s="693"/>
      <c r="O360" s="693"/>
      <c r="P360" s="472"/>
      <c r="Q360" s="960"/>
      <c r="R360" s="948"/>
      <c r="S360" s="69"/>
      <c r="T360" s="69"/>
      <c r="U360" s="161"/>
      <c r="V360" s="161"/>
      <c r="W360" s="161"/>
      <c r="X360" s="161"/>
      <c r="Y360" s="161"/>
      <c r="Z360" s="161"/>
      <c r="AA360" s="530"/>
      <c r="AB360" s="532"/>
    </row>
    <row r="361" spans="1:61" ht="15.95" customHeight="1">
      <c r="A361" s="980" t="s">
        <v>810</v>
      </c>
      <c r="B361" s="857" t="s">
        <v>447</v>
      </c>
      <c r="C361" s="978">
        <v>1</v>
      </c>
      <c r="D361" s="654" t="s">
        <v>47</v>
      </c>
      <c r="E361" s="940"/>
      <c r="F361" s="654" t="s">
        <v>243</v>
      </c>
      <c r="G361" s="654" t="s">
        <v>49</v>
      </c>
      <c r="H361" s="655" cm="1">
        <f t="array" aca="1" ref="H361" ca="1">IFERROR(
    INDIRECT(
        "RawData!" &amp;
        ADDRESS(
            2,
            MATCH(
                TRIM(MID(A361, SEARCH(". ", A361) + 2, LEN(A361))) &amp; ".Import_kWh",
                RawData!$1:$1,
                0
            ),
            4
        )
    ),
    0
)</f>
        <v>0</v>
      </c>
      <c r="I361" s="655" cm="1">
        <f t="array" aca="1" ref="I361" ca="1">IFERROR(
    INDIRECT(
        "RawData!" &amp;
        ADDRESS(
            COUNTA(RawData!A:A),
            MATCH(
                TRIM(MID(A361, SEARCH(". ", A361) + 2, LEN(A361))) &amp; ".Import_kWh",
                RawData!$1:$1,
                0
            ),
            4
        )
    ),
    0
)</f>
        <v>0</v>
      </c>
      <c r="J361" s="680">
        <f ca="1">(I361-H361)*C361</f>
        <v>0</v>
      </c>
      <c r="K361" s="941" t="e">
        <f ca="1">J361*K$306/(J$307+J$314+J$323+J$334+J$339+J$349+J$356+J$357+J$358+J$361+J$364+J$370)</f>
        <v>#DIV/0!</v>
      </c>
      <c r="L361" s="581" t="e">
        <f ca="1">K361/J361</f>
        <v>#DIV/0!</v>
      </c>
      <c r="M361" s="900" t="e">
        <f ca="1">R362</f>
        <v>#DIV/0!</v>
      </c>
      <c r="N361" s="942"/>
      <c r="O361" s="942"/>
      <c r="P361" s="958"/>
      <c r="Q361" s="944"/>
      <c r="R361" s="945"/>
      <c r="S361" s="69"/>
      <c r="T361" s="69"/>
      <c r="U361" s="161"/>
      <c r="V361" s="161"/>
      <c r="W361" s="161"/>
      <c r="X361" s="161"/>
      <c r="Y361" s="161"/>
      <c r="Z361" s="161"/>
      <c r="AA361" s="530"/>
      <c r="AB361" s="532"/>
    </row>
    <row r="362" spans="1:61" ht="15.95" customHeight="1">
      <c r="A362" s="555" t="s">
        <v>811</v>
      </c>
      <c r="B362" s="901"/>
      <c r="C362" s="946"/>
      <c r="D362" s="946"/>
      <c r="E362" s="946"/>
      <c r="F362" s="946"/>
      <c r="G362" s="946"/>
      <c r="H362" s="594"/>
      <c r="I362" s="594"/>
      <c r="J362" s="794"/>
      <c r="K362" s="949"/>
      <c r="L362" s="950"/>
      <c r="M362" s="455">
        <v>25</v>
      </c>
      <c r="N362" s="693">
        <v>25</v>
      </c>
      <c r="O362" s="693">
        <v>36</v>
      </c>
      <c r="P362" s="472">
        <f>M362*O362</f>
        <v>900</v>
      </c>
      <c r="Q362" s="982">
        <v>1</v>
      </c>
      <c r="R362" s="948" t="e">
        <f ca="1">Q362*K$361</f>
        <v>#DIV/0!</v>
      </c>
      <c r="S362" s="114" t="s">
        <v>546</v>
      </c>
      <c r="T362" s="115" t="s">
        <v>557</v>
      </c>
      <c r="U362" s="161"/>
      <c r="V362" s="161"/>
      <c r="W362" s="161"/>
      <c r="X362" s="161"/>
      <c r="Y362" s="161"/>
      <c r="Z362" s="161"/>
      <c r="AA362" s="530"/>
      <c r="AB362" s="532"/>
    </row>
    <row r="363" spans="1:61" ht="15.95" customHeight="1">
      <c r="A363" s="555"/>
      <c r="B363" s="901"/>
      <c r="C363" s="946"/>
      <c r="D363" s="946"/>
      <c r="E363" s="946"/>
      <c r="F363" s="946"/>
      <c r="G363" s="946"/>
      <c r="H363" s="594"/>
      <c r="I363" s="594"/>
      <c r="J363" s="800"/>
      <c r="K363" s="954"/>
      <c r="L363" s="950"/>
      <c r="M363" s="455"/>
      <c r="N363" s="693"/>
      <c r="O363" s="693"/>
      <c r="P363" s="472"/>
      <c r="Q363" s="982"/>
      <c r="R363" s="948"/>
      <c r="S363" s="69"/>
      <c r="T363" s="69"/>
      <c r="U363" s="161"/>
      <c r="V363" s="161"/>
      <c r="W363" s="161"/>
      <c r="X363" s="161"/>
      <c r="Y363" s="161"/>
      <c r="Z363" s="161"/>
      <c r="AA363" s="530"/>
      <c r="AB363" s="532"/>
    </row>
    <row r="364" spans="1:61" ht="15.95" customHeight="1">
      <c r="A364" s="980" t="s">
        <v>812</v>
      </c>
      <c r="B364" s="857" t="s">
        <v>64</v>
      </c>
      <c r="C364" s="978">
        <v>1</v>
      </c>
      <c r="D364" s="654" t="s">
        <v>47</v>
      </c>
      <c r="E364" s="940"/>
      <c r="F364" s="654" t="s">
        <v>243</v>
      </c>
      <c r="G364" s="654" t="s">
        <v>49</v>
      </c>
      <c r="H364" s="655" cm="1">
        <f t="array" aca="1" ref="H364" ca="1">IFERROR(
    INDIRECT(
        "RawData!" &amp;
        ADDRESS(
            2,
            MATCH(
                TRIM(MID(A364, SEARCH(". ", A364) + 2, LEN(A364))) &amp; ".Import_kWh",
                RawData!$1:$1,
                0
            ),
            4
        )
    ),
    0
)</f>
        <v>0</v>
      </c>
      <c r="I364" s="655" cm="1">
        <f t="array" aca="1" ref="I364" ca="1">IFERROR(
    INDIRECT(
        "RawData!" &amp;
        ADDRESS(
            COUNTA(RawData!A:A),
            MATCH(
                TRIM(MID(A364, SEARCH(". ", A364) + 2, LEN(A364))) &amp; ".Import_kWh",
                RawData!$1:$1,
                0
            ),
            4
        )
    ),
    0
)</f>
        <v>0</v>
      </c>
      <c r="J364" s="680">
        <f ca="1">(I364-H364)*C364</f>
        <v>0</v>
      </c>
      <c r="K364" s="941" t="e">
        <f ca="1">J364*K$306/(J$307+J$314+J$323+J$334+J$339+J$349+J$356+J$357+J$358+J$361+J$364+J$370)</f>
        <v>#DIV/0!</v>
      </c>
      <c r="L364" s="581" t="e">
        <f ca="1">K364/J364</f>
        <v>#DIV/0!</v>
      </c>
      <c r="M364" s="900" t="e">
        <f ca="1">R365+R366+R367</f>
        <v>#DIV/0!</v>
      </c>
      <c r="N364" s="942"/>
      <c r="O364" s="942"/>
      <c r="P364" s="958"/>
      <c r="Q364" s="983"/>
      <c r="R364" s="945"/>
      <c r="S364" s="69"/>
      <c r="T364" s="69"/>
      <c r="U364" s="161"/>
      <c r="V364" s="161"/>
      <c r="W364" s="161"/>
      <c r="X364" s="161"/>
      <c r="Y364" s="161"/>
      <c r="Z364" s="161"/>
      <c r="AA364" s="530"/>
      <c r="AB364" s="532"/>
    </row>
    <row r="365" spans="1:61" s="13" customFormat="1" ht="21.75">
      <c r="A365" s="555" t="s">
        <v>813</v>
      </c>
      <c r="B365" s="794"/>
      <c r="C365" s="946"/>
      <c r="D365" s="946"/>
      <c r="E365" s="946"/>
      <c r="F365" s="946"/>
      <c r="G365" s="946"/>
      <c r="H365" s="594"/>
      <c r="I365" s="594"/>
      <c r="J365" s="675"/>
      <c r="K365" s="802" t="e">
        <f ca="1">K364-K367</f>
        <v>#DIV/0!</v>
      </c>
      <c r="L365" s="840"/>
      <c r="M365" s="455">
        <v>23.82</v>
      </c>
      <c r="N365" s="693">
        <v>1</v>
      </c>
      <c r="O365" s="693">
        <v>1</v>
      </c>
      <c r="P365" s="472">
        <f>M365*O365</f>
        <v>23.82</v>
      </c>
      <c r="Q365" s="982">
        <f>P365/(P$365+P$366)</f>
        <v>1</v>
      </c>
      <c r="R365" s="948" t="e">
        <f ca="1">Q365*K$365</f>
        <v>#DIV/0!</v>
      </c>
      <c r="S365" s="114" t="s">
        <v>546</v>
      </c>
      <c r="T365" s="115" t="s">
        <v>547</v>
      </c>
      <c r="U365" s="161"/>
      <c r="V365" s="161"/>
      <c r="W365" s="161"/>
      <c r="X365" s="161"/>
      <c r="Y365" s="161"/>
      <c r="Z365" s="161"/>
      <c r="AA365" s="530"/>
      <c r="AB365" s="532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  <c r="AQ365" s="7"/>
      <c r="AR365" s="7"/>
      <c r="AS365" s="7"/>
      <c r="AT365" s="7"/>
      <c r="AU365" s="49"/>
      <c r="AV365" s="7"/>
      <c r="AW365" s="7"/>
      <c r="BA365" s="67"/>
      <c r="BB365" s="67"/>
      <c r="BC365" s="67"/>
      <c r="BD365" s="67"/>
      <c r="BE365" s="68"/>
      <c r="BF365" s="68"/>
      <c r="BG365" s="68"/>
      <c r="BH365" s="68"/>
      <c r="BI365" s="68"/>
    </row>
    <row r="366" spans="1:61" s="13" customFormat="1" ht="15.95" customHeight="1">
      <c r="A366" s="555" t="s">
        <v>814</v>
      </c>
      <c r="B366" s="901"/>
      <c r="C366" s="946"/>
      <c r="D366" s="946"/>
      <c r="E366" s="946"/>
      <c r="F366" s="946"/>
      <c r="G366" s="946"/>
      <c r="H366" s="594"/>
      <c r="I366" s="594"/>
      <c r="J366" s="675"/>
      <c r="K366" s="802"/>
      <c r="L366" s="840"/>
      <c r="M366" s="455">
        <v>34</v>
      </c>
      <c r="N366" s="693">
        <v>0</v>
      </c>
      <c r="O366" s="693">
        <v>0</v>
      </c>
      <c r="P366" s="472">
        <f>M366*O366</f>
        <v>0</v>
      </c>
      <c r="Q366" s="982">
        <f>P366/(P$365+P$366)</f>
        <v>0</v>
      </c>
      <c r="R366" s="948" t="e">
        <f ca="1">Q366*K$365</f>
        <v>#DIV/0!</v>
      </c>
      <c r="S366" s="114" t="s">
        <v>546</v>
      </c>
      <c r="T366" s="115" t="s">
        <v>574</v>
      </c>
      <c r="U366" s="161"/>
      <c r="V366" s="161"/>
      <c r="W366" s="161"/>
      <c r="X366" s="161"/>
      <c r="Y366" s="161"/>
      <c r="Z366" s="161"/>
      <c r="AA366" s="530"/>
      <c r="AB366" s="532"/>
      <c r="AC366" s="7"/>
      <c r="AD366" s="7"/>
      <c r="AE366" s="7"/>
      <c r="AF366" s="7"/>
      <c r="AG366" s="7"/>
      <c r="AH366" s="7"/>
      <c r="AI366" s="7"/>
      <c r="AJ366" s="7"/>
      <c r="AL366" s="7"/>
      <c r="AM366" s="7"/>
      <c r="AN366" s="7"/>
      <c r="AO366" s="7"/>
      <c r="AP366" s="7"/>
      <c r="AQ366" s="7"/>
      <c r="AR366" s="7"/>
      <c r="AS366" s="7"/>
      <c r="AT366" s="7"/>
      <c r="AU366" s="49"/>
      <c r="AV366" s="7"/>
      <c r="AW366" s="7"/>
      <c r="BA366" s="67"/>
      <c r="BB366" s="67"/>
      <c r="BC366" s="67"/>
      <c r="BD366" s="67"/>
      <c r="BE366" s="68"/>
      <c r="BF366" s="68"/>
      <c r="BG366" s="68"/>
      <c r="BH366" s="68"/>
      <c r="BI366" s="68"/>
    </row>
    <row r="367" spans="1:61" s="13" customFormat="1" ht="15.95" customHeight="1">
      <c r="A367" s="555" t="s">
        <v>815</v>
      </c>
      <c r="B367" s="794" t="s">
        <v>72</v>
      </c>
      <c r="C367" s="946">
        <v>1</v>
      </c>
      <c r="D367" s="595" t="s">
        <v>47</v>
      </c>
      <c r="E367" s="800"/>
      <c r="F367" s="595" t="s">
        <v>243</v>
      </c>
      <c r="G367" s="595" t="s">
        <v>49</v>
      </c>
      <c r="H367" s="665" cm="1">
        <f t="array" aca="1" ref="H367" ca="1">IFERROR(
    INDIRECT(
        "RawData!" &amp;
        ADDRESS(
            2,
            MATCH(
                TRIM(MID(A367, SEARCH(". ", A367) + 2, LEN(A367))) &amp; ".Import_kWh",
                RawData!$1:$1,
                0
            ),
            4
        )
    ),
    0
)</f>
        <v>0</v>
      </c>
      <c r="I367" s="665" cm="1">
        <f t="array" aca="1" ref="I367" ca="1">IFERROR(
    INDIRECT(
        "RawData!" &amp;
        ADDRESS(
            COUNTA(RawData!A:A),
            MATCH(
                TRIM(MID(A367, SEARCH(". ", A367) + 2, LEN(A367))) &amp; ".Import_kWh",
                RawData!$1:$1,
                0
            ),
            4
        )
    ),
    0
)</f>
        <v>0</v>
      </c>
      <c r="J367" s="666">
        <f ca="1">(I367-H367)*C367</f>
        <v>0</v>
      </c>
      <c r="K367" s="759">
        <f ca="1">J367</f>
        <v>0</v>
      </c>
      <c r="L367" s="840"/>
      <c r="M367" s="455"/>
      <c r="N367" s="693"/>
      <c r="O367" s="693"/>
      <c r="P367" s="472"/>
      <c r="Q367" s="982"/>
      <c r="R367" s="948">
        <f ca="1">K367</f>
        <v>0</v>
      </c>
      <c r="S367" s="546" t="s">
        <v>772</v>
      </c>
      <c r="T367" s="547" t="s">
        <v>773</v>
      </c>
      <c r="U367" s="161"/>
      <c r="V367" s="161"/>
      <c r="W367" s="161"/>
      <c r="X367" s="161"/>
      <c r="Y367" s="161"/>
      <c r="Z367" s="161"/>
      <c r="AA367" s="530"/>
      <c r="AB367" s="532"/>
      <c r="AC367" s="7"/>
      <c r="AD367" s="7"/>
      <c r="AE367" s="7"/>
      <c r="AF367" s="7"/>
      <c r="AG367" s="7"/>
      <c r="AH367" s="7"/>
      <c r="AI367" s="7"/>
      <c r="AJ367" s="7"/>
      <c r="AL367" s="7"/>
      <c r="AM367" s="7"/>
      <c r="AN367" s="7"/>
      <c r="AO367" s="7"/>
      <c r="AP367" s="7"/>
      <c r="AQ367" s="7"/>
      <c r="AR367" s="7"/>
      <c r="AS367" s="7"/>
      <c r="AT367" s="7"/>
      <c r="AU367" s="49"/>
      <c r="AV367" s="7"/>
      <c r="AW367" s="7"/>
      <c r="BA367" s="67"/>
      <c r="BB367" s="67"/>
      <c r="BC367" s="67"/>
      <c r="BD367" s="67"/>
      <c r="BE367" s="68"/>
      <c r="BF367" s="68"/>
      <c r="BG367" s="68"/>
      <c r="BH367" s="68"/>
      <c r="BI367" s="68"/>
    </row>
    <row r="368" spans="1:61" s="13" customFormat="1" ht="15.95" customHeight="1">
      <c r="A368" s="555" t="s">
        <v>776</v>
      </c>
      <c r="B368" s="901"/>
      <c r="C368" s="946"/>
      <c r="D368" s="946"/>
      <c r="E368" s="946"/>
      <c r="F368" s="946"/>
      <c r="G368" s="946"/>
      <c r="H368" s="594"/>
      <c r="I368" s="594"/>
      <c r="J368" s="675"/>
      <c r="K368" s="802"/>
      <c r="L368" s="840"/>
      <c r="M368" s="455"/>
      <c r="N368" s="693"/>
      <c r="O368" s="693"/>
      <c r="P368" s="472"/>
      <c r="Q368" s="982"/>
      <c r="R368" s="948"/>
      <c r="S368" s="69"/>
      <c r="T368" s="69"/>
      <c r="U368" s="161"/>
      <c r="V368" s="161"/>
      <c r="W368" s="161"/>
      <c r="X368" s="161"/>
      <c r="Y368" s="161"/>
      <c r="Z368" s="161"/>
      <c r="AA368" s="530"/>
      <c r="AB368" s="532"/>
      <c r="AC368" s="7"/>
      <c r="AD368" s="7"/>
      <c r="AE368" s="7"/>
      <c r="AF368" s="7"/>
      <c r="AH368" s="7"/>
      <c r="AI368" s="7"/>
      <c r="AJ368" s="7"/>
      <c r="AL368" s="7"/>
      <c r="AM368" s="7"/>
      <c r="AN368" s="7"/>
      <c r="AO368" s="7"/>
      <c r="AP368" s="7"/>
      <c r="AQ368" s="7"/>
      <c r="AR368" s="7"/>
      <c r="AS368" s="7"/>
      <c r="AT368" s="7"/>
      <c r="AU368" s="49"/>
      <c r="AV368" s="7"/>
      <c r="AW368" s="7"/>
      <c r="BA368" s="67"/>
      <c r="BB368" s="67"/>
      <c r="BC368" s="67"/>
      <c r="BD368" s="67"/>
      <c r="BE368" s="68"/>
      <c r="BF368" s="68"/>
      <c r="BG368" s="68"/>
      <c r="BH368" s="68"/>
      <c r="BI368" s="68"/>
    </row>
    <row r="369" spans="1:61" s="13" customFormat="1" ht="15.95" customHeight="1">
      <c r="A369" s="555" t="s">
        <v>816</v>
      </c>
      <c r="B369" s="901"/>
      <c r="C369" s="946"/>
      <c r="D369" s="946"/>
      <c r="E369" s="946"/>
      <c r="F369" s="946"/>
      <c r="G369" s="946"/>
      <c r="H369" s="594"/>
      <c r="I369" s="594"/>
      <c r="J369" s="675"/>
      <c r="K369" s="802"/>
      <c r="L369" s="840"/>
      <c r="M369" s="455"/>
      <c r="N369" s="693"/>
      <c r="O369" s="693"/>
      <c r="P369" s="472"/>
      <c r="Q369" s="982"/>
      <c r="R369" s="948"/>
      <c r="S369" s="69"/>
      <c r="T369" s="69"/>
      <c r="U369" s="161"/>
      <c r="V369" s="161"/>
      <c r="W369" s="161"/>
      <c r="X369" s="161"/>
      <c r="Y369" s="161"/>
      <c r="Z369" s="161"/>
      <c r="AA369" s="530"/>
      <c r="AB369" s="532"/>
      <c r="AC369" s="7"/>
      <c r="AD369" s="7"/>
      <c r="AE369" s="7"/>
      <c r="AF369" s="7"/>
      <c r="AH369" s="7"/>
      <c r="AI369" s="7"/>
      <c r="AJ369" s="7"/>
      <c r="AL369" s="7"/>
      <c r="AM369" s="7"/>
      <c r="AN369" s="7"/>
      <c r="AO369" s="7"/>
      <c r="AP369" s="7"/>
      <c r="AQ369" s="7"/>
      <c r="AR369" s="7"/>
      <c r="AS369" s="7"/>
      <c r="AT369" s="7"/>
      <c r="AU369" s="49"/>
      <c r="AV369" s="7"/>
      <c r="AW369" s="7"/>
      <c r="BA369" s="67"/>
      <c r="BB369" s="67"/>
      <c r="BC369" s="67"/>
      <c r="BD369" s="67"/>
      <c r="BE369" s="68"/>
      <c r="BF369" s="68"/>
      <c r="BG369" s="68"/>
      <c r="BH369" s="68"/>
      <c r="BI369" s="68"/>
    </row>
    <row r="370" spans="1:61" s="13" customFormat="1" ht="15.95" customHeight="1">
      <c r="A370" s="980" t="s">
        <v>817</v>
      </c>
      <c r="B370" s="980"/>
      <c r="C370" s="978">
        <v>1</v>
      </c>
      <c r="D370" s="654" t="s">
        <v>47</v>
      </c>
      <c r="E370" s="940"/>
      <c r="F370" s="654" t="s">
        <v>243</v>
      </c>
      <c r="G370" s="654" t="s">
        <v>49</v>
      </c>
      <c r="H370" s="655" cm="1">
        <f t="array" aca="1" ref="H370" ca="1">IFERROR(
    INDIRECT(
        "RawData!" &amp;
        ADDRESS(
            2,
            MATCH(
                TRIM(MID(A370, SEARCH(". ", A370) + 2, LEN(A370))) &amp; ".Import_kWh",
                RawData!$1:$1,
                0
            ),
            4
        )
    ),
    0
)</f>
        <v>0</v>
      </c>
      <c r="I370" s="655" cm="1">
        <f t="array" aca="1" ref="I370" ca="1">IFERROR(
    INDIRECT(
        "RawData!" &amp;
        ADDRESS(
            COUNTA(RawData!A:A),
            MATCH(
                TRIM(MID(A370, SEARCH(". ", A370) + 2, LEN(A370))) &amp; ".Import_kWh",
                RawData!$1:$1,
                0
            ),
            4
        )
    ),
    0
)</f>
        <v>0</v>
      </c>
      <c r="J370" s="680">
        <f ca="1">(I370-H370)*C370</f>
        <v>0</v>
      </c>
      <c r="K370" s="941" t="e">
        <f ca="1">J370*K$306/(J$307+J$314+J$323+J$334+J$339+J$349+J$356+J$357+J$358+J$361+J$364+J$370)</f>
        <v>#DIV/0!</v>
      </c>
      <c r="L370" s="581" t="e">
        <f ca="1">K370/J370</f>
        <v>#DIV/0!</v>
      </c>
      <c r="M370" s="984" t="e">
        <f ca="1">R371+R372</f>
        <v>#DIV/0!</v>
      </c>
      <c r="N370" s="942"/>
      <c r="O370" s="942"/>
      <c r="P370" s="958"/>
      <c r="Q370" s="983"/>
      <c r="R370" s="945"/>
      <c r="S370" s="69"/>
      <c r="T370" s="69"/>
      <c r="U370" s="161"/>
      <c r="V370" s="161"/>
      <c r="W370" s="161"/>
      <c r="X370" s="161"/>
      <c r="Y370" s="161"/>
      <c r="Z370" s="161"/>
      <c r="AA370" s="530"/>
      <c r="AB370" s="532"/>
      <c r="AC370" s="7"/>
      <c r="AD370" s="7"/>
      <c r="AE370" s="7"/>
      <c r="AF370" s="7"/>
      <c r="AH370" s="7"/>
      <c r="AI370" s="7"/>
      <c r="AL370" s="7"/>
      <c r="AM370" s="7"/>
      <c r="AN370" s="7"/>
      <c r="AO370" s="7"/>
      <c r="AP370" s="7"/>
      <c r="AQ370" s="7"/>
      <c r="AR370" s="7"/>
      <c r="AS370" s="7"/>
      <c r="AT370" s="7"/>
      <c r="AU370" s="49"/>
      <c r="AV370" s="7"/>
      <c r="AW370" s="7"/>
      <c r="BA370" s="67"/>
      <c r="BB370" s="67"/>
      <c r="BC370" s="67"/>
      <c r="BD370" s="67"/>
      <c r="BE370" s="68"/>
      <c r="BF370" s="68"/>
      <c r="BG370" s="68"/>
      <c r="BH370" s="68"/>
      <c r="BI370" s="68"/>
    </row>
    <row r="371" spans="1:61" s="13" customFormat="1" ht="15.95" customHeight="1">
      <c r="A371" s="555" t="s">
        <v>818</v>
      </c>
      <c r="B371" s="901"/>
      <c r="C371" s="946"/>
      <c r="D371" s="946"/>
      <c r="E371" s="946"/>
      <c r="F371" s="946"/>
      <c r="G371" s="946"/>
      <c r="H371" s="594"/>
      <c r="I371" s="594"/>
      <c r="J371" s="675"/>
      <c r="K371" s="705">
        <f>104*O371</f>
        <v>3640</v>
      </c>
      <c r="L371" s="840"/>
      <c r="M371" s="455">
        <v>22.4</v>
      </c>
      <c r="N371" s="693">
        <v>30</v>
      </c>
      <c r="O371" s="693">
        <v>35</v>
      </c>
      <c r="P371" s="472">
        <f>M371*O371</f>
        <v>784</v>
      </c>
      <c r="Q371" s="982">
        <f>P371/(P$371+P$372)</f>
        <v>0.92105263157894735</v>
      </c>
      <c r="R371" s="948" t="e">
        <f ca="1">Q371*K$370</f>
        <v>#DIV/0!</v>
      </c>
      <c r="S371" s="114" t="s">
        <v>537</v>
      </c>
      <c r="T371" s="115" t="s">
        <v>544</v>
      </c>
      <c r="U371" s="161"/>
      <c r="V371" s="161"/>
      <c r="W371" s="161"/>
      <c r="X371" s="161"/>
      <c r="Y371" s="161"/>
      <c r="Z371" s="161"/>
      <c r="AA371" s="530"/>
      <c r="AB371" s="532"/>
      <c r="AC371" s="7"/>
      <c r="AD371" s="7"/>
      <c r="AE371" s="7"/>
      <c r="AF371" s="7"/>
      <c r="AH371" s="7"/>
      <c r="AI371" s="7"/>
      <c r="AL371" s="7"/>
      <c r="AM371" s="7"/>
      <c r="AN371" s="7"/>
      <c r="AO371" s="7"/>
      <c r="AP371" s="7"/>
      <c r="AQ371" s="7"/>
      <c r="AR371" s="7"/>
      <c r="AS371" s="7"/>
      <c r="AT371" s="7"/>
      <c r="AU371" s="49"/>
      <c r="AV371" s="7"/>
      <c r="AW371" s="7"/>
      <c r="BA371" s="67"/>
      <c r="BB371" s="67"/>
      <c r="BC371" s="67"/>
      <c r="BD371" s="67"/>
      <c r="BE371" s="68"/>
      <c r="BF371" s="68"/>
      <c r="BG371" s="68"/>
      <c r="BH371" s="68"/>
      <c r="BI371" s="68"/>
    </row>
    <row r="372" spans="1:61" s="13" customFormat="1" ht="15.95" customHeight="1">
      <c r="A372" s="555" t="s">
        <v>819</v>
      </c>
      <c r="B372" s="901"/>
      <c r="C372" s="946"/>
      <c r="D372" s="946"/>
      <c r="E372" s="946"/>
      <c r="F372" s="946"/>
      <c r="G372" s="946"/>
      <c r="H372" s="594"/>
      <c r="I372" s="594"/>
      <c r="J372" s="675"/>
      <c r="K372" s="705"/>
      <c r="L372" s="840"/>
      <c r="M372" s="455">
        <v>22.4</v>
      </c>
      <c r="N372" s="693">
        <v>26</v>
      </c>
      <c r="O372" s="693">
        <v>3</v>
      </c>
      <c r="P372" s="472">
        <f>M372*O372</f>
        <v>67.199999999999989</v>
      </c>
      <c r="Q372" s="982">
        <f>P372/(P$371+P$372)</f>
        <v>7.8947368421052613E-2</v>
      </c>
      <c r="R372" s="948" t="e">
        <f ca="1">Q372*K$370</f>
        <v>#DIV/0!</v>
      </c>
      <c r="S372" s="114" t="s">
        <v>465</v>
      </c>
      <c r="T372" s="115" t="s">
        <v>541</v>
      </c>
      <c r="U372" s="161"/>
      <c r="V372" s="161"/>
      <c r="W372" s="161"/>
      <c r="X372" s="161"/>
      <c r="Y372" s="161"/>
      <c r="Z372" s="161"/>
      <c r="AA372" s="530"/>
      <c r="AB372" s="532"/>
      <c r="AC372" s="7"/>
      <c r="AD372" s="7"/>
      <c r="AE372" s="7"/>
      <c r="AF372" s="7"/>
      <c r="AH372" s="7"/>
      <c r="AI372" s="7"/>
      <c r="AL372" s="7"/>
      <c r="AM372" s="7"/>
      <c r="AN372" s="7"/>
      <c r="AO372" s="7"/>
      <c r="AP372" s="7"/>
      <c r="AQ372" s="7"/>
      <c r="AR372" s="7"/>
      <c r="AS372" s="7"/>
      <c r="AT372" s="7"/>
      <c r="AU372" s="49"/>
      <c r="AV372" s="7"/>
      <c r="AW372" s="7"/>
      <c r="BA372" s="67"/>
      <c r="BB372" s="67"/>
      <c r="BC372" s="67"/>
      <c r="BD372" s="67"/>
      <c r="BE372" s="68"/>
      <c r="BF372" s="68"/>
      <c r="BG372" s="68"/>
      <c r="BH372" s="68"/>
      <c r="BI372" s="68"/>
    </row>
    <row r="373" spans="1:61" s="13" customFormat="1" ht="15.95" customHeight="1">
      <c r="A373" s="985" t="s">
        <v>1191</v>
      </c>
      <c r="B373" s="933" t="s">
        <v>333</v>
      </c>
      <c r="C373" s="933">
        <v>1</v>
      </c>
      <c r="D373" s="786" t="s">
        <v>47</v>
      </c>
      <c r="E373" s="986"/>
      <c r="F373" s="786" t="s">
        <v>243</v>
      </c>
      <c r="G373" s="786" t="s">
        <v>49</v>
      </c>
      <c r="H373" s="766" cm="1">
        <f t="array" aca="1" ref="H373" ca="1">IFERROR(
    INDIRECT(
        "RawData!" &amp;
        ADDRESS(
            2,
            MATCH(
                TRIM(MID(A373, SEARCH(". ", A373) + 2, LEN(A373))) &amp; ".Import_kWh",
                RawData!$1:$1,
                0
            ),
            4
        )
    ),
    0
)</f>
        <v>0</v>
      </c>
      <c r="I373" s="766" cm="1">
        <f t="array" aca="1" ref="I373" ca="1">IFERROR(
    INDIRECT(
        "RawData!" &amp;
        ADDRESS(
            COUNTA(RawData!A:A),
            MATCH(
                TRIM(MID(A373, SEARCH(". ", A373) + 2, LEN(A373))) &amp; ".Import_kWh",
                RawData!$1:$1,
                0
            ),
            4
        )
    ),
    0
)</f>
        <v>0</v>
      </c>
      <c r="J373" s="987">
        <f ca="1">(I373-H373)*C373</f>
        <v>0</v>
      </c>
      <c r="K373" s="647" t="e">
        <f ca="1">J373*J$777/(J$5+J$65+J$72+J$81+J$89+J$138+J$212+J$285+J$306+J$373+J$388+J$396+J$397+J$450+J$463+J$471+J$513+J$564+J$603+J$646)</f>
        <v>#DIV/0!</v>
      </c>
      <c r="L373" s="912" t="e">
        <f ca="1">K373/J373</f>
        <v>#DIV/0!</v>
      </c>
      <c r="M373" s="934" t="e">
        <f ca="1">R375+R382+R384+R387</f>
        <v>#DIV/0!</v>
      </c>
      <c r="N373" s="988"/>
      <c r="O373" s="988"/>
      <c r="P373" s="936"/>
      <c r="Q373" s="989"/>
      <c r="R373" s="938"/>
      <c r="S373" s="69"/>
      <c r="T373" s="69"/>
      <c r="U373" s="161"/>
      <c r="V373" s="161"/>
      <c r="W373" s="161"/>
      <c r="X373" s="161"/>
      <c r="Y373" s="161"/>
      <c r="Z373" s="161"/>
      <c r="AA373" s="530"/>
      <c r="AB373" s="532"/>
      <c r="AC373" s="7"/>
      <c r="AD373" s="7"/>
      <c r="AE373" s="7"/>
      <c r="AF373" s="7"/>
      <c r="AH373" s="7"/>
      <c r="AI373" s="7"/>
      <c r="AL373" s="7"/>
      <c r="AM373" s="7"/>
      <c r="AN373" s="7"/>
      <c r="AO373" s="7"/>
      <c r="AP373" s="7"/>
      <c r="AQ373" s="7"/>
      <c r="AR373" s="7"/>
      <c r="AS373" s="7"/>
      <c r="AT373" s="7"/>
      <c r="AU373" s="49"/>
      <c r="AV373" s="7"/>
      <c r="AW373" s="7"/>
      <c r="BA373" s="67"/>
      <c r="BB373" s="67"/>
      <c r="BC373" s="67"/>
      <c r="BD373" s="67"/>
      <c r="BE373" s="68"/>
      <c r="BF373" s="68"/>
      <c r="BG373" s="68"/>
      <c r="BH373" s="68"/>
      <c r="BI373" s="68"/>
    </row>
    <row r="374" spans="1:61" s="13" customFormat="1" ht="15.95" customHeight="1">
      <c r="A374" s="555"/>
      <c r="B374" s="794"/>
      <c r="C374" s="794"/>
      <c r="D374" s="794"/>
      <c r="E374" s="794"/>
      <c r="F374" s="794"/>
      <c r="G374" s="794"/>
      <c r="H374" s="762"/>
      <c r="I374" s="762"/>
      <c r="J374" s="673"/>
      <c r="K374" s="667"/>
      <c r="L374" s="840"/>
      <c r="M374" s="953"/>
      <c r="N374" s="693"/>
      <c r="O374" s="693"/>
      <c r="P374" s="794"/>
      <c r="Q374" s="960"/>
      <c r="R374" s="948"/>
      <c r="S374" s="69"/>
      <c r="T374" s="69"/>
      <c r="U374" s="161"/>
      <c r="V374" s="161"/>
      <c r="W374" s="161"/>
      <c r="X374" s="161"/>
      <c r="Y374" s="161"/>
      <c r="Z374" s="161"/>
      <c r="AA374" s="530"/>
      <c r="AB374" s="532"/>
      <c r="AC374" s="7"/>
      <c r="AD374" s="7"/>
      <c r="AE374" s="7"/>
      <c r="AF374" s="7"/>
      <c r="AL374" s="7"/>
      <c r="AM374" s="7"/>
      <c r="AN374" s="7"/>
      <c r="AO374" s="7"/>
      <c r="AP374" s="7"/>
      <c r="AQ374" s="7"/>
      <c r="AR374" s="7"/>
      <c r="AS374" s="7"/>
      <c r="AT374" s="7"/>
      <c r="AU374" s="49"/>
      <c r="AV374" s="7"/>
      <c r="AW374" s="7"/>
      <c r="BA374" s="67"/>
      <c r="BB374" s="67"/>
      <c r="BC374" s="67"/>
      <c r="BD374" s="67"/>
      <c r="BE374" s="68"/>
      <c r="BF374" s="68"/>
      <c r="BG374" s="68"/>
      <c r="BH374" s="68"/>
      <c r="BI374" s="68"/>
    </row>
    <row r="375" spans="1:61" s="13" customFormat="1" ht="15.95" customHeight="1">
      <c r="A375" s="919" t="s">
        <v>820</v>
      </c>
      <c r="B375" s="857" t="s">
        <v>64</v>
      </c>
      <c r="C375" s="857">
        <v>1</v>
      </c>
      <c r="D375" s="654" t="s">
        <v>47</v>
      </c>
      <c r="E375" s="940"/>
      <c r="F375" s="654" t="s">
        <v>243</v>
      </c>
      <c r="G375" s="654" t="s">
        <v>49</v>
      </c>
      <c r="H375" s="655" cm="1">
        <f t="array" aca="1" ref="H375" ca="1">IFERROR(
    INDIRECT(
        "RawData!" &amp;
        ADDRESS(
            2,
            MATCH(
                TRIM(MID(A375, SEARCH(". ", A375) + 2, LEN(A375))) &amp; ".Import_kWh",
                RawData!$1:$1,
                0
            ),
            4
        )
    ),
    0
)</f>
        <v>0</v>
      </c>
      <c r="I375" s="655" cm="1">
        <f t="array" aca="1" ref="I375" ca="1">IFERROR(
    INDIRECT(
        "RawData!" &amp;
        ADDRESS(
            COUNTA(RawData!A:A),
            MATCH(
                TRIM(MID(A375, SEARCH(". ", A375) + 2, LEN(A375))) &amp; ".Import_kWh",
                RawData!$1:$1,
                0
            ),
            4
        )
    ),
    0
)</f>
        <v>0</v>
      </c>
      <c r="J375" s="853">
        <f ca="1">(I375-H375)*C375</f>
        <v>0</v>
      </c>
      <c r="K375" s="824" t="e">
        <f ca="1">J375*K$373/(J$375+J$378+J$382+J$384+J$387)</f>
        <v>#DIV/0!</v>
      </c>
      <c r="L375" s="581" t="e">
        <f ca="1">K375/J375</f>
        <v>#DIV/0!</v>
      </c>
      <c r="M375" s="990"/>
      <c r="N375" s="942"/>
      <c r="O375" s="942"/>
      <c r="P375" s="943"/>
      <c r="Q375" s="952"/>
      <c r="R375" s="945" t="e">
        <f ca="1">K375</f>
        <v>#DIV/0!</v>
      </c>
      <c r="S375" s="114" t="s">
        <v>98</v>
      </c>
      <c r="T375" s="115" t="s">
        <v>144</v>
      </c>
      <c r="U375" s="161"/>
      <c r="V375" s="161"/>
      <c r="W375" s="161"/>
      <c r="X375" s="161"/>
      <c r="Y375" s="161"/>
      <c r="Z375" s="161"/>
      <c r="AA375" s="530"/>
      <c r="AB375" s="532"/>
      <c r="AC375" s="7"/>
      <c r="AD375" s="7"/>
      <c r="AE375" s="7"/>
      <c r="AF375" s="7"/>
      <c r="AL375" s="7"/>
      <c r="AM375" s="7"/>
      <c r="AN375" s="7"/>
      <c r="AO375" s="7"/>
      <c r="AP375" s="7"/>
      <c r="AQ375" s="7"/>
      <c r="AR375" s="7"/>
      <c r="AS375" s="7"/>
      <c r="AT375" s="7"/>
      <c r="AU375" s="49"/>
      <c r="AV375" s="7"/>
      <c r="AW375" s="7"/>
      <c r="BA375" s="67"/>
      <c r="BB375" s="67"/>
      <c r="BC375" s="67"/>
      <c r="BD375" s="67"/>
      <c r="BE375" s="68"/>
      <c r="BF375" s="68"/>
      <c r="BG375" s="68"/>
      <c r="BH375" s="68"/>
      <c r="BI375" s="68"/>
    </row>
    <row r="376" spans="1:61" s="13" customFormat="1" ht="15.95" customHeight="1">
      <c r="A376" s="555" t="s">
        <v>821</v>
      </c>
      <c r="B376" s="794"/>
      <c r="C376" s="794"/>
      <c r="D376" s="794"/>
      <c r="E376" s="794"/>
      <c r="F376" s="794"/>
      <c r="G376" s="794"/>
      <c r="H376" s="594"/>
      <c r="I376" s="594"/>
      <c r="J376" s="673"/>
      <c r="K376" s="667"/>
      <c r="L376" s="840"/>
      <c r="M376" s="991"/>
      <c r="N376" s="693"/>
      <c r="O376" s="693"/>
      <c r="P376" s="794"/>
      <c r="Q376" s="947"/>
      <c r="R376" s="948"/>
      <c r="S376" s="69"/>
      <c r="T376" s="69"/>
      <c r="U376" s="161"/>
      <c r="V376" s="161"/>
      <c r="W376" s="161"/>
      <c r="X376" s="161"/>
      <c r="Y376" s="161"/>
      <c r="Z376" s="161"/>
      <c r="AA376" s="530"/>
      <c r="AB376" s="532"/>
      <c r="AC376" s="7"/>
      <c r="AD376" s="7"/>
      <c r="AE376" s="7"/>
      <c r="AF376" s="7"/>
      <c r="AL376" s="7"/>
      <c r="AM376" s="7"/>
      <c r="AN376" s="7"/>
      <c r="AO376" s="7"/>
      <c r="AP376" s="7"/>
      <c r="AQ376" s="7"/>
      <c r="AR376" s="7"/>
      <c r="AS376" s="7"/>
      <c r="AT376" s="7"/>
      <c r="AU376" s="49"/>
      <c r="AV376" s="7"/>
      <c r="AW376" s="7"/>
      <c r="BA376" s="67"/>
      <c r="BB376" s="67"/>
      <c r="BC376" s="67"/>
      <c r="BD376" s="67"/>
      <c r="BE376" s="68"/>
      <c r="BF376" s="68"/>
      <c r="BG376" s="68"/>
      <c r="BH376" s="68"/>
      <c r="BI376" s="68"/>
    </row>
    <row r="377" spans="1:61" s="13" customFormat="1" ht="15.95" customHeight="1">
      <c r="A377" s="555" t="s">
        <v>822</v>
      </c>
      <c r="B377" s="992"/>
      <c r="C377" s="992"/>
      <c r="D377" s="992"/>
      <c r="E377" s="992"/>
      <c r="F377" s="992"/>
      <c r="G377" s="992"/>
      <c r="H377" s="611"/>
      <c r="I377" s="611"/>
      <c r="J377" s="993"/>
      <c r="K377" s="479"/>
      <c r="L377" s="994"/>
      <c r="M377" s="995"/>
      <c r="N377" s="693"/>
      <c r="O377" s="693"/>
      <c r="P377" s="992"/>
      <c r="Q377" s="996"/>
      <c r="R377" s="997"/>
      <c r="S377" s="69"/>
      <c r="T377" s="69"/>
      <c r="U377" s="161"/>
      <c r="V377" s="161"/>
      <c r="W377" s="161"/>
      <c r="X377" s="161"/>
      <c r="Y377" s="161"/>
      <c r="Z377" s="161"/>
      <c r="AA377" s="530"/>
      <c r="AB377" s="532"/>
      <c r="AC377" s="7"/>
      <c r="AD377" s="7"/>
      <c r="AE377" s="7"/>
      <c r="AF377" s="7"/>
      <c r="AL377" s="7"/>
      <c r="AM377" s="7"/>
      <c r="AN377" s="7"/>
      <c r="AO377" s="7"/>
      <c r="AP377" s="7"/>
      <c r="AQ377" s="7"/>
      <c r="AR377" s="7"/>
      <c r="AS377" s="7"/>
      <c r="AT377" s="7"/>
      <c r="AU377" s="49"/>
      <c r="AV377" s="7"/>
      <c r="AW377" s="7"/>
      <c r="BA377" s="67"/>
      <c r="BB377" s="67"/>
      <c r="BC377" s="67"/>
      <c r="BD377" s="67"/>
      <c r="BE377" s="68"/>
      <c r="BF377" s="68"/>
      <c r="BG377" s="68"/>
      <c r="BH377" s="68"/>
      <c r="BI377" s="68"/>
    </row>
    <row r="378" spans="1:61" s="13" customFormat="1" ht="15.95" customHeight="1">
      <c r="A378" s="919" t="s">
        <v>823</v>
      </c>
      <c r="B378" s="857" t="s">
        <v>64</v>
      </c>
      <c r="C378" s="857">
        <v>1</v>
      </c>
      <c r="D378" s="980" t="s">
        <v>824</v>
      </c>
      <c r="E378" s="857"/>
      <c r="F378" s="857"/>
      <c r="G378" s="857"/>
      <c r="H378" s="655" cm="1">
        <f t="array" aca="1" ref="H378" ca="1">IFERROR(
    INDIRECT(
        "RawData!" &amp;
        ADDRESS(
            2,
            MATCH(
                TRIM(MID(A378, SEARCH(". ", A378) + 2, LEN(A378))) &amp; ".Import_kWh",
                RawData!$1:$1,
                0
            ),
            4
        )
    ),
    0
)</f>
        <v>0</v>
      </c>
      <c r="I378" s="655" cm="1">
        <f t="array" aca="1" ref="I378" ca="1">IFERROR(
    INDIRECT(
        "RawData!" &amp;
        ADDRESS(
            COUNTA(RawData!A:A),
            MATCH(
                TRIM(MID(A378, SEARCH(". ", A378) + 2, LEN(A378))) &amp; ".Import_kWh",
                RawData!$1:$1,
                0
            ),
            4
        )
    ),
    0
)</f>
        <v>0</v>
      </c>
      <c r="J378" s="853">
        <f ca="1">(I378-H378)*C378</f>
        <v>0</v>
      </c>
      <c r="K378" s="573" t="e">
        <f ca="1">J378*K$373/(J$375+J$378+J$382+J$384+J$387)</f>
        <v>#DIV/0!</v>
      </c>
      <c r="L378" s="581"/>
      <c r="M378" s="998"/>
      <c r="N378" s="942"/>
      <c r="O378" s="942"/>
      <c r="P378" s="857"/>
      <c r="Q378" s="944"/>
      <c r="R378" s="945"/>
      <c r="S378" s="69"/>
      <c r="T378" s="69"/>
      <c r="U378" s="161"/>
      <c r="V378" s="161"/>
      <c r="W378" s="161"/>
      <c r="X378" s="161"/>
      <c r="Y378" s="161"/>
      <c r="Z378" s="161"/>
      <c r="AA378" s="530"/>
      <c r="AB378" s="532"/>
      <c r="AC378" s="7"/>
      <c r="AD378" s="7"/>
      <c r="AE378" s="7"/>
      <c r="AF378" s="7"/>
      <c r="AL378" s="7"/>
      <c r="AM378" s="7"/>
      <c r="AN378" s="7"/>
      <c r="AO378" s="7"/>
      <c r="AP378" s="7"/>
      <c r="AQ378" s="7"/>
      <c r="AR378" s="7"/>
      <c r="AS378" s="7"/>
      <c r="AT378" s="7"/>
      <c r="AU378" s="49"/>
      <c r="AV378" s="7"/>
      <c r="AW378" s="7"/>
      <c r="BA378" s="67"/>
      <c r="BB378" s="67"/>
      <c r="BC378" s="67"/>
      <c r="BD378" s="67"/>
      <c r="BE378" s="68"/>
      <c r="BF378" s="68"/>
      <c r="BG378" s="68"/>
      <c r="BH378" s="68"/>
      <c r="BI378" s="68"/>
    </row>
    <row r="379" spans="1:61" s="13" customFormat="1" ht="15.95" customHeight="1">
      <c r="A379" s="555" t="s">
        <v>825</v>
      </c>
      <c r="B379" s="794" t="s">
        <v>185</v>
      </c>
      <c r="C379" s="794">
        <v>1</v>
      </c>
      <c r="D379" s="901" t="s">
        <v>824</v>
      </c>
      <c r="E379" s="794"/>
      <c r="F379" s="794"/>
      <c r="G379" s="794"/>
      <c r="H379" s="762" cm="1">
        <f t="array" aca="1" ref="H379" ca="1">IFERROR(
    INDIRECT(
        "RawData!" &amp;
        ADDRESS(
            2,
            MATCH(
                TRIM(MID(A379, SEARCH(". ", A379) + 2, LEN(A379))) &amp; ".Import_kWh",
                RawData!$1:$1,
                0
            ),
            4
        )
    ),
    0
)</f>
        <v>0</v>
      </c>
      <c r="I379" s="762" cm="1">
        <f t="array" aca="1" ref="I379" ca="1">IFERROR(
    INDIRECT(
        "RawData!" &amp;
        ADDRESS(
            COUNTA(RawData!A:A),
            MATCH(
                TRIM(MID(A379, SEARCH(". ", A379) + 2, LEN(A379))) &amp; ".Import_kWh",
                RawData!$1:$1,
                0
            ),
            4
        )
    ),
    0
)</f>
        <v>0</v>
      </c>
      <c r="J379" s="673">
        <f ca="1">(I379-H379)*C379</f>
        <v>0</v>
      </c>
      <c r="K379" s="472">
        <v>0</v>
      </c>
      <c r="L379" s="840"/>
      <c r="M379" s="953"/>
      <c r="N379" s="693"/>
      <c r="O379" s="693"/>
      <c r="P379" s="794"/>
      <c r="Q379" s="960"/>
      <c r="R379" s="948" t="e">
        <f ca="1">K378</f>
        <v>#DIV/0!</v>
      </c>
      <c r="S379" s="114" t="s">
        <v>98</v>
      </c>
      <c r="T379" s="115" t="s">
        <v>144</v>
      </c>
      <c r="U379" s="161"/>
      <c r="V379" s="161"/>
      <c r="W379" s="161"/>
      <c r="X379" s="161"/>
      <c r="Y379" s="161"/>
      <c r="Z379" s="161"/>
      <c r="AA379" s="530"/>
      <c r="AB379" s="532"/>
      <c r="AC379" s="7"/>
      <c r="AD379" s="7"/>
      <c r="AE379" s="7"/>
      <c r="AF379" s="7"/>
      <c r="AL379" s="7"/>
      <c r="AM379" s="7"/>
      <c r="AN379" s="7"/>
      <c r="AO379" s="7"/>
      <c r="AP379" s="7"/>
      <c r="AQ379" s="7"/>
      <c r="AR379" s="7"/>
      <c r="AS379" s="7"/>
      <c r="AT379" s="7"/>
      <c r="AU379" s="49"/>
      <c r="AV379" s="7"/>
      <c r="AW379" s="7"/>
      <c r="BA379" s="67"/>
      <c r="BB379" s="67"/>
      <c r="BC379" s="67"/>
      <c r="BD379" s="67"/>
      <c r="BE379" s="68"/>
      <c r="BF379" s="68"/>
      <c r="BG379" s="68"/>
      <c r="BH379" s="68"/>
      <c r="BI379" s="68"/>
    </row>
    <row r="380" spans="1:61" s="13" customFormat="1" ht="15.95" customHeight="1">
      <c r="A380" s="555" t="s">
        <v>826</v>
      </c>
      <c r="B380" s="794"/>
      <c r="C380" s="794"/>
      <c r="D380" s="794"/>
      <c r="E380" s="794"/>
      <c r="F380" s="794"/>
      <c r="G380" s="794"/>
      <c r="H380" s="762"/>
      <c r="I380" s="762"/>
      <c r="J380" s="673"/>
      <c r="K380" s="777">
        <v>0</v>
      </c>
      <c r="L380" s="840"/>
      <c r="M380" s="472">
        <v>67.5</v>
      </c>
      <c r="N380" s="693"/>
      <c r="O380" s="693"/>
      <c r="P380" s="794"/>
      <c r="Q380" s="947"/>
      <c r="R380" s="948">
        <f>K380</f>
        <v>0</v>
      </c>
      <c r="S380" s="114" t="s">
        <v>117</v>
      </c>
      <c r="T380" s="115" t="s">
        <v>156</v>
      </c>
      <c r="U380" s="161"/>
      <c r="V380" s="161"/>
      <c r="W380" s="161"/>
      <c r="X380" s="161"/>
      <c r="Y380" s="161"/>
      <c r="Z380" s="161"/>
      <c r="AA380" s="530"/>
      <c r="AB380" s="532"/>
      <c r="AC380" s="7"/>
      <c r="AD380" s="7"/>
      <c r="AE380" s="7"/>
      <c r="AF380" s="7"/>
      <c r="AL380" s="7"/>
      <c r="AM380" s="7"/>
      <c r="AN380" s="7"/>
      <c r="AO380" s="7"/>
      <c r="AP380" s="7"/>
      <c r="AQ380" s="7"/>
      <c r="AR380" s="7"/>
      <c r="AS380" s="7"/>
      <c r="AT380" s="7"/>
      <c r="AU380" s="49"/>
      <c r="AV380" s="7"/>
      <c r="AW380" s="7"/>
      <c r="BA380" s="67"/>
      <c r="BB380" s="67"/>
      <c r="BC380" s="67"/>
      <c r="BD380" s="67"/>
      <c r="BE380" s="68"/>
      <c r="BF380" s="68"/>
      <c r="BG380" s="68"/>
      <c r="BH380" s="68"/>
      <c r="BI380" s="68"/>
    </row>
    <row r="381" spans="1:61" s="13" customFormat="1" ht="15.95" customHeight="1">
      <c r="A381" s="555"/>
      <c r="B381" s="794"/>
      <c r="C381" s="794"/>
      <c r="D381" s="794"/>
      <c r="E381" s="794"/>
      <c r="F381" s="794"/>
      <c r="G381" s="794"/>
      <c r="H381" s="762"/>
      <c r="I381" s="762"/>
      <c r="J381" s="673"/>
      <c r="K381" s="472"/>
      <c r="L381" s="840"/>
      <c r="M381" s="472"/>
      <c r="N381" s="693"/>
      <c r="O381" s="693"/>
      <c r="P381" s="794"/>
      <c r="Q381" s="947"/>
      <c r="R381" s="948"/>
      <c r="S381" s="69"/>
      <c r="T381" s="69"/>
      <c r="U381" s="161"/>
      <c r="V381" s="161"/>
      <c r="W381" s="161"/>
      <c r="X381" s="161"/>
      <c r="Y381" s="161"/>
      <c r="Z381" s="161"/>
      <c r="AA381" s="530"/>
      <c r="AB381" s="532"/>
      <c r="AC381" s="7"/>
      <c r="AD381" s="7"/>
      <c r="AE381" s="7"/>
      <c r="AF381" s="7"/>
      <c r="AL381" s="7"/>
      <c r="AM381" s="7"/>
      <c r="AN381" s="7"/>
      <c r="AO381" s="7"/>
      <c r="AP381" s="7"/>
      <c r="AQ381" s="7"/>
      <c r="AR381" s="7"/>
      <c r="AS381" s="7"/>
      <c r="AT381" s="7"/>
      <c r="AU381" s="49"/>
      <c r="AV381" s="7"/>
      <c r="AW381" s="7"/>
      <c r="BA381" s="67"/>
      <c r="BB381" s="67"/>
      <c r="BC381" s="67"/>
      <c r="BD381" s="67"/>
      <c r="BE381" s="68"/>
      <c r="BF381" s="68"/>
      <c r="BG381" s="68"/>
      <c r="BH381" s="68"/>
      <c r="BI381" s="68"/>
    </row>
    <row r="382" spans="1:61" s="13" customFormat="1" ht="15.95" customHeight="1">
      <c r="A382" s="919" t="s">
        <v>827</v>
      </c>
      <c r="B382" s="857" t="s">
        <v>64</v>
      </c>
      <c r="C382" s="857">
        <v>1</v>
      </c>
      <c r="D382" s="654" t="s">
        <v>47</v>
      </c>
      <c r="E382" s="940"/>
      <c r="F382" s="654" t="s">
        <v>243</v>
      </c>
      <c r="G382" s="654" t="s">
        <v>49</v>
      </c>
      <c r="H382" s="655" cm="1">
        <f t="array" aca="1" ref="H382" ca="1">IFERROR(
    INDIRECT(
        "RawData!" &amp;
        ADDRESS(
            2,
            MATCH(
                TRIM(MID(A382, SEARCH(". ", A382) + 2, LEN(A382))) &amp; ".Import_kWh",
                RawData!$1:$1,
                0
            ),
            4
        )
    ),
    0
)</f>
        <v>0</v>
      </c>
      <c r="I382" s="655" cm="1">
        <f t="array" aca="1" ref="I382" ca="1">IFERROR(
    INDIRECT(
        "RawData!" &amp;
        ADDRESS(
            COUNTA(RawData!A:A),
            MATCH(
                TRIM(MID(A382, SEARCH(". ", A382) + 2, LEN(A382))) &amp; ".Import_kWh",
                RawData!$1:$1,
                0
            ),
            4
        )
    ),
    0
)</f>
        <v>0</v>
      </c>
      <c r="J382" s="863">
        <f ca="1">(I382-H382)*C382</f>
        <v>0</v>
      </c>
      <c r="K382" s="824" t="e">
        <f ca="1">J382*K$373/(J$375+J$378+J$382+J$384+J$387)</f>
        <v>#DIV/0!</v>
      </c>
      <c r="L382" s="581" t="e">
        <f ca="1">K382/J382</f>
        <v>#DIV/0!</v>
      </c>
      <c r="M382" s="990"/>
      <c r="N382" s="942"/>
      <c r="O382" s="942"/>
      <c r="P382" s="942"/>
      <c r="Q382" s="999"/>
      <c r="R382" s="945" t="e">
        <f ca="1">K382</f>
        <v>#DIV/0!</v>
      </c>
      <c r="S382" s="114" t="s">
        <v>98</v>
      </c>
      <c r="T382" s="115" t="s">
        <v>144</v>
      </c>
      <c r="U382" s="161"/>
      <c r="V382" s="161"/>
      <c r="W382" s="161"/>
      <c r="X382" s="161"/>
      <c r="Y382" s="161"/>
      <c r="Z382" s="161"/>
      <c r="AA382" s="530"/>
      <c r="AB382" s="532"/>
      <c r="AC382" s="7"/>
      <c r="AD382" s="7"/>
      <c r="AE382" s="7"/>
      <c r="AF382" s="7"/>
      <c r="AL382" s="7"/>
      <c r="AM382" s="7"/>
      <c r="AN382" s="7"/>
      <c r="AO382" s="7"/>
      <c r="AP382" s="7"/>
      <c r="AQ382" s="7"/>
      <c r="AR382" s="7"/>
      <c r="AS382" s="7"/>
      <c r="AT382" s="7"/>
      <c r="AU382" s="49"/>
      <c r="AV382" s="7"/>
      <c r="AW382" s="7"/>
      <c r="BA382" s="67"/>
      <c r="BB382" s="67"/>
      <c r="BC382" s="67"/>
      <c r="BD382" s="67"/>
      <c r="BE382" s="68"/>
      <c r="BF382" s="68"/>
      <c r="BG382" s="68"/>
      <c r="BH382" s="68"/>
      <c r="BI382" s="68"/>
    </row>
    <row r="383" spans="1:61" s="13" customFormat="1" ht="15" customHeight="1">
      <c r="A383" s="804" t="s">
        <v>828</v>
      </c>
      <c r="B383" s="965"/>
      <c r="C383" s="965"/>
      <c r="D383" s="965"/>
      <c r="E383" s="965"/>
      <c r="F383" s="965"/>
      <c r="G383" s="965"/>
      <c r="H383" s="907"/>
      <c r="I383" s="907"/>
      <c r="J383" s="698"/>
      <c r="K383" s="1000"/>
      <c r="L383" s="967"/>
      <c r="M383" s="1001"/>
      <c r="N383" s="968"/>
      <c r="O383" s="968"/>
      <c r="P383" s="965"/>
      <c r="Q383" s="1002"/>
      <c r="R383" s="970"/>
      <c r="S383" s="69"/>
      <c r="T383" s="69"/>
      <c r="U383" s="161"/>
      <c r="V383" s="161"/>
      <c r="W383" s="161"/>
      <c r="X383" s="161"/>
      <c r="Y383" s="161"/>
      <c r="Z383" s="161"/>
      <c r="AA383" s="530"/>
      <c r="AB383" s="532"/>
      <c r="AC383" s="7"/>
      <c r="AD383" s="7"/>
      <c r="AE383" s="7"/>
      <c r="AF383" s="7"/>
      <c r="AL383" s="7"/>
      <c r="AM383" s="7"/>
      <c r="AN383" s="7"/>
      <c r="AO383" s="7"/>
      <c r="AP383" s="7"/>
      <c r="AQ383" s="7"/>
      <c r="AR383" s="7"/>
      <c r="AS383" s="7"/>
      <c r="AT383" s="7"/>
      <c r="AU383" s="49"/>
      <c r="AV383" s="7"/>
      <c r="AW383" s="7"/>
      <c r="BA383" s="67"/>
      <c r="BB383" s="67"/>
      <c r="BC383" s="67"/>
      <c r="BD383" s="67"/>
      <c r="BE383" s="68"/>
      <c r="BF383" s="68"/>
      <c r="BG383" s="68"/>
      <c r="BH383" s="68"/>
      <c r="BI383" s="68"/>
    </row>
    <row r="384" spans="1:61" s="13" customFormat="1" ht="15.95" customHeight="1">
      <c r="A384" s="919" t="s">
        <v>829</v>
      </c>
      <c r="B384" s="857" t="s">
        <v>64</v>
      </c>
      <c r="C384" s="1003">
        <v>1</v>
      </c>
      <c r="D384" s="654" t="s">
        <v>47</v>
      </c>
      <c r="E384" s="940"/>
      <c r="F384" s="654" t="s">
        <v>243</v>
      </c>
      <c r="G384" s="654" t="s">
        <v>49</v>
      </c>
      <c r="H384" s="655" cm="1">
        <f t="array" aca="1" ref="H384" ca="1">IFERROR(
    INDIRECT(
        "RawData!" &amp;
        ADDRESS(
            2,
            MATCH(
                TRIM(MID(A384, SEARCH(". ", A384) + 2, LEN(A384))) &amp; ".Import_kWh",
                RawData!$1:$1,
                0
            ),
            4
        )
    ),
    0
)</f>
        <v>0</v>
      </c>
      <c r="I384" s="655" cm="1">
        <f t="array" aca="1" ref="I384" ca="1">IFERROR(
    INDIRECT(
        "RawData!" &amp;
        ADDRESS(
            COUNTA(RawData!A:A),
            MATCH(
                TRIM(MID(A384, SEARCH(". ", A384) + 2, LEN(A384))) &amp; ".Import_kWh",
                RawData!$1:$1,
                0
            ),
            4
        )
    ),
    0
)</f>
        <v>0</v>
      </c>
      <c r="J384" s="853">
        <f ca="1">(I384-H384)*C384</f>
        <v>0</v>
      </c>
      <c r="K384" s="824" t="e">
        <f ca="1">J384*K$373/(J$375+J$378+J$382+J$384+J$387)</f>
        <v>#DIV/0!</v>
      </c>
      <c r="L384" s="581" t="e">
        <f t="shared" ref="L384:L390" ca="1" si="91">K384/J384</f>
        <v>#DIV/0!</v>
      </c>
      <c r="M384" s="900" t="e">
        <f ca="1">R384</f>
        <v>#DIV/0!</v>
      </c>
      <c r="N384" s="942"/>
      <c r="O384" s="942"/>
      <c r="P384" s="857"/>
      <c r="Q384" s="943"/>
      <c r="R384" s="945" t="e">
        <f ca="1">K384</f>
        <v>#DIV/0!</v>
      </c>
      <c r="S384" s="114"/>
      <c r="T384" s="115"/>
      <c r="U384" s="161"/>
      <c r="V384" s="161"/>
      <c r="W384" s="161"/>
      <c r="X384" s="161"/>
      <c r="Y384" s="161"/>
      <c r="Z384" s="161"/>
      <c r="AA384" s="530"/>
      <c r="AB384" s="532"/>
      <c r="AC384" s="7"/>
      <c r="AD384" s="7"/>
      <c r="AE384" s="7"/>
      <c r="AF384" s="7"/>
      <c r="AL384" s="7"/>
      <c r="AM384" s="7"/>
      <c r="AN384" s="7"/>
      <c r="AO384" s="7"/>
      <c r="AP384" s="7"/>
      <c r="AQ384" s="7"/>
      <c r="AR384" s="7"/>
      <c r="AS384" s="7"/>
      <c r="AT384" s="7"/>
      <c r="AU384" s="49"/>
      <c r="AV384" s="7"/>
      <c r="BA384" s="67"/>
      <c r="BB384" s="67"/>
      <c r="BC384" s="67"/>
      <c r="BD384" s="67"/>
      <c r="BE384" s="68"/>
      <c r="BF384" s="68"/>
      <c r="BG384" s="68"/>
      <c r="BH384" s="68"/>
      <c r="BI384" s="68"/>
    </row>
    <row r="385" spans="1:61" s="13" customFormat="1" ht="15.95" customHeight="1">
      <c r="A385" s="555" t="s">
        <v>830</v>
      </c>
      <c r="B385" s="794"/>
      <c r="C385" s="1004"/>
      <c r="D385" s="1004"/>
      <c r="E385" s="1004"/>
      <c r="F385" s="1004"/>
      <c r="G385" s="1004"/>
      <c r="H385" s="762"/>
      <c r="I385" s="762"/>
      <c r="J385" s="673"/>
      <c r="K385" s="1005"/>
      <c r="L385" s="840"/>
      <c r="M385" s="1006"/>
      <c r="N385" s="693"/>
      <c r="O385" s="693"/>
      <c r="P385" s="794"/>
      <c r="Q385" s="972"/>
      <c r="R385" s="948"/>
      <c r="S385" s="69"/>
      <c r="T385" s="69"/>
      <c r="U385" s="161"/>
      <c r="V385" s="161"/>
      <c r="W385" s="161"/>
      <c r="X385" s="161"/>
      <c r="Y385" s="161"/>
      <c r="Z385" s="161"/>
      <c r="AA385" s="530"/>
      <c r="AB385" s="532"/>
      <c r="AC385" s="7"/>
      <c r="AD385" s="7"/>
      <c r="AE385" s="7"/>
      <c r="AF385" s="7"/>
      <c r="AL385" s="7"/>
      <c r="AM385" s="7"/>
      <c r="AN385" s="7"/>
      <c r="AO385" s="7"/>
      <c r="AP385" s="7"/>
      <c r="AQ385" s="7"/>
      <c r="AR385" s="7"/>
      <c r="AS385" s="7"/>
      <c r="AT385" s="7"/>
      <c r="AU385" s="49"/>
      <c r="AV385" s="7"/>
      <c r="BA385" s="67"/>
      <c r="BB385" s="67"/>
      <c r="BC385" s="67"/>
      <c r="BD385" s="67"/>
      <c r="BE385" s="68"/>
      <c r="BF385" s="68"/>
      <c r="BG385" s="68"/>
      <c r="BH385" s="68"/>
      <c r="BI385" s="68"/>
    </row>
    <row r="386" spans="1:61" s="13" customFormat="1" ht="15.95" customHeight="1">
      <c r="A386" s="555"/>
      <c r="B386" s="794"/>
      <c r="C386" s="1004"/>
      <c r="D386" s="1004"/>
      <c r="E386" s="1004"/>
      <c r="F386" s="1004"/>
      <c r="G386" s="1004"/>
      <c r="H386" s="762"/>
      <c r="I386" s="762"/>
      <c r="J386" s="673"/>
      <c r="K386" s="1005"/>
      <c r="L386" s="840"/>
      <c r="M386" s="1006"/>
      <c r="N386" s="693"/>
      <c r="O386" s="693"/>
      <c r="P386" s="794"/>
      <c r="Q386" s="972"/>
      <c r="R386" s="948"/>
      <c r="S386" s="69"/>
      <c r="T386" s="69"/>
      <c r="U386" s="161"/>
      <c r="V386" s="161"/>
      <c r="W386" s="161"/>
      <c r="X386" s="161"/>
      <c r="Y386" s="161"/>
      <c r="Z386" s="161"/>
      <c r="AA386" s="530"/>
      <c r="AB386" s="532"/>
      <c r="AC386" s="7"/>
      <c r="AD386" s="7"/>
      <c r="AE386" s="7"/>
      <c r="AF386" s="7"/>
      <c r="AL386" s="7"/>
      <c r="AM386" s="7"/>
      <c r="AN386" s="7"/>
      <c r="AO386" s="7"/>
      <c r="AP386" s="7"/>
      <c r="AQ386" s="7"/>
      <c r="AR386" s="7"/>
      <c r="AS386" s="7"/>
      <c r="AT386" s="7"/>
      <c r="AU386" s="49"/>
      <c r="AV386" s="7"/>
      <c r="BA386" s="67"/>
      <c r="BB386" s="67"/>
      <c r="BC386" s="67"/>
      <c r="BD386" s="67"/>
      <c r="BE386" s="68"/>
      <c r="BF386" s="68"/>
      <c r="BG386" s="68"/>
      <c r="BH386" s="68"/>
      <c r="BI386" s="68"/>
    </row>
    <row r="387" spans="1:61" s="13" customFormat="1" ht="15.95" customHeight="1">
      <c r="A387" s="919" t="s">
        <v>831</v>
      </c>
      <c r="B387" s="857"/>
      <c r="C387" s="1003">
        <v>1</v>
      </c>
      <c r="D387" s="654" t="s">
        <v>47</v>
      </c>
      <c r="E387" s="940"/>
      <c r="F387" s="654" t="s">
        <v>243</v>
      </c>
      <c r="G387" s="654" t="s">
        <v>49</v>
      </c>
      <c r="H387" s="655" cm="1">
        <f t="array" aca="1" ref="H387" ca="1">IFERROR(
    INDIRECT(
        "RawData!" &amp;
        ADDRESS(
            2,
            MATCH(
                TRIM(MID(A387, SEARCH(". ", A387) + 2, LEN(A387))) &amp; ".Import_kWh",
                RawData!$1:$1,
                0
            ),
            4
        )
    ),
    0
)</f>
        <v>0</v>
      </c>
      <c r="I387" s="655" cm="1">
        <f t="array" aca="1" ref="I387" ca="1">IFERROR(
    INDIRECT(
        "RawData!" &amp;
        ADDRESS(
            COUNTA(RawData!A:A),
            MATCH(
                TRIM(MID(A387, SEARCH(". ", A387) + 2, LEN(A387))) &amp; ".Import_kWh",
                RawData!$1:$1,
                0
            ),
            4
        )
    ),
    0
)</f>
        <v>0</v>
      </c>
      <c r="J387" s="853">
        <f ca="1">(I387-H387)*C387</f>
        <v>0</v>
      </c>
      <c r="K387" s="824" t="e">
        <f ca="1">J387*K$373/(J$375+J$378+J$382+J$384+J$387)</f>
        <v>#DIV/0!</v>
      </c>
      <c r="L387" s="1007" t="e">
        <f t="shared" ca="1" si="91"/>
        <v>#DIV/0!</v>
      </c>
      <c r="M387" s="900"/>
      <c r="N387" s="942"/>
      <c r="O387" s="942"/>
      <c r="P387" s="857"/>
      <c r="Q387" s="943"/>
      <c r="R387" s="945" t="e">
        <f ca="1">K387</f>
        <v>#DIV/0!</v>
      </c>
      <c r="S387" s="114" t="s">
        <v>98</v>
      </c>
      <c r="T387" s="115" t="s">
        <v>149</v>
      </c>
      <c r="U387" s="161"/>
      <c r="V387" s="161"/>
      <c r="W387" s="161"/>
      <c r="X387" s="161"/>
      <c r="Y387" s="161"/>
      <c r="Z387" s="161"/>
      <c r="AA387" s="530"/>
      <c r="AB387" s="532"/>
      <c r="AC387" s="7"/>
      <c r="AD387" s="7"/>
      <c r="AE387" s="7"/>
      <c r="AL387" s="7"/>
      <c r="AM387" s="7"/>
      <c r="AN387" s="7"/>
      <c r="AO387" s="7"/>
      <c r="AP387" s="7"/>
      <c r="AQ387" s="7"/>
      <c r="AR387" s="7"/>
      <c r="AS387" s="7"/>
      <c r="AT387" s="7"/>
      <c r="AU387" s="49"/>
      <c r="AV387" s="7"/>
      <c r="BA387" s="67"/>
      <c r="BB387" s="67"/>
      <c r="BC387" s="67"/>
      <c r="BD387" s="67"/>
      <c r="BE387" s="68"/>
      <c r="BF387" s="68"/>
      <c r="BG387" s="68"/>
      <c r="BH387" s="68"/>
      <c r="BI387" s="68"/>
    </row>
    <row r="388" spans="1:61" s="13" customFormat="1" ht="15.95" customHeight="1">
      <c r="A388" s="910" t="s">
        <v>1255</v>
      </c>
      <c r="B388" s="933" t="s">
        <v>320</v>
      </c>
      <c r="C388" s="933">
        <v>1</v>
      </c>
      <c r="D388" s="786" t="s">
        <v>47</v>
      </c>
      <c r="E388" s="986"/>
      <c r="F388" s="786" t="s">
        <v>243</v>
      </c>
      <c r="G388" s="786" t="s">
        <v>49</v>
      </c>
      <c r="H388" s="766" cm="1">
        <f t="array" aca="1" ref="H388" ca="1">IFERROR(
    INDIRECT(
        "RawData!" &amp;
        ADDRESS(
            2,
            MATCH(
                TRIM(MID(A388, SEARCH(". ", A388) + 2, LEN(A388))) &amp; ".Import_kWh",
                RawData!$1:$1,
                0
            ),
            4
        )
    ),
    0
)</f>
        <v>0</v>
      </c>
      <c r="I388" s="766" cm="1">
        <f t="array" aca="1" ref="I388" ca="1">IFERROR(
    INDIRECT(
        "RawData!" &amp;
        ADDRESS(
            COUNTA(RawData!A:A),
            MATCH(
                TRIM(MID(A388, SEARCH(". ", A388) + 2, LEN(A388))) &amp; ".Import_kWh",
                RawData!$1:$1,
                0
            ),
            4
        )
    ),
    0
)</f>
        <v>0</v>
      </c>
      <c r="J388" s="646">
        <f ca="1">(I388-H388)*C388</f>
        <v>0</v>
      </c>
      <c r="K388" s="647" t="e">
        <f ca="1">J388*J$777/(J$5+J$65+J$72+J$81+J$89+J$138+J$212+J$285+J$306+J$373+J$388+J$396+J$397+J$450+J$463+J$471+J$513+J$564+J$603+J$646)</f>
        <v>#DIV/0!</v>
      </c>
      <c r="L388" s="912" t="e">
        <f t="shared" ca="1" si="91"/>
        <v>#DIV/0!</v>
      </c>
      <c r="M388" s="934" t="e">
        <f ca="1">R389+R390+R391+R392+R394+R395</f>
        <v>#DIV/0!</v>
      </c>
      <c r="N388" s="935"/>
      <c r="O388" s="935"/>
      <c r="P388" s="1008"/>
      <c r="Q388" s="937"/>
      <c r="R388" s="938"/>
      <c r="S388" s="69"/>
      <c r="T388" s="69"/>
      <c r="U388" s="161"/>
      <c r="V388" s="161"/>
      <c r="W388" s="161"/>
      <c r="X388" s="161"/>
      <c r="Y388" s="161"/>
      <c r="Z388" s="161"/>
      <c r="AA388" s="530"/>
      <c r="AB388" s="532"/>
      <c r="AC388" s="7"/>
      <c r="AD388" s="7"/>
      <c r="AE388" s="7"/>
      <c r="AL388" s="7"/>
      <c r="AM388" s="7"/>
      <c r="AN388" s="7"/>
      <c r="AO388" s="7"/>
      <c r="AP388" s="7"/>
      <c r="AQ388" s="7"/>
      <c r="AR388" s="7"/>
      <c r="AS388" s="7"/>
      <c r="AT388" s="7"/>
      <c r="AU388" s="49"/>
      <c r="AV388" s="7"/>
      <c r="BA388" s="67"/>
      <c r="BB388" s="67"/>
      <c r="BC388" s="67"/>
      <c r="BD388" s="67"/>
      <c r="BE388" s="68"/>
      <c r="BF388" s="68"/>
      <c r="BG388" s="68"/>
      <c r="BH388" s="68"/>
      <c r="BI388" s="68"/>
    </row>
    <row r="389" spans="1:61" s="13" customFormat="1" ht="15.95" customHeight="1">
      <c r="A389" s="919" t="s">
        <v>832</v>
      </c>
      <c r="B389" s="857" t="s">
        <v>833</v>
      </c>
      <c r="C389" s="857">
        <v>1</v>
      </c>
      <c r="D389" s="654" t="s">
        <v>47</v>
      </c>
      <c r="E389" s="940"/>
      <c r="F389" s="654" t="s">
        <v>243</v>
      </c>
      <c r="G389" s="654" t="s">
        <v>49</v>
      </c>
      <c r="H389" s="655" cm="1">
        <f t="array" aca="1" ref="H389" ca="1">IFERROR(
    INDIRECT(
        "RawData!" &amp;
        ADDRESS(
            2,
            MATCH(
                TRIM(MID(A389, SEARCH(". ", A389) + 2, LEN(A389))) &amp; ".Import_kWh",
                RawData!$1:$1,
                0
            ),
            4
        )
    ),
    0
)</f>
        <v>0</v>
      </c>
      <c r="I389" s="655" cm="1">
        <f t="array" aca="1" ref="I389" ca="1">IFERROR(
    INDIRECT(
        "RawData!" &amp;
        ADDRESS(
            COUNTA(RawData!A:A),
            MATCH(
                TRIM(MID(A389, SEARCH(". ", A389) + 2, LEN(A389))) &amp; ".Import_kWh",
                RawData!$1:$1,
                0
            ),
            4
        )
    ),
    0
)</f>
        <v>0</v>
      </c>
      <c r="J389" s="680">
        <f ca="1">(I389-H389)*C389</f>
        <v>0</v>
      </c>
      <c r="K389" s="941">
        <f ca="1">J389</f>
        <v>0</v>
      </c>
      <c r="L389" s="581" t="e">
        <f t="shared" ca="1" si="91"/>
        <v>#DIV/0!</v>
      </c>
      <c r="M389" s="900"/>
      <c r="N389" s="942"/>
      <c r="O389" s="942"/>
      <c r="P389" s="943"/>
      <c r="Q389" s="952"/>
      <c r="R389" s="945">
        <f ca="1">K389</f>
        <v>0</v>
      </c>
      <c r="S389" s="114" t="s">
        <v>120</v>
      </c>
      <c r="T389" s="115" t="s">
        <v>518</v>
      </c>
      <c r="U389" s="161"/>
      <c r="V389" s="161"/>
      <c r="W389" s="161"/>
      <c r="X389" s="161"/>
      <c r="Y389" s="161"/>
      <c r="Z389" s="161"/>
      <c r="AA389" s="530"/>
      <c r="AB389" s="532"/>
      <c r="AC389" s="7"/>
      <c r="AD389" s="7"/>
      <c r="AE389" s="7"/>
      <c r="AL389" s="7"/>
      <c r="AM389" s="7"/>
      <c r="AN389" s="7"/>
      <c r="AO389" s="7"/>
      <c r="AP389" s="7"/>
      <c r="AQ389" s="7"/>
      <c r="AR389" s="7"/>
      <c r="AS389" s="7"/>
      <c r="AT389" s="7"/>
      <c r="AU389" s="49"/>
      <c r="AV389" s="7"/>
      <c r="BA389" s="67"/>
      <c r="BB389" s="67"/>
      <c r="BC389" s="67"/>
      <c r="BD389" s="67"/>
      <c r="BE389" s="68"/>
      <c r="BF389" s="68"/>
      <c r="BG389" s="68"/>
      <c r="BH389" s="68"/>
      <c r="BI389" s="68"/>
    </row>
    <row r="390" spans="1:61" s="13" customFormat="1" ht="15.95" customHeight="1">
      <c r="A390" s="919" t="s">
        <v>834</v>
      </c>
      <c r="B390" s="857" t="s">
        <v>64</v>
      </c>
      <c r="C390" s="857">
        <v>1</v>
      </c>
      <c r="D390" s="654" t="s">
        <v>47</v>
      </c>
      <c r="E390" s="940"/>
      <c r="F390" s="654" t="s">
        <v>243</v>
      </c>
      <c r="G390" s="654" t="s">
        <v>49</v>
      </c>
      <c r="H390" s="655" cm="1">
        <f t="array" aca="1" ref="H390" ca="1">IFERROR(
    INDIRECT(
        "RawData!" &amp;
        ADDRESS(
            2,
            MATCH(
                TRIM(MID(A390, SEARCH(". ", A390) + 2, LEN(A390))) &amp; ".Import_kWh",
                RawData!$1:$1,
                0
            ),
            4
        )
    ),
    0
)</f>
        <v>0</v>
      </c>
      <c r="I390" s="655" cm="1">
        <f t="array" aca="1" ref="I390" ca="1">IFERROR(
    INDIRECT(
        "RawData!" &amp;
        ADDRESS(
            COUNTA(RawData!A:A),
            MATCH(
                TRIM(MID(A390, SEARCH(". ", A390) + 2, LEN(A390))) &amp; ".Import_kWh",
                RawData!$1:$1,
                0
            ),
            4
        )
    ),
    0
)</f>
        <v>0</v>
      </c>
      <c r="J390" s="680">
        <f ca="1">(I390-H390)*C390</f>
        <v>0</v>
      </c>
      <c r="K390" s="941">
        <f ca="1">J390</f>
        <v>0</v>
      </c>
      <c r="L390" s="581" t="e">
        <f t="shared" ca="1" si="91"/>
        <v>#DIV/0!</v>
      </c>
      <c r="M390" s="900">
        <f ca="1">R391+R392</f>
        <v>0</v>
      </c>
      <c r="N390" s="942"/>
      <c r="O390" s="942"/>
      <c r="P390" s="943"/>
      <c r="Q390" s="944"/>
      <c r="R390" s="945"/>
      <c r="S390" s="69"/>
      <c r="T390" s="69"/>
      <c r="U390" s="161"/>
      <c r="V390" s="161"/>
      <c r="W390" s="161"/>
      <c r="X390" s="161"/>
      <c r="Y390" s="161"/>
      <c r="Z390" s="161"/>
      <c r="AA390" s="530"/>
      <c r="AB390" s="532"/>
      <c r="AC390" s="7"/>
      <c r="AD390" s="7"/>
      <c r="AE390" s="7"/>
      <c r="AL390" s="7"/>
      <c r="AM390" s="7"/>
      <c r="AN390" s="7"/>
      <c r="AO390" s="7"/>
      <c r="AP390" s="7"/>
      <c r="AQ390" s="7"/>
      <c r="AR390" s="7"/>
      <c r="AS390" s="7"/>
      <c r="AT390" s="7"/>
      <c r="AU390" s="49"/>
      <c r="AV390" s="7"/>
      <c r="BA390" s="67"/>
      <c r="BB390" s="67"/>
      <c r="BC390" s="67"/>
      <c r="BD390" s="67"/>
      <c r="BE390" s="68"/>
      <c r="BF390" s="68"/>
      <c r="BG390" s="68"/>
      <c r="BH390" s="68"/>
      <c r="BI390" s="68"/>
    </row>
    <row r="391" spans="1:61" s="13" customFormat="1" ht="15.95" customHeight="1">
      <c r="A391" s="555" t="s">
        <v>835</v>
      </c>
      <c r="B391" s="794"/>
      <c r="C391" s="946"/>
      <c r="D391" s="946"/>
      <c r="E391" s="946"/>
      <c r="F391" s="946"/>
      <c r="G391" s="946"/>
      <c r="H391" s="1009"/>
      <c r="I391" s="1009"/>
      <c r="J391" s="673"/>
      <c r="K391" s="1010">
        <f ca="1">K390-K392</f>
        <v>0</v>
      </c>
      <c r="L391" s="1011"/>
      <c r="M391" s="472"/>
      <c r="N391" s="1012"/>
      <c r="O391" s="1012"/>
      <c r="P391" s="972"/>
      <c r="Q391" s="947"/>
      <c r="R391" s="948">
        <f ca="1">K391</f>
        <v>0</v>
      </c>
      <c r="S391" s="114" t="s">
        <v>120</v>
      </c>
      <c r="T391" s="115" t="s">
        <v>518</v>
      </c>
      <c r="U391" s="161"/>
      <c r="V391" s="161"/>
      <c r="W391" s="161"/>
      <c r="X391" s="161"/>
      <c r="Y391" s="161"/>
      <c r="Z391" s="161"/>
      <c r="AA391" s="530"/>
      <c r="AB391" s="532"/>
      <c r="AC391" s="7"/>
      <c r="AD391" s="7"/>
      <c r="AL391" s="7"/>
      <c r="AM391" s="7"/>
      <c r="AN391" s="7"/>
      <c r="AO391" s="7"/>
      <c r="AP391" s="7"/>
      <c r="AQ391" s="7"/>
      <c r="AR391" s="7"/>
      <c r="AS391" s="7"/>
      <c r="AT391" s="7"/>
      <c r="AU391" s="49"/>
      <c r="AV391" s="7"/>
      <c r="BA391" s="67"/>
      <c r="BB391" s="67"/>
      <c r="BC391" s="67"/>
      <c r="BD391" s="67"/>
      <c r="BE391" s="68"/>
      <c r="BF391" s="68"/>
      <c r="BG391" s="68"/>
      <c r="BH391" s="68"/>
      <c r="BI391" s="68"/>
    </row>
    <row r="392" spans="1:61" ht="15.95" customHeight="1">
      <c r="A392" s="555" t="s">
        <v>836</v>
      </c>
      <c r="B392" s="800" t="s">
        <v>72</v>
      </c>
      <c r="C392" s="800">
        <v>40</v>
      </c>
      <c r="D392" s="595" t="s">
        <v>645</v>
      </c>
      <c r="E392" s="774" t="s">
        <v>336</v>
      </c>
      <c r="F392" s="595" t="s">
        <v>243</v>
      </c>
      <c r="G392" s="595" t="s">
        <v>49</v>
      </c>
      <c r="H392" s="1144" cm="1">
        <f t="array" aca="1" ref="H392" ca="1">IFERROR(
    INDIRECT(
        "RawData!" &amp;
        ADDRESS(
            2,
            MATCH(
                TRIM(MID(A392, SEARCH(". ", A392) + 2, LEN(A392))) &amp; ".Import_kWh",
                RawData!$1:$1,
                0
            ),
            4
        )
    ),
    0
)</f>
        <v>0</v>
      </c>
      <c r="I392" s="1144" cm="1">
        <f t="array" aca="1" ref="I392" ca="1">IFERROR(
    INDIRECT(
        "RawData!" &amp;
        ADDRESS(
            COUNTA(RawData!A:A),
            MATCH(
                TRIM(MID(A392, SEARCH(". ", A392) + 2, LEN(A392))) &amp; ".Import_kWh",
                RawData!$1:$1,
                0
            ),
            4
        )
    ),
    0
)</f>
        <v>0</v>
      </c>
      <c r="J392" s="673">
        <f ca="1">(I392-H392)*C392</f>
        <v>0</v>
      </c>
      <c r="K392" s="759">
        <f ca="1">J392</f>
        <v>0</v>
      </c>
      <c r="L392" s="840" t="e">
        <f ca="1">K392/J392</f>
        <v>#DIV/0!</v>
      </c>
      <c r="M392" s="873"/>
      <c r="N392" s="687"/>
      <c r="O392" s="687"/>
      <c r="P392" s="800"/>
      <c r="Q392" s="917"/>
      <c r="R392" s="918">
        <f ca="1">K392</f>
        <v>0</v>
      </c>
      <c r="S392" s="114" t="s">
        <v>120</v>
      </c>
      <c r="T392" s="115" t="s">
        <v>837</v>
      </c>
      <c r="U392" s="161"/>
      <c r="V392" s="161"/>
      <c r="W392" s="161"/>
      <c r="X392" s="161"/>
      <c r="Y392" s="161"/>
      <c r="Z392" s="161"/>
      <c r="AA392" s="530"/>
      <c r="AB392" s="532"/>
      <c r="AC392" s="13"/>
      <c r="AE392" s="13"/>
      <c r="AF392" s="13"/>
      <c r="AG392" s="13"/>
      <c r="AH392" s="13"/>
      <c r="AI392" s="13"/>
      <c r="AJ392" s="13"/>
      <c r="AK392" s="13"/>
      <c r="AL392" s="13"/>
      <c r="AW392" s="13"/>
    </row>
    <row r="393" spans="1:61" ht="15.95" customHeight="1">
      <c r="A393" s="555" t="s">
        <v>838</v>
      </c>
      <c r="B393" s="903"/>
      <c r="C393" s="800"/>
      <c r="D393" s="800"/>
      <c r="E393" s="800"/>
      <c r="F393" s="800"/>
      <c r="G393" s="800"/>
      <c r="H393" s="1013"/>
      <c r="I393" s="1013"/>
      <c r="J393" s="800"/>
      <c r="K393" s="973"/>
      <c r="L393" s="973"/>
      <c r="M393" s="676"/>
      <c r="N393" s="687"/>
      <c r="O393" s="687"/>
      <c r="P393" s="973"/>
      <c r="Q393" s="917"/>
      <c r="R393" s="918"/>
      <c r="S393" s="69"/>
      <c r="T393" s="69"/>
      <c r="U393" s="161"/>
      <c r="V393" s="161"/>
      <c r="W393" s="161"/>
      <c r="X393" s="161"/>
      <c r="Y393" s="161"/>
      <c r="Z393" s="161"/>
      <c r="AA393" s="551"/>
      <c r="AB393" s="552"/>
      <c r="AC393" s="13"/>
      <c r="AD393" s="13"/>
      <c r="AE393" s="13"/>
      <c r="AF393" s="13"/>
      <c r="AG393" s="13"/>
      <c r="AH393" s="13"/>
      <c r="AI393" s="13"/>
      <c r="AJ393" s="13"/>
      <c r="AL393" s="13"/>
      <c r="AW393" s="13"/>
    </row>
    <row r="394" spans="1:61" ht="15.95" customHeight="1">
      <c r="A394" s="919" t="s">
        <v>1192</v>
      </c>
      <c r="B394" s="857" t="s">
        <v>382</v>
      </c>
      <c r="C394" s="857">
        <v>1</v>
      </c>
      <c r="D394" s="654" t="s">
        <v>47</v>
      </c>
      <c r="E394" s="940"/>
      <c r="F394" s="654" t="s">
        <v>243</v>
      </c>
      <c r="G394" s="654" t="s">
        <v>49</v>
      </c>
      <c r="H394" s="655" cm="1">
        <f t="array" aca="1" ref="H394" ca="1">IFERROR(
    INDIRECT(
        "RawData!" &amp;
        ADDRESS(
            2,
            MATCH(
                TRIM(MID(A394, SEARCH(". ", A394) + 2, LEN(A394))) &amp; ".Import_kWh",
                RawData!$1:$1,
                0
            ),
            4
        )
    ),
    0
)</f>
        <v>0</v>
      </c>
      <c r="I394" s="655" cm="1">
        <f t="array" aca="1" ref="I394" ca="1">IFERROR(
    INDIRECT(
        "RawData!" &amp;
        ADDRESS(
            COUNTA(RawData!A:A),
            MATCH(
                TRIM(MID(A394, SEARCH(". ", A394) + 2, LEN(A394))) &amp; ".Import_kWh",
                RawData!$1:$1,
                0
            ),
            4
        )
    ),
    0
)</f>
        <v>0</v>
      </c>
      <c r="J394" s="680">
        <f ca="1">(I394-H394)*C394</f>
        <v>0</v>
      </c>
      <c r="K394" s="941">
        <f ca="1">J394</f>
        <v>0</v>
      </c>
      <c r="L394" s="581" t="e">
        <f t="shared" ref="L394" ca="1" si="92">K394/J394</f>
        <v>#DIV/0!</v>
      </c>
      <c r="M394" s="990"/>
      <c r="N394" s="942"/>
      <c r="O394" s="942"/>
      <c r="P394" s="857"/>
      <c r="Q394" s="944"/>
      <c r="R394" s="945">
        <f ca="1">K394</f>
        <v>0</v>
      </c>
      <c r="S394" s="114" t="s">
        <v>120</v>
      </c>
      <c r="T394" s="115" t="s">
        <v>518</v>
      </c>
      <c r="U394" s="13"/>
      <c r="V394" s="161"/>
      <c r="W394" s="161"/>
      <c r="X394" s="161"/>
      <c r="Y394" s="161"/>
      <c r="Z394" s="161"/>
      <c r="AA394" s="551"/>
      <c r="AB394" s="552"/>
      <c r="AC394" s="13"/>
      <c r="AD394" s="13"/>
      <c r="AE394" s="13"/>
      <c r="AF394" s="13"/>
      <c r="AG394" s="13"/>
      <c r="AH394" s="13"/>
      <c r="AI394" s="13"/>
      <c r="AJ394" s="13"/>
      <c r="AL394" s="13"/>
      <c r="AW394" s="13"/>
    </row>
    <row r="395" spans="1:61" ht="15.95" customHeight="1">
      <c r="A395" s="919" t="s">
        <v>839</v>
      </c>
      <c r="B395" s="857"/>
      <c r="C395" s="857"/>
      <c r="D395" s="857"/>
      <c r="E395" s="857"/>
      <c r="F395" s="857"/>
      <c r="G395" s="857"/>
      <c r="H395" s="1014"/>
      <c r="I395" s="1014"/>
      <c r="J395" s="853"/>
      <c r="K395" s="824" t="e">
        <f ca="1">K388-(K389+K390+R394)</f>
        <v>#DIV/0!</v>
      </c>
      <c r="L395" s="581"/>
      <c r="M395" s="990"/>
      <c r="N395" s="942"/>
      <c r="O395" s="942"/>
      <c r="P395" s="857"/>
      <c r="Q395" s="944"/>
      <c r="R395" s="945" t="e">
        <f ca="1">K395</f>
        <v>#DIV/0!</v>
      </c>
      <c r="S395" s="114" t="s">
        <v>120</v>
      </c>
      <c r="T395" s="115" t="s">
        <v>518</v>
      </c>
      <c r="U395" s="13"/>
      <c r="V395" s="161"/>
      <c r="W395" s="161"/>
      <c r="X395" s="161"/>
      <c r="Y395" s="161"/>
      <c r="Z395" s="161"/>
      <c r="AA395" s="551"/>
      <c r="AB395" s="552"/>
      <c r="AC395" s="13"/>
      <c r="AD395" s="13"/>
      <c r="AE395" s="13"/>
      <c r="AF395" s="13"/>
      <c r="AH395" s="13"/>
      <c r="AI395" s="13"/>
      <c r="AJ395" s="13"/>
      <c r="AL395" s="13"/>
      <c r="AW395" s="13"/>
    </row>
    <row r="396" spans="1:61" ht="15.95" customHeight="1">
      <c r="A396" s="910" t="s">
        <v>1193</v>
      </c>
      <c r="B396" s="933" t="s">
        <v>545</v>
      </c>
      <c r="C396" s="1015">
        <v>1</v>
      </c>
      <c r="D396" s="644" t="s">
        <v>47</v>
      </c>
      <c r="E396" s="643"/>
      <c r="F396" s="644" t="s">
        <v>48</v>
      </c>
      <c r="G396" s="643" t="s">
        <v>49</v>
      </c>
      <c r="H396" s="766" cm="1">
        <f t="array" aca="1" ref="H396" ca="1">IFERROR(
    INDIRECT(
        "RawData!" &amp;
        ADDRESS(
            2,
            MATCH(
                TRIM(MID(A396, SEARCH(". ", A396) + 2, LEN(A396))) &amp; ".Import_kWh",
                RawData!$1:$1,
                0
            ),
            4
        )
    ),
    0
)</f>
        <v>0</v>
      </c>
      <c r="I396" s="766" cm="1">
        <f t="array" aca="1" ref="I396" ca="1">IFERROR(
    INDIRECT(
        "RawData!" &amp;
        ADDRESS(
            COUNTA(RawData!A:A),
            MATCH(
                TRIM(MID(A396, SEARCH(". ", A396) + 2, LEN(A396))) &amp; ".Import_kWh",
                RawData!$1:$1,
                0
            ),
            4
        )
    ),
    0
)</f>
        <v>0</v>
      </c>
      <c r="J396" s="646">
        <f ca="1">(I396-H396)*C396</f>
        <v>0</v>
      </c>
      <c r="K396" s="647" t="e">
        <f ca="1">J396*J$777/(J$5+J$65+J$72+J$81+J$89+J$138+J$212+J$285+J$306+J$373+J$388+J$396+J$397+J$450+J$463+J$471+J$513+J$564+J$603+J$646)</f>
        <v>#DIV/0!</v>
      </c>
      <c r="L396" s="912" t="e">
        <f ca="1">K396/J396</f>
        <v>#DIV/0!</v>
      </c>
      <c r="M396" s="1016"/>
      <c r="N396" s="935"/>
      <c r="O396" s="935"/>
      <c r="P396" s="933"/>
      <c r="Q396" s="989"/>
      <c r="R396" s="938" t="e">
        <f ca="1">K396</f>
        <v>#DIV/0!</v>
      </c>
      <c r="S396" s="231" t="s">
        <v>69</v>
      </c>
      <c r="T396" s="69"/>
      <c r="U396" s="13"/>
      <c r="V396" s="161"/>
      <c r="W396" s="161"/>
      <c r="X396" s="161"/>
      <c r="Y396" s="161"/>
      <c r="Z396" s="161"/>
      <c r="AA396" s="551"/>
      <c r="AB396" s="552"/>
      <c r="AC396" s="13"/>
      <c r="AD396" s="13"/>
      <c r="AE396" s="13"/>
      <c r="AF396" s="13"/>
      <c r="AH396" s="13"/>
      <c r="AI396" s="13"/>
      <c r="AJ396" s="13"/>
      <c r="AL396" s="13"/>
      <c r="AW396" s="13"/>
    </row>
    <row r="397" spans="1:61" ht="15.95" customHeight="1">
      <c r="A397" s="910" t="s">
        <v>840</v>
      </c>
      <c r="B397" s="933" t="s">
        <v>841</v>
      </c>
      <c r="C397" s="1015">
        <v>1</v>
      </c>
      <c r="D397" s="644" t="s">
        <v>47</v>
      </c>
      <c r="E397" s="643"/>
      <c r="F397" s="644" t="s">
        <v>48</v>
      </c>
      <c r="G397" s="643" t="s">
        <v>49</v>
      </c>
      <c r="H397" s="766" cm="1">
        <f t="array" aca="1" ref="H397" ca="1">IFERROR(
    INDIRECT(
        "RawData!" &amp;
        ADDRESS(
            2,
            MATCH(
                TRIM(MID(A397, SEARCH(". ", A397) + 2, LEN(A397))) &amp; ".Import_kWh",
                RawData!$1:$1,
                0
            ),
            4
        )
    ),
    0
)</f>
        <v>0</v>
      </c>
      <c r="I397" s="766" cm="1">
        <f t="array" aca="1" ref="I397" ca="1">IFERROR(
    INDIRECT(
        "RawData!" &amp;
        ADDRESS(
            COUNTA(RawData!A:A),
            MATCH(
                TRIM(MID(A397, SEARCH(". ", A397) + 2, LEN(A397))) &amp; ".Import_kWh",
                RawData!$1:$1,
                0
            ),
            4
        )
    ),
    0
)</f>
        <v>0</v>
      </c>
      <c r="J397" s="646">
        <f ca="1">(I397-H397)*C397</f>
        <v>0</v>
      </c>
      <c r="K397" s="647" t="e">
        <f ca="1">J397*J$777/(J$5+J$65+J$72+J$81+J$89+J$138+J$212+J$285+J$306+J$373+J$388+J$396+J$397+J$450+J$463+J$471+J$513+J$564+J$603+J$646)</f>
        <v>#DIV/0!</v>
      </c>
      <c r="L397" s="912" t="e">
        <f ca="1">K397/J397</f>
        <v>#DIV/0!</v>
      </c>
      <c r="M397" s="934" t="e">
        <f ca="1">R399+M400+M408+M414+M428+M438+M444+M447</f>
        <v>#DIV/0!</v>
      </c>
      <c r="N397" s="935"/>
      <c r="O397" s="935"/>
      <c r="P397" s="936"/>
      <c r="Q397" s="989"/>
      <c r="R397" s="938"/>
      <c r="S397" s="69"/>
      <c r="T397" s="69"/>
      <c r="U397" s="13"/>
      <c r="V397" s="161"/>
      <c r="W397" s="161"/>
      <c r="X397" s="161"/>
      <c r="Y397" s="161"/>
      <c r="Z397" s="161"/>
      <c r="AA397" s="551"/>
      <c r="AB397" s="552"/>
      <c r="AC397" s="13"/>
      <c r="AD397" s="13"/>
      <c r="AE397" s="13"/>
      <c r="AF397" s="13"/>
      <c r="AH397" s="13"/>
      <c r="AI397" s="13"/>
      <c r="AL397" s="13"/>
      <c r="AM397" s="13"/>
      <c r="AN397" s="13"/>
      <c r="AO397" s="13"/>
      <c r="AP397" s="13"/>
      <c r="AQ397" s="13"/>
      <c r="AR397" s="13"/>
      <c r="AS397" s="13"/>
      <c r="AT397" s="13"/>
      <c r="AU397" s="476"/>
      <c r="AW397" s="13"/>
    </row>
    <row r="398" spans="1:61" ht="15.95" customHeight="1">
      <c r="A398" s="919" t="s">
        <v>1157</v>
      </c>
      <c r="B398" s="857" t="s">
        <v>64</v>
      </c>
      <c r="C398" s="857">
        <v>1</v>
      </c>
      <c r="D398" s="1017" t="s">
        <v>47</v>
      </c>
      <c r="E398" s="654"/>
      <c r="F398" s="1017" t="s">
        <v>48</v>
      </c>
      <c r="G398" s="654" t="s">
        <v>49</v>
      </c>
      <c r="H398" s="655" cm="1">
        <f t="array" aca="1" ref="H398" ca="1">IFERROR(
    INDIRECT(
        "RawData!" &amp;
        ADDRESS(
            2,
            MATCH(
                TRIM(MID(A398, SEARCH(". ", A398) + 2, LEN(A398))) &amp; ".Import_kWh",
                RawData!$1:$1,
                0
            ),
            4
        )
    ),
    0
)</f>
        <v>0</v>
      </c>
      <c r="I398" s="655" cm="1">
        <f t="array" aca="1" ref="I398" ca="1">IFERROR(
    INDIRECT(
        "RawData!" &amp;
        ADDRESS(
            COUNTA(RawData!A:A),
            MATCH(
                TRIM(MID(A398, SEARCH(". ", A398) + 2, LEN(A398))) &amp; ".Import_kWh",
                RawData!$1:$1,
                0
            ),
            4
        )
    ),
    0
)</f>
        <v>0</v>
      </c>
      <c r="J398" s="680">
        <f ca="1">(I398-H398)*C398</f>
        <v>0</v>
      </c>
      <c r="K398" s="824" t="e">
        <f ca="1">J398*K$397/(J$398+J$400+J$408+J$414+J$428+J$438+J$444+J$447)</f>
        <v>#DIV/0!</v>
      </c>
      <c r="L398" s="581" t="e">
        <f ca="1">K398/J398</f>
        <v>#DIV/0!</v>
      </c>
      <c r="M398" s="990"/>
      <c r="N398" s="942"/>
      <c r="O398" s="942"/>
      <c r="P398" s="943"/>
      <c r="Q398" s="952"/>
      <c r="R398" s="945"/>
      <c r="S398" s="69"/>
      <c r="T398" s="69"/>
      <c r="U398" s="13"/>
      <c r="V398" s="161"/>
      <c r="W398" s="161"/>
      <c r="X398" s="161"/>
      <c r="Y398" s="161"/>
      <c r="Z398" s="161"/>
      <c r="AA398" s="551"/>
      <c r="AB398" s="552"/>
      <c r="AC398" s="13"/>
      <c r="AD398" s="13"/>
      <c r="AE398" s="13"/>
      <c r="AF398" s="13"/>
      <c r="AH398" s="13"/>
      <c r="AI398" s="13"/>
      <c r="AL398" s="13"/>
      <c r="AM398" s="13"/>
      <c r="AN398" s="13"/>
      <c r="AO398" s="13"/>
      <c r="AP398" s="13"/>
      <c r="AQ398" s="13"/>
      <c r="AR398" s="13"/>
      <c r="AS398" s="13"/>
      <c r="AT398" s="13"/>
      <c r="AU398" s="476"/>
      <c r="AW398" s="13"/>
    </row>
    <row r="399" spans="1:61" ht="15.95" customHeight="1">
      <c r="A399" s="555" t="s">
        <v>842</v>
      </c>
      <c r="B399" s="946" t="s">
        <v>717</v>
      </c>
      <c r="C399" s="946" t="s">
        <v>717</v>
      </c>
      <c r="D399" s="946"/>
      <c r="E399" s="946"/>
      <c r="F399" s="946"/>
      <c r="G399" s="946"/>
      <c r="H399" s="594"/>
      <c r="I399" s="594"/>
      <c r="J399" s="794"/>
      <c r="K399" s="1018"/>
      <c r="L399" s="840"/>
      <c r="M399" s="472">
        <v>345</v>
      </c>
      <c r="N399" s="1019"/>
      <c r="O399" s="1019"/>
      <c r="P399" s="946" t="s">
        <v>717</v>
      </c>
      <c r="Q399" s="1020" t="s">
        <v>717</v>
      </c>
      <c r="R399" s="948" t="e">
        <f ca="1">K398</f>
        <v>#DIV/0!</v>
      </c>
      <c r="S399" s="231" t="s">
        <v>69</v>
      </c>
      <c r="T399" s="69"/>
      <c r="U399" s="13"/>
      <c r="V399" s="161"/>
      <c r="W399" s="161"/>
      <c r="X399" s="161"/>
      <c r="Y399" s="161"/>
      <c r="Z399" s="161"/>
      <c r="AA399" s="551"/>
      <c r="AB399" s="552"/>
      <c r="AC399" s="13"/>
      <c r="AD399" s="13"/>
      <c r="AE399" s="13"/>
      <c r="AF399" s="13"/>
      <c r="AH399" s="13"/>
      <c r="AI399" s="13"/>
      <c r="AL399" s="13"/>
      <c r="AM399" s="13"/>
      <c r="AN399" s="13"/>
      <c r="AO399" s="13"/>
      <c r="AP399" s="13"/>
      <c r="AQ399" s="13"/>
      <c r="AR399" s="13"/>
      <c r="AS399" s="13"/>
      <c r="AT399" s="13"/>
      <c r="AU399" s="476"/>
      <c r="AW399" s="13"/>
    </row>
    <row r="400" spans="1:61" ht="15.95" customHeight="1">
      <c r="A400" s="919" t="s">
        <v>843</v>
      </c>
      <c r="B400" s="857" t="s">
        <v>64</v>
      </c>
      <c r="C400" s="857">
        <v>1</v>
      </c>
      <c r="D400" s="654" t="s">
        <v>47</v>
      </c>
      <c r="E400" s="940"/>
      <c r="F400" s="654" t="s">
        <v>243</v>
      </c>
      <c r="G400" s="654" t="s">
        <v>49</v>
      </c>
      <c r="H400" s="655" cm="1">
        <f t="array" aca="1" ref="H400" ca="1">IFERROR(
    INDIRECT(
        "RawData!" &amp;
        ADDRESS(
            2,
            MATCH(
                TRIM(MID(A400, SEARCH(". ", A400) + 2, LEN(A400))) &amp; ".Import_kWh",
                RawData!$1:$1,
                0
            ),
            4
        )
    ),
    0
)</f>
        <v>0</v>
      </c>
      <c r="I400" s="655" cm="1">
        <f t="array" aca="1" ref="I400" ca="1">IFERROR(
    INDIRECT(
        "RawData!" &amp;
        ADDRESS(
            COUNTA(RawData!A:A),
            MATCH(
                TRIM(MID(A400, SEARCH(". ", A400) + 2, LEN(A400))) &amp; ".Import_kWh",
                RawData!$1:$1,
                0
            ),
            4
        )
    ),
    0
)</f>
        <v>0</v>
      </c>
      <c r="J400" s="680">
        <f ca="1">(I400-H400)*C400</f>
        <v>0</v>
      </c>
      <c r="K400" s="824" t="e">
        <f ca="1">J400*K$397/(J$398+J$400+J$408+J$414+J$428+J$438+J$444+J$447)</f>
        <v>#DIV/0!</v>
      </c>
      <c r="L400" s="581" t="e">
        <f ca="1">K400/J400</f>
        <v>#DIV/0!</v>
      </c>
      <c r="M400" s="900" t="e">
        <f ca="1">R407+R402+R405</f>
        <v>#DIV/0!</v>
      </c>
      <c r="N400" s="942"/>
      <c r="O400" s="942"/>
      <c r="P400" s="857"/>
      <c r="Q400" s="952"/>
      <c r="R400" s="945"/>
      <c r="S400" s="69"/>
      <c r="T400" s="69"/>
      <c r="U400" s="13"/>
      <c r="V400" s="161"/>
      <c r="W400" s="161"/>
      <c r="X400" s="161"/>
      <c r="Y400" s="161"/>
      <c r="Z400" s="161"/>
      <c r="AA400" s="551"/>
      <c r="AB400" s="552"/>
      <c r="AC400" s="13"/>
      <c r="AD400" s="13"/>
      <c r="AE400" s="13"/>
      <c r="AF400" s="13"/>
      <c r="AH400" s="13"/>
      <c r="AI400" s="13"/>
      <c r="AL400" s="13"/>
      <c r="AM400" s="13"/>
      <c r="AN400" s="13"/>
      <c r="AO400" s="13"/>
      <c r="AP400" s="13"/>
      <c r="AQ400" s="13"/>
      <c r="AR400" s="13"/>
      <c r="AS400" s="13"/>
      <c r="AT400" s="13"/>
      <c r="AU400" s="476"/>
      <c r="AV400" s="13"/>
      <c r="AW400" s="13"/>
    </row>
    <row r="401" spans="1:49" ht="15.95" customHeight="1">
      <c r="A401" s="555" t="s">
        <v>844</v>
      </c>
      <c r="B401" s="794"/>
      <c r="C401" s="794"/>
      <c r="D401" s="794"/>
      <c r="E401" s="794"/>
      <c r="F401" s="794"/>
      <c r="G401" s="794"/>
      <c r="H401" s="594"/>
      <c r="I401" s="594"/>
      <c r="J401" s="949"/>
      <c r="K401" s="667" t="e">
        <f ca="1">K400-(K403+K404)</f>
        <v>#DIV/0!</v>
      </c>
      <c r="L401" s="840"/>
      <c r="M401" s="1006"/>
      <c r="N401" s="693"/>
      <c r="O401" s="693"/>
      <c r="P401" s="794"/>
      <c r="Q401" s="947"/>
      <c r="R401" s="948"/>
      <c r="S401" s="69"/>
      <c r="T401" s="69"/>
      <c r="U401" s="13"/>
      <c r="V401" s="161"/>
      <c r="W401" s="161"/>
      <c r="X401" s="161"/>
      <c r="Y401" s="161"/>
      <c r="Z401" s="161"/>
      <c r="AA401" s="551"/>
      <c r="AB401" s="552"/>
      <c r="AC401" s="13"/>
      <c r="AD401" s="13"/>
      <c r="AE401" s="13"/>
      <c r="AF401" s="13"/>
      <c r="AL401" s="13"/>
      <c r="AM401" s="13"/>
      <c r="AN401" s="13"/>
      <c r="AO401" s="13"/>
      <c r="AP401" s="13"/>
      <c r="AQ401" s="13"/>
      <c r="AR401" s="13"/>
      <c r="AS401" s="13"/>
      <c r="AT401" s="13"/>
      <c r="AU401" s="476"/>
      <c r="AV401" s="13"/>
      <c r="AW401" s="13"/>
    </row>
    <row r="402" spans="1:49" ht="15.95" customHeight="1">
      <c r="A402" s="798" t="s">
        <v>845</v>
      </c>
      <c r="B402" s="794"/>
      <c r="C402" s="794"/>
      <c r="D402" s="794"/>
      <c r="E402" s="794"/>
      <c r="F402" s="794"/>
      <c r="G402" s="794"/>
      <c r="H402" s="594"/>
      <c r="I402" s="594"/>
      <c r="J402" s="954"/>
      <c r="K402" s="954"/>
      <c r="L402" s="840"/>
      <c r="M402" s="759"/>
      <c r="N402" s="693"/>
      <c r="O402" s="693"/>
      <c r="P402" s="794"/>
      <c r="Q402" s="947"/>
      <c r="R402" s="948" t="e">
        <f ca="1">K401</f>
        <v>#DIV/0!</v>
      </c>
      <c r="S402" s="114" t="s">
        <v>426</v>
      </c>
      <c r="T402" s="115" t="s">
        <v>448</v>
      </c>
      <c r="U402" s="13"/>
      <c r="V402" s="161"/>
      <c r="W402" s="161"/>
      <c r="X402" s="161"/>
      <c r="Y402" s="161"/>
      <c r="Z402" s="161"/>
      <c r="AA402" s="551"/>
      <c r="AB402" s="552"/>
      <c r="AC402" s="13"/>
      <c r="AD402" s="13"/>
      <c r="AE402" s="13"/>
      <c r="AF402" s="13"/>
      <c r="AL402" s="13"/>
      <c r="AM402" s="13"/>
      <c r="AN402" s="13"/>
      <c r="AO402" s="13"/>
      <c r="AP402" s="13"/>
      <c r="AQ402" s="13"/>
      <c r="AR402" s="13"/>
      <c r="AS402" s="13"/>
      <c r="AT402" s="13"/>
      <c r="AU402" s="476"/>
      <c r="AV402" s="13"/>
      <c r="AW402" s="13"/>
    </row>
    <row r="403" spans="1:49" ht="15.95" customHeight="1">
      <c r="A403" s="555" t="s">
        <v>1256</v>
      </c>
      <c r="B403" s="794" t="s">
        <v>185</v>
      </c>
      <c r="C403" s="794">
        <v>1</v>
      </c>
      <c r="D403" s="595" t="s">
        <v>47</v>
      </c>
      <c r="E403" s="800"/>
      <c r="F403" s="1021" t="s">
        <v>48</v>
      </c>
      <c r="G403" s="707" t="s">
        <v>49</v>
      </c>
      <c r="H403" s="665" cm="1">
        <f t="array" aca="1" ref="H403" ca="1">IFERROR(
    INDIRECT(
        "RawData!" &amp;
        ADDRESS(
            2,
            MATCH(
                TRIM(MID(A403, SEARCH(". ", A403) + 2, LEN(A403))) &amp; ".Import_kWh",
                RawData!$1:$1,
                0
            ),
            4
        )
    ),
    0
)</f>
        <v>0</v>
      </c>
      <c r="I403" s="665" cm="1">
        <f t="array" aca="1" ref="I403" ca="1">IFERROR(
    INDIRECT(
        "RawData!" &amp;
        ADDRESS(
            COUNTA(RawData!A:A),
            MATCH(
                TRIM(MID(A403, SEARCH(". ", A403) + 2, LEN(A403))) &amp; ".Import_kWh",
                RawData!$1:$1,
                0
            ),
            4
        )
    ),
    0
)</f>
        <v>0</v>
      </c>
      <c r="J403" s="666">
        <f ca="1">(I403-H403)*C403</f>
        <v>0</v>
      </c>
      <c r="K403" s="954">
        <f ca="1">J403</f>
        <v>0</v>
      </c>
      <c r="L403" s="840"/>
      <c r="M403" s="759"/>
      <c r="N403" s="693"/>
      <c r="O403" s="693"/>
      <c r="P403" s="794"/>
      <c r="Q403" s="947"/>
      <c r="R403" s="948">
        <f ca="1">K403</f>
        <v>0</v>
      </c>
      <c r="S403" s="114" t="s">
        <v>451</v>
      </c>
      <c r="T403" s="115" t="s">
        <v>846</v>
      </c>
      <c r="U403" s="13"/>
      <c r="V403" s="161"/>
      <c r="W403" s="161"/>
      <c r="X403" s="161"/>
      <c r="Y403" s="161"/>
      <c r="Z403" s="161"/>
      <c r="AA403" s="551"/>
      <c r="AB403" s="552"/>
      <c r="AC403" s="13"/>
      <c r="AD403" s="13"/>
      <c r="AE403" s="13"/>
      <c r="AF403" s="13"/>
      <c r="AL403" s="13"/>
      <c r="AM403" s="13"/>
      <c r="AN403" s="13"/>
      <c r="AO403" s="13"/>
      <c r="AP403" s="13"/>
      <c r="AQ403" s="13"/>
      <c r="AR403" s="13"/>
      <c r="AS403" s="13"/>
      <c r="AT403" s="13"/>
      <c r="AU403" s="476"/>
      <c r="AV403" s="13"/>
      <c r="AW403" s="13"/>
    </row>
    <row r="404" spans="1:49" ht="15.95" customHeight="1">
      <c r="A404" s="555" t="s">
        <v>1257</v>
      </c>
      <c r="B404" s="794" t="s">
        <v>72</v>
      </c>
      <c r="C404" s="794">
        <v>1</v>
      </c>
      <c r="D404" s="595" t="s">
        <v>47</v>
      </c>
      <c r="E404" s="800"/>
      <c r="F404" s="1021" t="s">
        <v>48</v>
      </c>
      <c r="G404" s="595" t="s">
        <v>49</v>
      </c>
      <c r="H404" s="665" cm="1">
        <f t="array" aca="1" ref="H404" ca="1">IFERROR(
    INDIRECT(
        "RawData!" &amp;
        ADDRESS(
            2,
            MATCH(
                TRIM(MID(A404, SEARCH(". ", A404) + 2, LEN(A404))) &amp; ".Import_kWh",
                RawData!$1:$1,
                0
            ),
            4
        )
    ),
    0
)</f>
        <v>0</v>
      </c>
      <c r="I404" s="665" cm="1">
        <f t="array" aca="1" ref="I404" ca="1">IFERROR(
    INDIRECT(
        "RawData!" &amp;
        ADDRESS(
            COUNTA(RawData!A:A),
            MATCH(
                TRIM(MID(A404, SEARCH(". ", A404) + 2, LEN(A404))) &amp; ".Import_kWh",
                RawData!$1:$1,
                0
            ),
            4
        )
    ),
    0
)</f>
        <v>0</v>
      </c>
      <c r="J404" s="666">
        <f ca="1">(I404-H404)*C404</f>
        <v>0</v>
      </c>
      <c r="K404" s="667">
        <f ca="1">J404</f>
        <v>0</v>
      </c>
      <c r="L404" s="840" t="e">
        <f ca="1">K404/J404</f>
        <v>#DIV/0!</v>
      </c>
      <c r="M404" s="1006">
        <f ca="1">R407+R405</f>
        <v>0</v>
      </c>
      <c r="N404" s="693"/>
      <c r="O404" s="693"/>
      <c r="P404" s="794"/>
      <c r="Q404" s="947"/>
      <c r="R404" s="948"/>
      <c r="S404" s="69"/>
      <c r="T404" s="69"/>
      <c r="U404" s="13"/>
      <c r="V404" s="161"/>
      <c r="W404" s="161"/>
      <c r="X404" s="161"/>
      <c r="Y404" s="161"/>
      <c r="Z404" s="161"/>
      <c r="AA404" s="551"/>
      <c r="AB404" s="552"/>
      <c r="AC404" s="13"/>
      <c r="AD404" s="13"/>
      <c r="AE404" s="13"/>
      <c r="AF404" s="13"/>
      <c r="AL404" s="13"/>
      <c r="AM404" s="13"/>
      <c r="AN404" s="13"/>
      <c r="AO404" s="13"/>
      <c r="AP404" s="13"/>
      <c r="AQ404" s="13"/>
      <c r="AR404" s="13"/>
      <c r="AS404" s="13"/>
      <c r="AT404" s="13"/>
      <c r="AU404" s="476"/>
      <c r="AV404" s="13"/>
      <c r="AW404" s="13"/>
    </row>
    <row r="405" spans="1:49" ht="15.95" customHeight="1">
      <c r="A405" s="555" t="s">
        <v>847</v>
      </c>
      <c r="B405" s="794" t="s">
        <v>72</v>
      </c>
      <c r="C405" s="794">
        <v>20</v>
      </c>
      <c r="D405" s="595" t="s">
        <v>47</v>
      </c>
      <c r="E405" s="800"/>
      <c r="F405" s="595" t="s">
        <v>243</v>
      </c>
      <c r="G405" s="595" t="s">
        <v>49</v>
      </c>
      <c r="H405" s="886" cm="1">
        <f t="array" aca="1" ref="H405" ca="1">IFERROR(
    INDIRECT(
        "RawData!" &amp;
        ADDRESS(
            2,
            MATCH(
                TRIM(MID(A405, SEARCH(". ", A405) + 2, LEN(A405))) &amp; ".Import_kWh",
                RawData!$1:$1,
                0
            ),
            4
        )
    ),
    0
)</f>
        <v>0</v>
      </c>
      <c r="I405" s="886" cm="1">
        <f t="array" aca="1" ref="I405" ca="1">IFERROR(
    INDIRECT(
        "RawData!" &amp;
        ADDRESS(
            COUNTA(RawData!A:A),
            MATCH(
                TRIM(MID(A405, SEARCH(". ", A405) + 2, LEN(A405))) &amp; ".Import_kWh",
                RawData!$1:$1,
                0
            ),
            4
        )
    ),
    0
)</f>
        <v>0</v>
      </c>
      <c r="J405" s="698">
        <f ca="1">(I405-H405)*C405</f>
        <v>0</v>
      </c>
      <c r="K405" s="743">
        <f ca="1">J405</f>
        <v>0</v>
      </c>
      <c r="L405" s="1022"/>
      <c r="M405" s="953"/>
      <c r="N405" s="693"/>
      <c r="O405" s="693"/>
      <c r="P405" s="794"/>
      <c r="Q405" s="947"/>
      <c r="R405" s="948">
        <f ca="1">K405</f>
        <v>0</v>
      </c>
      <c r="S405" s="114" t="s">
        <v>583</v>
      </c>
      <c r="T405" s="115" t="s">
        <v>848</v>
      </c>
      <c r="U405" s="13"/>
      <c r="V405" s="161"/>
      <c r="W405" s="161"/>
      <c r="X405" s="161"/>
      <c r="Y405" s="161"/>
      <c r="Z405" s="161"/>
      <c r="AA405" s="551"/>
      <c r="AB405" s="552"/>
      <c r="AC405" s="13"/>
      <c r="AD405" s="13"/>
      <c r="AE405" s="13"/>
      <c r="AF405" s="13"/>
      <c r="AL405" s="13"/>
      <c r="AM405" s="13"/>
      <c r="AN405" s="13"/>
      <c r="AO405" s="13"/>
      <c r="AP405" s="13"/>
      <c r="AQ405" s="13"/>
      <c r="AR405" s="13"/>
      <c r="AS405" s="13"/>
      <c r="AT405" s="13"/>
      <c r="AU405" s="476"/>
      <c r="AV405" s="13"/>
      <c r="AW405" s="13"/>
    </row>
    <row r="406" spans="1:49" ht="15.95" customHeight="1">
      <c r="A406" s="1023"/>
      <c r="B406" s="794"/>
      <c r="C406" s="794"/>
      <c r="D406" s="595"/>
      <c r="E406" s="800"/>
      <c r="F406" s="595"/>
      <c r="G406" s="595"/>
      <c r="H406" s="907"/>
      <c r="I406" s="907"/>
      <c r="J406" s="698"/>
      <c r="K406" s="699"/>
      <c r="L406" s="1024"/>
      <c r="M406" s="953"/>
      <c r="N406" s="693"/>
      <c r="O406" s="693"/>
      <c r="P406" s="794"/>
      <c r="Q406" s="947"/>
      <c r="R406" s="948"/>
      <c r="S406" s="69"/>
      <c r="T406" s="69"/>
      <c r="U406" s="13"/>
      <c r="V406" s="161"/>
      <c r="W406" s="161"/>
      <c r="X406" s="161"/>
      <c r="Y406" s="161"/>
      <c r="Z406" s="161"/>
      <c r="AA406" s="551"/>
      <c r="AB406" s="552"/>
      <c r="AC406" s="13"/>
      <c r="AD406" s="13"/>
      <c r="AE406" s="13"/>
      <c r="AF406" s="13"/>
      <c r="AL406" s="13"/>
      <c r="AM406" s="13"/>
      <c r="AN406" s="13"/>
      <c r="AO406" s="13"/>
      <c r="AP406" s="13"/>
      <c r="AQ406" s="13"/>
      <c r="AR406" s="13"/>
      <c r="AS406" s="13"/>
      <c r="AT406" s="13"/>
      <c r="AU406" s="476"/>
      <c r="AV406" s="13"/>
      <c r="AW406" s="13"/>
    </row>
    <row r="407" spans="1:49" ht="15.95" customHeight="1">
      <c r="A407" s="555" t="s">
        <v>849</v>
      </c>
      <c r="B407" s="901"/>
      <c r="C407" s="946"/>
      <c r="D407" s="946"/>
      <c r="E407" s="946"/>
      <c r="F407" s="946"/>
      <c r="G407" s="946"/>
      <c r="H407" s="1025"/>
      <c r="I407" s="1025"/>
      <c r="J407" s="698"/>
      <c r="K407" s="1026">
        <f ca="1">K404-K405</f>
        <v>0</v>
      </c>
      <c r="L407" s="840"/>
      <c r="M407" s="455">
        <v>45</v>
      </c>
      <c r="N407" s="693">
        <v>0</v>
      </c>
      <c r="O407" s="693">
        <v>0</v>
      </c>
      <c r="P407" s="794"/>
      <c r="Q407" s="947"/>
      <c r="R407" s="948">
        <f ca="1">K407</f>
        <v>0</v>
      </c>
      <c r="S407" s="114" t="s">
        <v>583</v>
      </c>
      <c r="T407" s="115" t="s">
        <v>586</v>
      </c>
      <c r="U407" s="13"/>
      <c r="V407" s="161"/>
      <c r="W407" s="161"/>
      <c r="X407" s="161"/>
      <c r="Y407" s="161"/>
      <c r="Z407" s="161"/>
      <c r="AA407" s="551"/>
      <c r="AB407" s="552"/>
      <c r="AC407" s="13"/>
      <c r="AD407" s="13"/>
      <c r="AE407" s="13"/>
      <c r="AF407" s="13"/>
      <c r="AL407" s="13"/>
      <c r="AM407" s="13"/>
      <c r="AN407" s="13"/>
      <c r="AO407" s="13"/>
      <c r="AP407" s="13"/>
      <c r="AQ407" s="13"/>
      <c r="AR407" s="13"/>
      <c r="AS407" s="13"/>
      <c r="AT407" s="13"/>
      <c r="AU407" s="476"/>
      <c r="AV407" s="13"/>
      <c r="AW407" s="13"/>
    </row>
    <row r="408" spans="1:49" ht="15.95" customHeight="1">
      <c r="A408" s="919" t="s">
        <v>1258</v>
      </c>
      <c r="B408" s="857" t="s">
        <v>64</v>
      </c>
      <c r="C408" s="857">
        <v>1</v>
      </c>
      <c r="D408" s="654" t="s">
        <v>47</v>
      </c>
      <c r="E408" s="940"/>
      <c r="F408" s="654" t="s">
        <v>243</v>
      </c>
      <c r="G408" s="654" t="s">
        <v>49</v>
      </c>
      <c r="H408" s="655" cm="1">
        <f t="array" aca="1" ref="H408" ca="1">IFERROR(
    INDIRECT(
        "RawData!" &amp;
        ADDRESS(
            2,
            MATCH(
                TRIM(MID(A408, SEARCH(". ", A408) + 2, LEN(A408))) &amp; ".Import_kWh",
                RawData!$1:$1,
                0
            ),
            4
        )
    ),
    0
)</f>
        <v>0</v>
      </c>
      <c r="I408" s="655" cm="1">
        <f t="array" aca="1" ref="I408" ca="1">IFERROR(
    INDIRECT(
        "RawData!" &amp;
        ADDRESS(
            COUNTA(RawData!A:A),
            MATCH(
                TRIM(MID(A408, SEARCH(". ", A408) + 2, LEN(A408))) &amp; ".Import_kWh",
                RawData!$1:$1,
                0
            ),
            4
        )
    ),
    0
)</f>
        <v>0</v>
      </c>
      <c r="J408" s="680">
        <f ca="1">(I408-H408)*C408</f>
        <v>0</v>
      </c>
      <c r="K408" s="824" t="e">
        <f ca="1">J408*K$397/(J$398+J$400+J$408+J$414+J$428+J$438+J$444+J$447)</f>
        <v>#DIV/0!</v>
      </c>
      <c r="L408" s="581" t="e">
        <f ca="1">K408/J408</f>
        <v>#DIV/0!</v>
      </c>
      <c r="M408" s="900" t="e">
        <f ca="1">R410+R413</f>
        <v>#DIV/0!</v>
      </c>
      <c r="N408" s="942"/>
      <c r="O408" s="942"/>
      <c r="P408" s="857"/>
      <c r="Q408" s="952"/>
      <c r="R408" s="945"/>
      <c r="S408" s="69"/>
      <c r="T408" s="69"/>
      <c r="U408" s="13"/>
      <c r="V408" s="161"/>
      <c r="W408" s="161"/>
      <c r="X408" s="161"/>
      <c r="Y408" s="161"/>
      <c r="Z408" s="161"/>
      <c r="AA408" s="551"/>
      <c r="AB408" s="552"/>
      <c r="AC408" s="13"/>
      <c r="AD408" s="13"/>
      <c r="AE408" s="13"/>
      <c r="AF408" s="13"/>
      <c r="AL408" s="13"/>
      <c r="AM408" s="13"/>
      <c r="AN408" s="13"/>
      <c r="AO408" s="13"/>
      <c r="AP408" s="13"/>
      <c r="AQ408" s="13"/>
      <c r="AR408" s="13"/>
      <c r="AS408" s="13"/>
      <c r="AT408" s="13"/>
      <c r="AU408" s="476"/>
      <c r="AV408" s="13"/>
      <c r="AW408" s="13"/>
    </row>
    <row r="409" spans="1:49" ht="15.95" customHeight="1">
      <c r="A409" s="555" t="s">
        <v>850</v>
      </c>
      <c r="B409" s="794"/>
      <c r="C409" s="794"/>
      <c r="D409" s="794"/>
      <c r="E409" s="794"/>
      <c r="F409" s="794"/>
      <c r="G409" s="794"/>
      <c r="H409" s="594"/>
      <c r="I409" s="594"/>
      <c r="J409" s="794"/>
      <c r="K409" s="667" t="e">
        <f ca="1">K408-K412</f>
        <v>#DIV/0!</v>
      </c>
      <c r="L409" s="840"/>
      <c r="M409" s="953"/>
      <c r="N409" s="693"/>
      <c r="O409" s="693"/>
      <c r="P409" s="794"/>
      <c r="Q409" s="947"/>
      <c r="R409" s="948"/>
      <c r="S409" s="69"/>
      <c r="T409" s="69"/>
      <c r="U409" s="13"/>
      <c r="V409" s="161"/>
      <c r="W409" s="161"/>
      <c r="X409" s="161"/>
      <c r="Y409" s="161"/>
      <c r="Z409" s="161"/>
      <c r="AA409" s="551"/>
      <c r="AB409" s="552"/>
      <c r="AC409" s="13"/>
      <c r="AD409" s="13"/>
      <c r="AE409" s="13"/>
      <c r="AF409" s="13"/>
      <c r="AL409" s="13"/>
      <c r="AM409" s="13"/>
      <c r="AN409" s="13"/>
      <c r="AO409" s="13"/>
      <c r="AP409" s="13"/>
      <c r="AQ409" s="13"/>
      <c r="AR409" s="13"/>
      <c r="AS409" s="13"/>
      <c r="AT409" s="13"/>
      <c r="AU409" s="476"/>
      <c r="AV409" s="13"/>
      <c r="AW409" s="13"/>
    </row>
    <row r="410" spans="1:49" ht="15.95" customHeight="1">
      <c r="A410" s="555" t="s">
        <v>851</v>
      </c>
      <c r="B410" s="901"/>
      <c r="C410" s="794"/>
      <c r="D410" s="794"/>
      <c r="E410" s="794"/>
      <c r="F410" s="794"/>
      <c r="G410" s="794"/>
      <c r="H410" s="594"/>
      <c r="I410" s="594"/>
      <c r="J410" s="794"/>
      <c r="K410" s="954"/>
      <c r="L410" s="840"/>
      <c r="M410" s="455">
        <v>23.82</v>
      </c>
      <c r="N410" s="693">
        <v>0</v>
      </c>
      <c r="O410" s="693">
        <v>0</v>
      </c>
      <c r="P410" s="794"/>
      <c r="Q410" s="947"/>
      <c r="R410" s="948" t="e">
        <f ca="1">K409+K412</f>
        <v>#DIV/0!</v>
      </c>
      <c r="S410" s="114" t="s">
        <v>546</v>
      </c>
      <c r="T410" s="115" t="s">
        <v>549</v>
      </c>
      <c r="U410" s="13"/>
      <c r="V410" s="161"/>
      <c r="W410" s="161"/>
      <c r="X410" s="161"/>
      <c r="Y410" s="161"/>
      <c r="Z410" s="161"/>
      <c r="AA410" s="551"/>
      <c r="AB410" s="552"/>
      <c r="AC410" s="13"/>
      <c r="AD410" s="13"/>
      <c r="AE410" s="13"/>
      <c r="AF410" s="13"/>
      <c r="AL410" s="13"/>
      <c r="AM410" s="13"/>
      <c r="AN410" s="13"/>
      <c r="AO410" s="13"/>
      <c r="AP410" s="13"/>
      <c r="AQ410" s="13"/>
      <c r="AR410" s="13"/>
      <c r="AS410" s="13"/>
      <c r="AT410" s="13"/>
      <c r="AU410" s="476"/>
      <c r="AV410" s="13"/>
      <c r="AW410" s="13"/>
    </row>
    <row r="411" spans="1:49" ht="15.95" customHeight="1">
      <c r="A411" s="798" t="s">
        <v>852</v>
      </c>
      <c r="B411" s="794"/>
      <c r="C411" s="794"/>
      <c r="D411" s="794"/>
      <c r="E411" s="794"/>
      <c r="F411" s="794"/>
      <c r="G411" s="794"/>
      <c r="H411" s="594"/>
      <c r="I411" s="594"/>
      <c r="J411" s="800"/>
      <c r="K411" s="954"/>
      <c r="L411" s="840"/>
      <c r="M411" s="455"/>
      <c r="N411" s="693"/>
      <c r="O411" s="693"/>
      <c r="P411" s="794"/>
      <c r="Q411" s="947"/>
      <c r="R411" s="948"/>
      <c r="S411" s="69"/>
      <c r="T411" s="69"/>
      <c r="U411" s="13"/>
      <c r="V411" s="161"/>
      <c r="W411" s="161"/>
      <c r="X411" s="161"/>
      <c r="Y411" s="161"/>
      <c r="Z411" s="161"/>
      <c r="AA411" s="551"/>
      <c r="AB411" s="552"/>
      <c r="AC411" s="13"/>
      <c r="AD411" s="13"/>
      <c r="AE411" s="13"/>
      <c r="AF411" s="13"/>
      <c r="AL411" s="13"/>
      <c r="AM411" s="13"/>
      <c r="AN411" s="13"/>
      <c r="AO411" s="13"/>
      <c r="AP411" s="13"/>
      <c r="AQ411" s="13"/>
      <c r="AR411" s="13"/>
      <c r="AS411" s="13"/>
      <c r="AT411" s="13"/>
      <c r="AU411" s="476"/>
      <c r="AV411" s="13"/>
    </row>
    <row r="412" spans="1:49" ht="15.95" customHeight="1">
      <c r="A412" s="555" t="s">
        <v>853</v>
      </c>
      <c r="B412" s="794" t="s">
        <v>447</v>
      </c>
      <c r="C412" s="794">
        <v>1</v>
      </c>
      <c r="D412" s="901" t="s">
        <v>824</v>
      </c>
      <c r="E412" s="794"/>
      <c r="F412" s="794"/>
      <c r="G412" s="794"/>
      <c r="H412" s="594"/>
      <c r="I412" s="594"/>
      <c r="J412" s="673">
        <f>(I412-H412)*C412</f>
        <v>0</v>
      </c>
      <c r="K412" s="802">
        <f>J412</f>
        <v>0</v>
      </c>
      <c r="L412" s="840"/>
      <c r="M412" s="472"/>
      <c r="N412" s="693"/>
      <c r="O412" s="693"/>
      <c r="P412" s="794"/>
      <c r="Q412" s="947"/>
      <c r="R412" s="948"/>
      <c r="S412" s="69"/>
      <c r="T412" s="69"/>
      <c r="U412" s="13"/>
      <c r="V412" s="161"/>
      <c r="W412" s="161"/>
      <c r="X412" s="161"/>
      <c r="Y412" s="161"/>
      <c r="Z412" s="161"/>
      <c r="AA412" s="551"/>
      <c r="AB412" s="552"/>
      <c r="AC412" s="13"/>
      <c r="AD412" s="13"/>
      <c r="AE412" s="13"/>
      <c r="AF412" s="13"/>
      <c r="AL412" s="13"/>
      <c r="AM412" s="13"/>
      <c r="AN412" s="13"/>
      <c r="AO412" s="13"/>
      <c r="AP412" s="13"/>
      <c r="AQ412" s="13"/>
      <c r="AR412" s="13"/>
      <c r="AS412" s="13"/>
      <c r="AT412" s="13"/>
      <c r="AU412" s="476"/>
      <c r="AV412" s="13"/>
    </row>
    <row r="413" spans="1:49" ht="15.95" customHeight="1">
      <c r="A413" s="555" t="s">
        <v>854</v>
      </c>
      <c r="B413" s="903"/>
      <c r="C413" s="800"/>
      <c r="D413" s="800"/>
      <c r="E413" s="800"/>
      <c r="F413" s="800"/>
      <c r="G413" s="800"/>
      <c r="H413" s="594"/>
      <c r="I413" s="594"/>
      <c r="J413" s="673"/>
      <c r="K413" s="802"/>
      <c r="L413" s="840"/>
      <c r="M413" s="472"/>
      <c r="N413" s="693"/>
      <c r="O413" s="693"/>
      <c r="P413" s="794"/>
      <c r="Q413" s="947"/>
      <c r="R413" s="948"/>
      <c r="S413" s="69"/>
      <c r="T413" s="69"/>
      <c r="U413" s="13"/>
      <c r="V413" s="161"/>
      <c r="W413" s="161"/>
      <c r="X413" s="161"/>
      <c r="Y413" s="161"/>
      <c r="Z413" s="161"/>
      <c r="AA413" s="551"/>
      <c r="AB413" s="552"/>
      <c r="AC413" s="13"/>
      <c r="AD413" s="13"/>
      <c r="AE413" s="13"/>
      <c r="AF413" s="13"/>
      <c r="AL413" s="13"/>
      <c r="AM413" s="13"/>
      <c r="AN413" s="13"/>
      <c r="AO413" s="13"/>
      <c r="AP413" s="13"/>
      <c r="AQ413" s="13"/>
      <c r="AR413" s="13"/>
      <c r="AS413" s="13"/>
      <c r="AT413" s="13"/>
      <c r="AU413" s="476"/>
      <c r="AV413" s="13"/>
    </row>
    <row r="414" spans="1:49" ht="15.95" customHeight="1">
      <c r="A414" s="919" t="s">
        <v>855</v>
      </c>
      <c r="B414" s="857" t="s">
        <v>64</v>
      </c>
      <c r="C414" s="857">
        <v>1</v>
      </c>
      <c r="D414" s="654" t="s">
        <v>47</v>
      </c>
      <c r="E414" s="940"/>
      <c r="F414" s="654" t="s">
        <v>243</v>
      </c>
      <c r="G414" s="654" t="s">
        <v>49</v>
      </c>
      <c r="H414" s="655" cm="1">
        <f t="array" aca="1" ref="H414" ca="1">IFERROR(
    INDIRECT(
        "RawData!" &amp;
        ADDRESS(
            2,
            MATCH(
                TRIM(MID(A414, SEARCH(". ", A414) + 2, LEN(A414))) &amp; ".Import_kWh",
                RawData!$1:$1,
                0
            ),
            4
        )
    ),
    0
)</f>
        <v>0</v>
      </c>
      <c r="I414" s="655" cm="1">
        <f t="array" aca="1" ref="I414" ca="1">IFERROR(
    INDIRECT(
        "RawData!" &amp;
        ADDRESS(
            COUNTA(RawData!A:A),
            MATCH(
                TRIM(MID(A414, SEARCH(". ", A414) + 2, LEN(A414))) &amp; ".Import_kWh",
                RawData!$1:$1,
                0
            ),
            4
        )
    ),
    0
)</f>
        <v>0</v>
      </c>
      <c r="J414" s="680">
        <f ca="1">(I414-H414)*C414</f>
        <v>0</v>
      </c>
      <c r="K414" s="824" t="e">
        <f ca="1">J414*K$397/(J$398+J$400+J$408+J$414+J$428+J$438+J$444+J$447)</f>
        <v>#DIV/0!</v>
      </c>
      <c r="L414" s="581" t="e">
        <f ca="1">K414/J414</f>
        <v>#DIV/0!</v>
      </c>
      <c r="M414" s="900" t="e">
        <f ca="1">R415+R417+R422+R423+R425+R426+R427</f>
        <v>#DIV/0!</v>
      </c>
      <c r="N414" s="942"/>
      <c r="O414" s="942"/>
      <c r="P414" s="857"/>
      <c r="Q414" s="952"/>
      <c r="R414" s="945"/>
      <c r="S414" s="69"/>
      <c r="T414" s="69"/>
      <c r="U414" s="13"/>
      <c r="V414" s="161"/>
      <c r="W414" s="161"/>
      <c r="X414" s="161"/>
      <c r="Y414" s="161"/>
      <c r="Z414" s="161"/>
      <c r="AA414" s="551"/>
      <c r="AB414" s="552"/>
      <c r="AC414" s="13"/>
      <c r="AD414" s="13"/>
      <c r="AE414" s="13"/>
      <c r="AF414" s="13"/>
      <c r="AL414" s="13"/>
      <c r="AM414" s="13"/>
      <c r="AN414" s="13"/>
      <c r="AO414" s="13"/>
      <c r="AP414" s="13"/>
      <c r="AQ414" s="13"/>
      <c r="AR414" s="13"/>
      <c r="AS414" s="13"/>
      <c r="AT414" s="13"/>
      <c r="AU414" s="476"/>
      <c r="AV414" s="13"/>
    </row>
    <row r="415" spans="1:49" ht="15.95" customHeight="1">
      <c r="A415" s="555" t="s">
        <v>1153</v>
      </c>
      <c r="B415" s="794" t="s">
        <v>382</v>
      </c>
      <c r="C415" s="794">
        <v>20</v>
      </c>
      <c r="D415" s="595" t="s">
        <v>645</v>
      </c>
      <c r="E415" s="774" t="s">
        <v>336</v>
      </c>
      <c r="F415" s="595" t="s">
        <v>243</v>
      </c>
      <c r="G415" s="595" t="s">
        <v>49</v>
      </c>
      <c r="H415" s="665" cm="1">
        <f t="array" aca="1" ref="H415" ca="1">IFERROR(
    INDIRECT(
        "RawData!" &amp;
        ADDRESS(
            2,
            MATCH(
                TRIM(MID(A415, SEARCH(". ", A415) + 2, LEN(A415))) &amp; ".Import_kWh",
                RawData!$1:$1,
                0
            ),
            4
        )
    ),
    0
)</f>
        <v>0</v>
      </c>
      <c r="I415" s="665" cm="1">
        <f t="array" aca="1" ref="I415" ca="1">IFERROR(
    INDIRECT(
        "RawData!" &amp;
        ADDRESS(
            COUNTA(RawData!A:A),
            MATCH(
                TRIM(MID(A415, SEARCH(". ", A415) + 2, LEN(A415))) &amp; ".Import_kWh",
                RawData!$1:$1,
                0
            ),
            4
        )
    ),
    0
)</f>
        <v>0</v>
      </c>
      <c r="J415" s="673">
        <f ca="1">(I415-H415)*C415</f>
        <v>0</v>
      </c>
      <c r="K415" s="802">
        <f ca="1">J415</f>
        <v>0</v>
      </c>
      <c r="L415" s="840" t="e">
        <f ca="1">K415/J415</f>
        <v>#DIV/0!</v>
      </c>
      <c r="M415" s="455"/>
      <c r="N415" s="693"/>
      <c r="O415" s="693"/>
      <c r="P415" s="794"/>
      <c r="Q415" s="947"/>
      <c r="R415" s="948">
        <f ca="1">K415</f>
        <v>0</v>
      </c>
      <c r="S415" s="114" t="s">
        <v>85</v>
      </c>
      <c r="T415" s="283" t="s">
        <v>193</v>
      </c>
      <c r="U415" s="13"/>
      <c r="V415" s="161"/>
      <c r="W415" s="161"/>
      <c r="X415" s="161"/>
      <c r="Y415" s="161"/>
      <c r="Z415" s="161"/>
      <c r="AA415" s="551"/>
      <c r="AB415" s="552"/>
      <c r="AC415" s="13"/>
      <c r="AD415" s="13"/>
      <c r="AE415" s="13"/>
      <c r="AL415" s="13"/>
      <c r="AM415" s="13"/>
      <c r="AN415" s="13"/>
      <c r="AO415" s="13"/>
      <c r="AP415" s="13"/>
      <c r="AQ415" s="13"/>
      <c r="AR415" s="13"/>
      <c r="AS415" s="13"/>
      <c r="AT415" s="13"/>
      <c r="AU415" s="476"/>
      <c r="AV415" s="13"/>
    </row>
    <row r="416" spans="1:49" ht="15.95" customHeight="1">
      <c r="A416" s="555"/>
      <c r="B416" s="794"/>
      <c r="C416" s="794"/>
      <c r="D416" s="794"/>
      <c r="E416" s="794"/>
      <c r="F416" s="794"/>
      <c r="G416" s="794"/>
      <c r="H416" s="594"/>
      <c r="I416" s="594"/>
      <c r="J416" s="673"/>
      <c r="K416" s="802"/>
      <c r="L416" s="840"/>
      <c r="M416" s="953">
        <f>R418+R419</f>
        <v>0</v>
      </c>
      <c r="N416" s="693"/>
      <c r="O416" s="693"/>
      <c r="P416" s="794"/>
      <c r="Q416" s="947"/>
      <c r="R416" s="948"/>
      <c r="S416" s="69"/>
      <c r="T416" s="69"/>
      <c r="U416" s="13"/>
      <c r="V416" s="161"/>
      <c r="W416" s="161"/>
      <c r="X416" s="161"/>
      <c r="Y416" s="161"/>
      <c r="Z416" s="161"/>
      <c r="AA416" s="551"/>
      <c r="AB416" s="552"/>
      <c r="AC416" s="13"/>
      <c r="AD416" s="13"/>
      <c r="AE416" s="13"/>
      <c r="AL416" s="13"/>
      <c r="AM416" s="13"/>
      <c r="AN416" s="13"/>
      <c r="AO416" s="13"/>
      <c r="AP416" s="13"/>
      <c r="AQ416" s="13"/>
      <c r="AR416" s="13"/>
      <c r="AS416" s="13"/>
      <c r="AT416" s="13"/>
      <c r="AU416" s="476"/>
      <c r="AV416" s="13"/>
    </row>
    <row r="417" spans="1:48" ht="15.95" customHeight="1">
      <c r="A417" s="804" t="s">
        <v>1194</v>
      </c>
      <c r="B417" s="965" t="s">
        <v>512</v>
      </c>
      <c r="C417" s="965">
        <v>1</v>
      </c>
      <c r="D417" s="965"/>
      <c r="E417" s="965"/>
      <c r="F417" s="1027" t="s">
        <v>48</v>
      </c>
      <c r="G417" s="696" t="s">
        <v>49</v>
      </c>
      <c r="H417" s="886" cm="1">
        <f t="array" aca="1" ref="H417" ca="1">IFERROR(
    INDIRECT(
        "RawData!" &amp;
        ADDRESS(
            2,
            MATCH(
                TRIM(MID(A417, SEARCH(". ", A417) + 2, LEN(A417))) &amp; ".Import_kWh",
                RawData!$1:$1,
                0
            ),
            4
        )
    ),
    0
)</f>
        <v>0</v>
      </c>
      <c r="I417" s="886" cm="1">
        <f t="array" aca="1" ref="I417" ca="1">IFERROR(
    INDIRECT(
        "RawData!" &amp;
        ADDRESS(
            COUNTA(RawData!A:A),
            MATCH(
                TRIM(MID(A417, SEARCH(". ", A417) + 2, LEN(A417))) &amp; ".Import_kWh",
                RawData!$1:$1,
                0
            ),
            4
        )
    ),
    0
)</f>
        <v>0</v>
      </c>
      <c r="J417" s="742">
        <f ca="1">(I417-H417)*C417</f>
        <v>0</v>
      </c>
      <c r="K417" s="1000">
        <f ca="1">J417</f>
        <v>0</v>
      </c>
      <c r="L417" s="967"/>
      <c r="M417" s="1001"/>
      <c r="N417" s="968"/>
      <c r="O417" s="968"/>
      <c r="P417" s="965"/>
      <c r="Q417" s="969"/>
      <c r="R417" s="970">
        <f ca="1">K417</f>
        <v>0</v>
      </c>
      <c r="S417" s="69"/>
      <c r="T417" s="69"/>
      <c r="U417" s="13"/>
      <c r="V417" s="13"/>
      <c r="W417" s="13"/>
      <c r="X417" s="13"/>
      <c r="Y417" s="13"/>
      <c r="Z417" s="13"/>
      <c r="AA417" s="551"/>
      <c r="AB417" s="552"/>
      <c r="AD417" s="13"/>
      <c r="AE417" s="13"/>
      <c r="AM417" s="13"/>
      <c r="AN417" s="13"/>
      <c r="AO417" s="13"/>
      <c r="AP417" s="13"/>
      <c r="AQ417" s="13"/>
      <c r="AR417" s="13"/>
      <c r="AS417" s="13"/>
      <c r="AT417" s="13"/>
      <c r="AU417" s="476"/>
      <c r="AV417" s="13"/>
    </row>
    <row r="418" spans="1:48" ht="15.95" customHeight="1">
      <c r="A418" s="804" t="s">
        <v>856</v>
      </c>
      <c r="B418" s="1028"/>
      <c r="C418" s="965"/>
      <c r="D418" s="965"/>
      <c r="E418" s="965"/>
      <c r="F418" s="965"/>
      <c r="G418" s="965"/>
      <c r="H418" s="737"/>
      <c r="I418" s="737"/>
      <c r="J418" s="888"/>
      <c r="K418" s="1029"/>
      <c r="L418" s="967"/>
      <c r="M418" s="1030"/>
      <c r="N418" s="968"/>
      <c r="O418" s="968"/>
      <c r="P418" s="965"/>
      <c r="Q418" s="969"/>
      <c r="R418" s="970"/>
      <c r="S418" s="115"/>
      <c r="T418" s="115"/>
      <c r="U418" s="13"/>
      <c r="V418" s="13"/>
      <c r="W418" s="13"/>
      <c r="X418" s="13"/>
      <c r="Y418" s="13"/>
      <c r="Z418" s="13"/>
      <c r="AA418" s="551"/>
      <c r="AB418" s="552"/>
      <c r="AD418" s="13"/>
      <c r="AE418" s="13"/>
      <c r="AM418" s="13"/>
      <c r="AN418" s="13"/>
      <c r="AO418" s="13"/>
      <c r="AP418" s="13"/>
      <c r="AQ418" s="13"/>
      <c r="AR418" s="13"/>
      <c r="AS418" s="13"/>
      <c r="AT418" s="13"/>
      <c r="AU418" s="476"/>
      <c r="AV418" s="13"/>
    </row>
    <row r="419" spans="1:48" ht="15.95" customHeight="1">
      <c r="A419" s="555"/>
      <c r="B419" s="794"/>
      <c r="C419" s="794"/>
      <c r="D419" s="794"/>
      <c r="E419" s="794"/>
      <c r="F419" s="794"/>
      <c r="G419" s="794"/>
      <c r="H419" s="594"/>
      <c r="I419" s="594"/>
      <c r="J419" s="673"/>
      <c r="K419" s="973"/>
      <c r="L419" s="840"/>
      <c r="M419" s="472"/>
      <c r="N419" s="693"/>
      <c r="O419" s="693"/>
      <c r="P419" s="794"/>
      <c r="Q419" s="947"/>
      <c r="R419" s="948"/>
      <c r="S419" s="69"/>
      <c r="T419" s="69"/>
      <c r="V419" s="13"/>
      <c r="W419" s="13"/>
      <c r="X419" s="13"/>
      <c r="Y419" s="13"/>
      <c r="Z419" s="13"/>
      <c r="AA419" s="551"/>
      <c r="AB419" s="552"/>
      <c r="AD419" s="13"/>
      <c r="AM419" s="13"/>
      <c r="AN419" s="13"/>
      <c r="AO419" s="13"/>
      <c r="AP419" s="13"/>
      <c r="AQ419" s="13"/>
      <c r="AR419" s="13"/>
      <c r="AS419" s="13"/>
      <c r="AT419" s="13"/>
      <c r="AU419" s="476"/>
      <c r="AV419" s="13"/>
    </row>
    <row r="420" spans="1:48" ht="15.95" customHeight="1">
      <c r="A420" s="798"/>
      <c r="B420" s="794"/>
      <c r="C420" s="794"/>
      <c r="D420" s="794"/>
      <c r="E420" s="794"/>
      <c r="F420" s="794"/>
      <c r="G420" s="794"/>
      <c r="H420" s="594"/>
      <c r="I420" s="594"/>
      <c r="J420" s="673"/>
      <c r="K420" s="973"/>
      <c r="L420" s="840"/>
      <c r="M420" s="472"/>
      <c r="N420" s="693"/>
      <c r="O420" s="693"/>
      <c r="P420" s="794"/>
      <c r="Q420" s="947"/>
      <c r="R420" s="948"/>
      <c r="S420" s="69"/>
      <c r="T420" s="69"/>
      <c r="V420" s="13"/>
      <c r="W420" s="13"/>
      <c r="X420" s="13"/>
      <c r="Y420" s="13"/>
      <c r="Z420" s="13"/>
      <c r="AA420" s="551"/>
      <c r="AB420" s="552"/>
      <c r="AD420" s="13"/>
      <c r="AM420" s="13"/>
      <c r="AN420" s="13"/>
      <c r="AO420" s="13"/>
      <c r="AP420" s="13"/>
      <c r="AQ420" s="13"/>
      <c r="AR420" s="13"/>
      <c r="AS420" s="13"/>
      <c r="AT420" s="13"/>
      <c r="AU420" s="476"/>
      <c r="AV420" s="13"/>
    </row>
    <row r="421" spans="1:48" ht="15.95" customHeight="1">
      <c r="A421" s="804" t="s">
        <v>857</v>
      </c>
      <c r="B421" s="965" t="s">
        <v>64</v>
      </c>
      <c r="C421" s="966">
        <v>1</v>
      </c>
      <c r="D421" s="696" t="s">
        <v>47</v>
      </c>
      <c r="E421" s="888"/>
      <c r="F421" s="1027" t="s">
        <v>48</v>
      </c>
      <c r="G421" s="696" t="s">
        <v>49</v>
      </c>
      <c r="H421" s="886" cm="1">
        <f t="array" aca="1" ref="H421" ca="1">IFERROR(
    INDIRECT(
        "RawData!" &amp;
        ADDRESS(
            2,
            MATCH(
                TRIM(MID(A421, SEARCH(". ", A421) + 2, LEN(A421))) &amp; ".Import_kWh",
                RawData!$1:$1,
                0
            ),
            4
        )
    ),
    0
)</f>
        <v>0</v>
      </c>
      <c r="I421" s="886" cm="1">
        <f t="array" aca="1" ref="I421" ca="1">IFERROR(
    INDIRECT(
        "RawData!" &amp;
        ADDRESS(
            COUNTA(RawData!A:A),
            MATCH(
                TRIM(MID(A421, SEARCH(". ", A421) + 2, LEN(A421))) &amp; ".Import_kWh",
                RawData!$1:$1,
                0
            ),
            4
        )
    ),
    0
)</f>
        <v>0</v>
      </c>
      <c r="J421" s="742">
        <f ca="1">(I421-H421)*C421</f>
        <v>0</v>
      </c>
      <c r="K421" s="1000">
        <f ca="1">J421</f>
        <v>0</v>
      </c>
      <c r="L421" s="967" t="e">
        <f ca="1">K421/J421</f>
        <v>#DIV/0!</v>
      </c>
      <c r="M421" s="1031" t="e">
        <f ca="1">R423+R425+R426+R422</f>
        <v>#DIV/0!</v>
      </c>
      <c r="N421" s="1032"/>
      <c r="O421" s="1032"/>
      <c r="P421" s="965"/>
      <c r="Q421" s="1033"/>
      <c r="R421" s="970"/>
      <c r="S421" s="69"/>
      <c r="T421" s="69"/>
      <c r="V421" s="13"/>
      <c r="W421" s="13"/>
      <c r="X421" s="13"/>
      <c r="Y421" s="13"/>
      <c r="Z421" s="13"/>
      <c r="AA421" s="530"/>
      <c r="AB421" s="532"/>
      <c r="AM421" s="13"/>
      <c r="AN421" s="13"/>
      <c r="AO421" s="13"/>
      <c r="AP421" s="13"/>
      <c r="AQ421" s="13"/>
      <c r="AR421" s="13"/>
      <c r="AS421" s="13"/>
      <c r="AT421" s="13"/>
      <c r="AU421" s="476"/>
      <c r="AV421" s="13"/>
    </row>
    <row r="422" spans="1:48" ht="15.95" customHeight="1">
      <c r="A422" s="1034" t="s">
        <v>1196</v>
      </c>
      <c r="B422" s="1035" t="s">
        <v>185</v>
      </c>
      <c r="C422" s="1036">
        <v>1</v>
      </c>
      <c r="D422" s="1036" t="s">
        <v>47</v>
      </c>
      <c r="E422" s="1036"/>
      <c r="F422" s="1037" t="s">
        <v>48</v>
      </c>
      <c r="G422" s="1036" t="s">
        <v>49</v>
      </c>
      <c r="H422" s="1185" cm="1">
        <f t="array" aca="1" ref="H422" ca="1">IFERROR(
    INDIRECT(
        "RawData!" &amp;
        ADDRESS(
            2,
            MATCH(
                TRIM(MID(A422, SEARCH(". ", A422) + 2, LEN(A422))) &amp; ".Import_kWh",
                RawData!$1:$1,
                0
            ),
            4
        )
    ),
    0
)</f>
        <v>0</v>
      </c>
      <c r="I422" s="1185" cm="1">
        <f t="array" aca="1" ref="I422" ca="1">IFERROR(
    INDIRECT(
        "RawData!" &amp;
        ADDRESS(
            COUNTA(RawData!A:A),
            MATCH(
                TRIM(MID(A422, SEARCH(". ", A422) + 2, LEN(A422))) &amp; ".Import_kWh",
                RawData!$1:$1,
                0
            ),
            4
        )
    ),
    0
)</f>
        <v>0</v>
      </c>
      <c r="J422" s="742">
        <f ca="1">(I422-H422)*C422</f>
        <v>0</v>
      </c>
      <c r="K422" s="743" t="e">
        <f ca="1">J422*K$421/(J$422+J$423+J$425+J$426)</f>
        <v>#DIV/0!</v>
      </c>
      <c r="L422" s="700"/>
      <c r="M422" s="1030"/>
      <c r="N422" s="887"/>
      <c r="O422" s="887"/>
      <c r="P422" s="1038"/>
      <c r="Q422" s="843"/>
      <c r="R422" s="704" t="e">
        <f ca="1">K422</f>
        <v>#DIV/0!</v>
      </c>
      <c r="S422" s="114" t="s">
        <v>607</v>
      </c>
      <c r="T422" s="115" t="s">
        <v>608</v>
      </c>
      <c r="V422" s="13"/>
      <c r="W422" s="13"/>
      <c r="X422" s="13"/>
      <c r="Y422" s="13"/>
      <c r="Z422" s="13"/>
      <c r="AA422" s="530"/>
      <c r="AB422" s="532"/>
      <c r="AV422" s="13"/>
    </row>
    <row r="423" spans="1:48" ht="15.95" customHeight="1">
      <c r="A423" s="804" t="s">
        <v>1195</v>
      </c>
      <c r="B423" s="965" t="s">
        <v>72</v>
      </c>
      <c r="C423" s="965">
        <v>1</v>
      </c>
      <c r="D423" s="696" t="s">
        <v>47</v>
      </c>
      <c r="E423" s="888"/>
      <c r="F423" s="1027" t="s">
        <v>48</v>
      </c>
      <c r="G423" s="696" t="s">
        <v>49</v>
      </c>
      <c r="H423" s="886" cm="1">
        <f t="array" aca="1" ref="H423" ca="1">IFERROR(
    INDIRECT(
        "RawData!" &amp;
        ADDRESS(
            2,
            MATCH(
                TRIM(MID(A423, SEARCH(". ", A423) + 2, LEN(A423))) &amp; ".Import_kWh",
                RawData!$1:$1,
                0
            ),
            4
        )
    ),
    0
)</f>
        <v>0</v>
      </c>
      <c r="I423" s="886" cm="1">
        <f t="array" aca="1" ref="I423" ca="1">IFERROR(
    INDIRECT(
        "RawData!" &amp;
        ADDRESS(
            COUNTA(RawData!A:A),
            MATCH(
                TRIM(MID(A423, SEARCH(". ", A423) + 2, LEN(A423))) &amp; ".Import_kWh",
                RawData!$1:$1,
                0
            ),
            4
        )
    ),
    0
)</f>
        <v>0</v>
      </c>
      <c r="J423" s="742">
        <f ca="1">(I423-H423)*C423</f>
        <v>0</v>
      </c>
      <c r="K423" s="743" t="e">
        <f ca="1">J423*K$421/(J$422+J$423+J$425+J$426)</f>
        <v>#DIV/0!</v>
      </c>
      <c r="L423" s="1039"/>
      <c r="M423" s="1030">
        <v>20</v>
      </c>
      <c r="N423" s="1032"/>
      <c r="O423" s="1032"/>
      <c r="P423" s="1040"/>
      <c r="Q423" s="1033"/>
      <c r="R423" s="704" t="e">
        <f ca="1">K423</f>
        <v>#DIV/0!</v>
      </c>
      <c r="S423" s="114" t="s">
        <v>607</v>
      </c>
      <c r="T423" s="115" t="s">
        <v>608</v>
      </c>
      <c r="V423" s="13"/>
      <c r="W423" s="13"/>
      <c r="X423" s="13"/>
      <c r="Y423" s="13"/>
      <c r="Z423" s="13"/>
      <c r="AA423" s="530"/>
      <c r="AB423" s="532"/>
      <c r="AV423" s="13"/>
    </row>
    <row r="424" spans="1:48" ht="15.95" customHeight="1">
      <c r="A424" s="804" t="s">
        <v>858</v>
      </c>
      <c r="B424" s="965"/>
      <c r="C424" s="965"/>
      <c r="D424" s="696"/>
      <c r="E424" s="888"/>
      <c r="F424" s="1027"/>
      <c r="G424" s="696"/>
      <c r="H424" s="737"/>
      <c r="I424" s="737"/>
      <c r="J424" s="698"/>
      <c r="K424" s="955"/>
      <c r="L424" s="1039"/>
      <c r="M424" s="1030"/>
      <c r="N424" s="1032"/>
      <c r="O424" s="1032"/>
      <c r="P424" s="1040"/>
      <c r="Q424" s="1033"/>
      <c r="R424" s="970"/>
      <c r="S424" s="114"/>
      <c r="T424" s="115"/>
      <c r="V424" s="13"/>
      <c r="W424" s="13"/>
      <c r="X424" s="13"/>
      <c r="Y424" s="13"/>
      <c r="Z424" s="13"/>
      <c r="AV424" s="13"/>
    </row>
    <row r="425" spans="1:48" ht="15.95" customHeight="1">
      <c r="A425" s="555" t="s">
        <v>859</v>
      </c>
      <c r="B425" s="794" t="s">
        <v>447</v>
      </c>
      <c r="C425" s="794">
        <v>60</v>
      </c>
      <c r="D425" s="595" t="s">
        <v>645</v>
      </c>
      <c r="E425" s="774" t="s">
        <v>336</v>
      </c>
      <c r="F425" s="595" t="s">
        <v>243</v>
      </c>
      <c r="G425" s="595" t="s">
        <v>49</v>
      </c>
      <c r="H425" s="665" cm="1">
        <f t="array" aca="1" ref="H425" ca="1">IFERROR(
    INDIRECT(
        "RawData!" &amp;
        ADDRESS(
            2,
            MATCH(
                TRIM(MID(A425, SEARCH(". ", A425) + 2, LEN(A425))) &amp; ".Import_kWh",
                RawData!$1:$1,
                0
            ),
            4
        )
    ),
    0
)</f>
        <v>0</v>
      </c>
      <c r="I425" s="665" cm="1">
        <f t="array" aca="1" ref="I425" ca="1">IFERROR(
    INDIRECT(
        "RawData!" &amp;
        ADDRESS(
            COUNTA(RawData!A:A),
            MATCH(
                TRIM(MID(A425, SEARCH(". ", A425) + 2, LEN(A425))) &amp; ".Import_kWh",
                RawData!$1:$1,
                0
            ),
            4
        )
    ),
    0
)</f>
        <v>0</v>
      </c>
      <c r="J425" s="673">
        <f ca="1">(I425-H425)*C425</f>
        <v>0</v>
      </c>
      <c r="K425" s="759" t="e">
        <f ca="1">J425*K$421/(J$422+J$423+J$425+J$426)</f>
        <v>#DIV/0!</v>
      </c>
      <c r="L425" s="840" t="e">
        <f ca="1">K425/J425</f>
        <v>#DIV/0!</v>
      </c>
      <c r="M425" s="472"/>
      <c r="N425" s="1019"/>
      <c r="O425" s="1019"/>
      <c r="P425" s="972"/>
      <c r="Q425" s="1041"/>
      <c r="R425" s="948" t="e">
        <f ca="1">K425</f>
        <v>#DIV/0!</v>
      </c>
      <c r="S425" s="114" t="s">
        <v>85</v>
      </c>
      <c r="T425" s="283" t="s">
        <v>193</v>
      </c>
      <c r="V425" s="13"/>
      <c r="W425" s="13"/>
      <c r="X425" s="13"/>
      <c r="Y425" s="13"/>
      <c r="Z425" s="13"/>
    </row>
    <row r="426" spans="1:48" ht="15.95" customHeight="1">
      <c r="A426" s="555" t="s">
        <v>860</v>
      </c>
      <c r="B426" s="794"/>
      <c r="C426" s="794">
        <v>1</v>
      </c>
      <c r="D426" s="595" t="s">
        <v>47</v>
      </c>
      <c r="E426" s="800"/>
      <c r="F426" s="595" t="s">
        <v>243</v>
      </c>
      <c r="G426" s="595" t="s">
        <v>49</v>
      </c>
      <c r="H426" s="665" cm="1">
        <f t="array" aca="1" ref="H426" ca="1">IFERROR(
    INDIRECT(
        "RawData!" &amp;
        ADDRESS(
            2,
            MATCH(
                TRIM(MID(A426, SEARCH(". ", A426) + 2, LEN(A426))) &amp; ".Import_kWh",
                RawData!$1:$1,
                0
            ),
            4
        )
    ),
    0
)</f>
        <v>0</v>
      </c>
      <c r="I426" s="665" cm="1">
        <f t="array" aca="1" ref="I426" ca="1">IFERROR(
    INDIRECT(
        "RawData!" &amp;
        ADDRESS(
            COUNTA(RawData!A:A),
            MATCH(
                TRIM(MID(A426, SEARCH(". ", A426) + 2, LEN(A426))) &amp; ".Import_kWh",
                RawData!$1:$1,
                0
            ),
            4
        )
    ),
    0
)</f>
        <v>0</v>
      </c>
      <c r="J426" s="673">
        <f ca="1">(I426-H426)*C426</f>
        <v>0</v>
      </c>
      <c r="K426" s="802" t="e">
        <f ca="1">J426*K$421/(J$422+J$423+J$425+J$426)</f>
        <v>#DIV/0!</v>
      </c>
      <c r="L426" s="840" t="e">
        <f ca="1">K426/J426</f>
        <v>#DIV/0!</v>
      </c>
      <c r="M426" s="472"/>
      <c r="N426" s="1019"/>
      <c r="O426" s="1019"/>
      <c r="P426" s="972"/>
      <c r="Q426" s="1041"/>
      <c r="R426" s="948" t="e">
        <f ca="1">K426</f>
        <v>#DIV/0!</v>
      </c>
      <c r="S426" s="114" t="s">
        <v>85</v>
      </c>
      <c r="T426" s="283" t="s">
        <v>193</v>
      </c>
      <c r="V426" s="13"/>
      <c r="W426" s="13"/>
      <c r="X426" s="13"/>
      <c r="Y426" s="13"/>
      <c r="Z426" s="13"/>
    </row>
    <row r="427" spans="1:48" ht="15.95" customHeight="1">
      <c r="A427" s="804" t="s">
        <v>861</v>
      </c>
      <c r="B427" s="965"/>
      <c r="C427" s="965"/>
      <c r="D427" s="696"/>
      <c r="E427" s="888"/>
      <c r="F427" s="696"/>
      <c r="G427" s="696"/>
      <c r="H427" s="1042"/>
      <c r="I427" s="1042"/>
      <c r="J427" s="698"/>
      <c r="K427" s="1000" t="e">
        <f ca="1">K414-(K415+K417+K421)</f>
        <v>#DIV/0!</v>
      </c>
      <c r="L427" s="967"/>
      <c r="M427" s="1030"/>
      <c r="N427" s="1032"/>
      <c r="O427" s="1032"/>
      <c r="P427" s="1002"/>
      <c r="Q427" s="1043"/>
      <c r="R427" s="970" t="e">
        <f ca="1">K427</f>
        <v>#DIV/0!</v>
      </c>
      <c r="S427" s="114" t="s">
        <v>422</v>
      </c>
      <c r="T427" s="115" t="s">
        <v>423</v>
      </c>
      <c r="V427" s="13"/>
      <c r="W427" s="13"/>
      <c r="X427" s="13"/>
      <c r="Y427" s="13"/>
      <c r="Z427" s="13"/>
    </row>
    <row r="428" spans="1:48" ht="15.95" customHeight="1">
      <c r="A428" s="919" t="s">
        <v>862</v>
      </c>
      <c r="B428" s="857" t="s">
        <v>64</v>
      </c>
      <c r="C428" s="857">
        <v>1</v>
      </c>
      <c r="D428" s="654" t="s">
        <v>47</v>
      </c>
      <c r="E428" s="940"/>
      <c r="F428" s="654" t="s">
        <v>243</v>
      </c>
      <c r="G428" s="654" t="s">
        <v>49</v>
      </c>
      <c r="H428" s="655" cm="1">
        <f t="array" aca="1" ref="H428" ca="1">IFERROR(
    INDIRECT(
        "RawData!" &amp;
        ADDRESS(
            2,
            MATCH(
                TRIM(MID(A428, SEARCH(". ", A428) + 2, LEN(A428))) &amp; ".Import_kWh",
                RawData!$1:$1,
                0
            ),
            4
        )
    ),
    0
)</f>
        <v>0</v>
      </c>
      <c r="I428" s="655" cm="1">
        <f t="array" aca="1" ref="I428" ca="1">IFERROR(
    INDIRECT(
        "RawData!" &amp;
        ADDRESS(
            COUNTA(RawData!A:A),
            MATCH(
                TRIM(MID(A428, SEARCH(". ", A428) + 2, LEN(A428))) &amp; ".Import_kWh",
                RawData!$1:$1,
                0
            ),
            4
        )
    ),
    0
)</f>
        <v>0</v>
      </c>
      <c r="J428" s="680">
        <f ca="1">(I428-H428)*C428</f>
        <v>0</v>
      </c>
      <c r="K428" s="824" t="e">
        <f ca="1">J428*K$397/(J$398+J$400+J$408+J$414+J$428+J$438+J$444+J$447)</f>
        <v>#DIV/0!</v>
      </c>
      <c r="L428" s="581" t="e">
        <f ca="1">K428/J428</f>
        <v>#DIV/0!</v>
      </c>
      <c r="M428" s="900" t="e">
        <f ca="1">R431+R434+R435+R436+R437+R433</f>
        <v>#DIV/0!</v>
      </c>
      <c r="N428" s="942"/>
      <c r="O428" s="942"/>
      <c r="P428" s="857"/>
      <c r="Q428" s="952"/>
      <c r="R428" s="945"/>
      <c r="S428" s="69"/>
      <c r="T428" s="69"/>
      <c r="V428" s="13"/>
      <c r="W428" s="13"/>
      <c r="X428" s="13"/>
      <c r="Y428" s="13"/>
      <c r="Z428" s="13"/>
    </row>
    <row r="429" spans="1:48" ht="15.95" customHeight="1">
      <c r="A429" s="555" t="s">
        <v>1259</v>
      </c>
      <c r="B429" s="794"/>
      <c r="C429" s="794"/>
      <c r="D429" s="794"/>
      <c r="E429" s="794"/>
      <c r="F429" s="794"/>
      <c r="G429" s="794"/>
      <c r="H429" s="762"/>
      <c r="I429" s="762"/>
      <c r="J429" s="673"/>
      <c r="K429" s="667" t="e">
        <f ca="1">K428-K430</f>
        <v>#DIV/0!</v>
      </c>
      <c r="L429" s="840"/>
      <c r="M429" s="953"/>
      <c r="N429" s="693"/>
      <c r="O429" s="693"/>
      <c r="P429" s="794"/>
      <c r="Q429" s="947"/>
      <c r="R429" s="948"/>
      <c r="S429" s="69"/>
      <c r="T429" s="69"/>
      <c r="V429" s="13"/>
      <c r="W429" s="13"/>
      <c r="X429" s="13"/>
      <c r="Y429" s="13"/>
      <c r="Z429" s="13"/>
    </row>
    <row r="430" spans="1:48" ht="15.95" customHeight="1">
      <c r="A430" s="555"/>
      <c r="B430" s="794" t="s">
        <v>512</v>
      </c>
      <c r="C430" s="794">
        <v>1</v>
      </c>
      <c r="D430" s="595" t="s">
        <v>645</v>
      </c>
      <c r="E430" s="774" t="s">
        <v>336</v>
      </c>
      <c r="F430" s="595" t="s">
        <v>243</v>
      </c>
      <c r="G430" s="595" t="s">
        <v>49</v>
      </c>
      <c r="H430" s="665" cm="1">
        <f t="array" aca="1" ref="H430" ca="1">IFERROR(
    INDIRECT(
        "RawData!" &amp;
        ADDRESS(
            2,
            MATCH(
                TRIM(MID(A429, SEARCH(". ", A429) + 2, LEN(A429))) &amp; ".Import_kWh",
                RawData!$1:$1,
                0
            ),
            4
        )
    ),
    0
)</f>
        <v>0</v>
      </c>
      <c r="I430" s="665" cm="1">
        <f t="array" aca="1" ref="I430" ca="1">IFERROR(
    INDIRECT(
        "RawData!" &amp;
        ADDRESS(
            COUNTA(RawData!A:A),
            MATCH(
                TRIM(MID(A429, SEARCH(". ", A429) + 2, LEN(A429))) &amp; ".Import_kWh",
                RawData!$1:$1,
                0
            ),
            4
        )
    ),
    0
)</f>
        <v>0</v>
      </c>
      <c r="J430" s="666">
        <f ca="1">(I430-H430)*C430</f>
        <v>0</v>
      </c>
      <c r="K430" s="667">
        <f ca="1">J430</f>
        <v>0</v>
      </c>
      <c r="L430" s="840"/>
      <c r="M430" s="953"/>
      <c r="N430" s="693"/>
      <c r="O430" s="693"/>
      <c r="P430" s="794"/>
      <c r="Q430" s="947"/>
      <c r="R430" s="948"/>
      <c r="S430" s="69"/>
      <c r="T430" s="69"/>
      <c r="V430" s="13"/>
      <c r="W430" s="13"/>
      <c r="X430" s="13"/>
      <c r="Y430" s="13"/>
      <c r="Z430" s="13"/>
    </row>
    <row r="431" spans="1:48" ht="15.95" customHeight="1">
      <c r="A431" s="555" t="s">
        <v>863</v>
      </c>
      <c r="B431" s="794"/>
      <c r="C431" s="794"/>
      <c r="D431" s="595"/>
      <c r="E431" s="774"/>
      <c r="F431" s="595"/>
      <c r="G431" s="595"/>
      <c r="H431" s="762"/>
      <c r="I431" s="762"/>
      <c r="J431" s="673"/>
      <c r="K431" s="743">
        <v>2500</v>
      </c>
      <c r="L431" s="840"/>
      <c r="M431" s="953"/>
      <c r="N431" s="693"/>
      <c r="O431" s="693"/>
      <c r="P431" s="794"/>
      <c r="Q431" s="947"/>
      <c r="R431" s="948">
        <f>K431</f>
        <v>2500</v>
      </c>
      <c r="S431" s="114" t="s">
        <v>426</v>
      </c>
      <c r="T431" s="115" t="s">
        <v>448</v>
      </c>
      <c r="V431" s="13"/>
      <c r="W431" s="13"/>
      <c r="X431" s="13"/>
      <c r="Y431" s="13"/>
      <c r="Z431" s="13"/>
    </row>
    <row r="432" spans="1:48" ht="15.95" customHeight="1">
      <c r="A432" s="555" t="s">
        <v>864</v>
      </c>
      <c r="B432" s="794"/>
      <c r="C432" s="794"/>
      <c r="D432" s="794"/>
      <c r="E432" s="794"/>
      <c r="F432" s="794"/>
      <c r="G432" s="794"/>
      <c r="H432" s="762"/>
      <c r="I432" s="762"/>
      <c r="J432" s="673"/>
      <c r="K432" s="667"/>
      <c r="L432" s="840"/>
      <c r="M432" s="953"/>
      <c r="N432" s="693"/>
      <c r="O432" s="693"/>
      <c r="P432" s="794"/>
      <c r="Q432" s="947"/>
      <c r="R432" s="948"/>
      <c r="S432" s="69"/>
      <c r="T432" s="69"/>
      <c r="V432" s="13"/>
      <c r="W432" s="13"/>
      <c r="X432" s="13"/>
      <c r="Y432" s="13"/>
      <c r="Z432" s="13"/>
    </row>
    <row r="433" spans="1:26" ht="15.95" customHeight="1">
      <c r="A433" s="555" t="s">
        <v>865</v>
      </c>
      <c r="B433" s="794"/>
      <c r="C433" s="794"/>
      <c r="D433" s="794"/>
      <c r="E433" s="794"/>
      <c r="F433" s="794"/>
      <c r="G433" s="794"/>
      <c r="H433" s="762"/>
      <c r="I433" s="762"/>
      <c r="J433" s="673"/>
      <c r="K433" s="667">
        <f ca="1">K430-K431</f>
        <v>-2500</v>
      </c>
      <c r="L433" s="840"/>
      <c r="M433" s="953"/>
      <c r="N433" s="693"/>
      <c r="O433" s="693"/>
      <c r="P433" s="794"/>
      <c r="Q433" s="947"/>
      <c r="R433" s="948">
        <f ca="1">K433</f>
        <v>-2500</v>
      </c>
      <c r="S433" s="114" t="s">
        <v>546</v>
      </c>
      <c r="T433" s="115" t="s">
        <v>579</v>
      </c>
      <c r="V433" s="13"/>
      <c r="W433" s="13"/>
      <c r="X433" s="13"/>
      <c r="Y433" s="13"/>
      <c r="Z433" s="13"/>
    </row>
    <row r="434" spans="1:26" ht="15.95" customHeight="1">
      <c r="A434" s="804" t="s">
        <v>866</v>
      </c>
      <c r="B434" s="794"/>
      <c r="C434" s="794"/>
      <c r="D434" s="794"/>
      <c r="E434" s="794"/>
      <c r="F434" s="794"/>
      <c r="G434" s="794"/>
      <c r="H434" s="762"/>
      <c r="I434" s="762"/>
      <c r="J434" s="673"/>
      <c r="K434" s="667" t="e">
        <f ca="1">R434/O434</f>
        <v>#DIV/0!</v>
      </c>
      <c r="L434" s="840"/>
      <c r="M434" s="953">
        <v>32</v>
      </c>
      <c r="N434" s="693">
        <v>30</v>
      </c>
      <c r="O434" s="693">
        <v>37</v>
      </c>
      <c r="P434" s="794">
        <f>O434*M434</f>
        <v>1184</v>
      </c>
      <c r="Q434" s="947">
        <f>P434/(P$434+P$435+P$436+P$437)</f>
        <v>0.39673099025261443</v>
      </c>
      <c r="R434" s="948" t="e">
        <f ca="1">Q434*K$429</f>
        <v>#DIV/0!</v>
      </c>
      <c r="S434" s="114" t="s">
        <v>546</v>
      </c>
      <c r="T434" s="115" t="s">
        <v>571</v>
      </c>
      <c r="V434" s="13"/>
      <c r="W434" s="13"/>
      <c r="X434" s="13"/>
      <c r="Y434" s="13"/>
      <c r="Z434" s="13"/>
    </row>
    <row r="435" spans="1:26" ht="15.95" customHeight="1">
      <c r="A435" s="804" t="s">
        <v>867</v>
      </c>
      <c r="B435" s="794"/>
      <c r="C435" s="794"/>
      <c r="D435" s="794"/>
      <c r="E435" s="794"/>
      <c r="F435" s="794"/>
      <c r="G435" s="794"/>
      <c r="H435" s="762"/>
      <c r="I435" s="762"/>
      <c r="J435" s="673"/>
      <c r="K435" s="667"/>
      <c r="L435" s="840"/>
      <c r="M435" s="953">
        <f>9.6+1.6+1.6</f>
        <v>12.799999999999999</v>
      </c>
      <c r="N435" s="693">
        <v>23</v>
      </c>
      <c r="O435" s="693">
        <v>30</v>
      </c>
      <c r="P435" s="794">
        <f>O435*M435</f>
        <v>383.99999999999994</v>
      </c>
      <c r="Q435" s="947">
        <f>P435/(P$434+P$435+P$436+P$437)</f>
        <v>0.12866951035219926</v>
      </c>
      <c r="R435" s="948" t="e">
        <f ca="1">Q435*K$429</f>
        <v>#DIV/0!</v>
      </c>
      <c r="S435" s="114" t="s">
        <v>593</v>
      </c>
      <c r="T435" s="115" t="s">
        <v>594</v>
      </c>
      <c r="V435" s="13"/>
      <c r="W435" s="13"/>
      <c r="X435" s="13"/>
      <c r="Y435" s="13"/>
      <c r="Z435" s="13"/>
    </row>
    <row r="436" spans="1:26" ht="15.95" customHeight="1">
      <c r="A436" s="804" t="s">
        <v>868</v>
      </c>
      <c r="B436" s="794"/>
      <c r="C436" s="794"/>
      <c r="D436" s="794"/>
      <c r="E436" s="794"/>
      <c r="F436" s="794"/>
      <c r="G436" s="794"/>
      <c r="H436" s="762"/>
      <c r="I436" s="762"/>
      <c r="J436" s="673"/>
      <c r="K436" s="667"/>
      <c r="L436" s="840"/>
      <c r="M436" s="953">
        <f>9.6+1.6+1.6</f>
        <v>12.799999999999999</v>
      </c>
      <c r="N436" s="693">
        <v>29</v>
      </c>
      <c r="O436" s="693">
        <v>22</v>
      </c>
      <c r="P436" s="794">
        <f>O436*M436</f>
        <v>281.59999999999997</v>
      </c>
      <c r="Q436" s="947">
        <f>P436/(P$434+P$435+P$436+P$437)</f>
        <v>9.4357640924946126E-2</v>
      </c>
      <c r="R436" s="948" t="e">
        <f ca="1">Q436*K$429</f>
        <v>#DIV/0!</v>
      </c>
      <c r="S436" s="114" t="s">
        <v>593</v>
      </c>
      <c r="T436" s="115" t="s">
        <v>596</v>
      </c>
      <c r="V436" s="13"/>
      <c r="W436" s="13"/>
      <c r="X436" s="13"/>
      <c r="Y436" s="13"/>
      <c r="Z436" s="13"/>
    </row>
    <row r="437" spans="1:26" ht="15.95" customHeight="1">
      <c r="A437" s="804" t="s">
        <v>869</v>
      </c>
      <c r="B437" s="794"/>
      <c r="C437" s="794"/>
      <c r="D437" s="794"/>
      <c r="E437" s="794"/>
      <c r="F437" s="794"/>
      <c r="G437" s="794"/>
      <c r="H437" s="762"/>
      <c r="I437" s="762"/>
      <c r="J437" s="673"/>
      <c r="K437" s="667" t="e">
        <f ca="1">R437/O437</f>
        <v>#DIV/0!</v>
      </c>
      <c r="L437" s="840"/>
      <c r="M437" s="1001">
        <f>22.4+5.27+3</f>
        <v>30.669999999999998</v>
      </c>
      <c r="N437" s="693">
        <v>31</v>
      </c>
      <c r="O437" s="693">
        <v>37</v>
      </c>
      <c r="P437" s="794">
        <f>O437*M437</f>
        <v>1134.79</v>
      </c>
      <c r="Q437" s="947">
        <f>P437/(P$434+P$435+P$436+P$437)</f>
        <v>0.38024185847024017</v>
      </c>
      <c r="R437" s="948" t="e">
        <f ca="1">Q437*K$429</f>
        <v>#DIV/0!</v>
      </c>
      <c r="S437" s="114" t="s">
        <v>546</v>
      </c>
      <c r="T437" s="115" t="s">
        <v>579</v>
      </c>
      <c r="V437" s="13"/>
      <c r="W437" s="13"/>
      <c r="X437" s="13"/>
      <c r="Y437" s="13"/>
      <c r="Z437" s="13"/>
    </row>
    <row r="438" spans="1:26" ht="15.95" customHeight="1">
      <c r="A438" s="919" t="s">
        <v>1197</v>
      </c>
      <c r="B438" s="857" t="s">
        <v>64</v>
      </c>
      <c r="C438" s="857">
        <v>1</v>
      </c>
      <c r="D438" s="654" t="s">
        <v>47</v>
      </c>
      <c r="E438" s="940"/>
      <c r="F438" s="654" t="s">
        <v>243</v>
      </c>
      <c r="G438" s="654" t="s">
        <v>49</v>
      </c>
      <c r="H438" s="655" cm="1">
        <f t="array" aca="1" ref="H438" ca="1">IFERROR(
    INDIRECT(
        "RawData!" &amp;
        ADDRESS(
            2,
            MATCH(
                TRIM(MID(A438, SEARCH(". ", A438) + 2, LEN(A438))) &amp; ".Import_kWh",
                RawData!$1:$1,
                0
            ),
            4
        )
    ),
    0
)</f>
        <v>0</v>
      </c>
      <c r="I438" s="655" cm="1">
        <f t="array" aca="1" ref="I438" ca="1">IFERROR(
    INDIRECT(
        "RawData!" &amp;
        ADDRESS(
            COUNTA(RawData!A:A),
            MATCH(
                TRIM(MID(A438, SEARCH(". ", A438) + 2, LEN(A438))) &amp; ".Import_kWh",
                RawData!$1:$1,
                0
            ),
            4
        )
    ),
    0
)</f>
        <v>0</v>
      </c>
      <c r="J438" s="680">
        <f ca="1">(I438-H438)*C438</f>
        <v>0</v>
      </c>
      <c r="K438" s="824" t="e">
        <f ca="1">J438*K$397/(J$398+J$400+J$408+J$414+J$428+J$438+J$444+J$447)</f>
        <v>#DIV/0!</v>
      </c>
      <c r="L438" s="581" t="e">
        <f ca="1">K438/J438</f>
        <v>#DIV/0!</v>
      </c>
      <c r="M438" s="900" t="e">
        <f ca="1">R441+R442+R443+R439</f>
        <v>#DIV/0!</v>
      </c>
      <c r="N438" s="942"/>
      <c r="O438" s="942"/>
      <c r="P438" s="857"/>
      <c r="Q438" s="952"/>
      <c r="R438" s="945"/>
      <c r="S438" s="69"/>
      <c r="T438" s="69"/>
      <c r="V438" s="13"/>
      <c r="W438" s="13"/>
      <c r="X438" s="13"/>
      <c r="Y438" s="13"/>
      <c r="Z438" s="13"/>
    </row>
    <row r="439" spans="1:26" ht="15.75" customHeight="1">
      <c r="A439" s="555" t="s">
        <v>870</v>
      </c>
      <c r="B439" s="794" t="s">
        <v>72</v>
      </c>
      <c r="C439" s="794">
        <v>40</v>
      </c>
      <c r="D439" s="595">
        <v>40</v>
      </c>
      <c r="E439" s="800"/>
      <c r="F439" s="595" t="s">
        <v>243</v>
      </c>
      <c r="G439" s="595" t="s">
        <v>49</v>
      </c>
      <c r="H439" s="886" cm="1">
        <f t="array" aca="1" ref="H439" ca="1">IFERROR(
    INDIRECT(
        "RawData!" &amp;
        ADDRESS(
            2,
            MATCH(
                TRIM(MID(A439, SEARCH(". ", A439) + 2, LEN(A439))) &amp; ".Import_kWh",
                RawData!$1:$1,
                0
            ),
            4
        )
    ),
    0
)</f>
        <v>0</v>
      </c>
      <c r="I439" s="886" cm="1">
        <f t="array" aca="1" ref="I439" ca="1">IFERROR(
    INDIRECT(
        "RawData!" &amp;
        ADDRESS(
            COUNTA(RawData!A:A),
            MATCH(
                TRIM(MID(A439, SEARCH(". ", A439) + 2, LEN(A439))) &amp; ".Import_kWh",
                RawData!$1:$1,
                0
            ),
            4
        )
    ),
    0
)</f>
        <v>0</v>
      </c>
      <c r="J439" s="698">
        <f ca="1">(I439-H439)*C439</f>
        <v>0</v>
      </c>
      <c r="K439" s="743">
        <f ca="1">J439</f>
        <v>0</v>
      </c>
      <c r="L439" s="967"/>
      <c r="M439" s="953"/>
      <c r="N439" s="693"/>
      <c r="O439" s="693"/>
      <c r="P439" s="794"/>
      <c r="Q439" s="947"/>
      <c r="R439" s="948">
        <f ca="1">K439</f>
        <v>0</v>
      </c>
      <c r="S439" s="114" t="s">
        <v>583</v>
      </c>
      <c r="T439" s="52" t="s">
        <v>871</v>
      </c>
      <c r="V439" s="13"/>
      <c r="W439" s="13"/>
      <c r="X439" s="13"/>
      <c r="Y439" s="13"/>
      <c r="Z439" s="13"/>
    </row>
    <row r="440" spans="1:26" ht="15.75" customHeight="1">
      <c r="A440" s="1023"/>
      <c r="B440" s="794"/>
      <c r="C440" s="794"/>
      <c r="D440" s="595"/>
      <c r="E440" s="800"/>
      <c r="F440" s="595"/>
      <c r="G440" s="595"/>
      <c r="H440" s="737"/>
      <c r="I440" s="737"/>
      <c r="J440" s="698"/>
      <c r="K440" s="743" t="e">
        <f ca="1">K438-K439</f>
        <v>#DIV/0!</v>
      </c>
      <c r="L440" s="967"/>
      <c r="M440" s="953"/>
      <c r="N440" s="693"/>
      <c r="O440" s="693"/>
      <c r="P440" s="794"/>
      <c r="Q440" s="947"/>
      <c r="R440" s="948"/>
      <c r="S440" s="69"/>
      <c r="T440" s="69"/>
      <c r="V440" s="13"/>
      <c r="W440" s="13"/>
      <c r="X440" s="13"/>
      <c r="Y440" s="13"/>
      <c r="Z440" s="13"/>
    </row>
    <row r="441" spans="1:26" ht="15.95" customHeight="1">
      <c r="A441" s="555" t="s">
        <v>872</v>
      </c>
      <c r="B441" s="1044"/>
      <c r="C441" s="794"/>
      <c r="D441" s="794"/>
      <c r="E441" s="794"/>
      <c r="F441" s="794"/>
      <c r="G441" s="794"/>
      <c r="H441" s="1045"/>
      <c r="I441" s="1045"/>
      <c r="J441" s="888">
        <v>172</v>
      </c>
      <c r="K441" s="1029">
        <f>J441*O441</f>
        <v>4472</v>
      </c>
      <c r="L441" s="967"/>
      <c r="M441" s="455">
        <v>49.58</v>
      </c>
      <c r="N441" s="693">
        <v>23</v>
      </c>
      <c r="O441" s="693">
        <v>26</v>
      </c>
      <c r="P441" s="794">
        <f>M441*O441</f>
        <v>1289.08</v>
      </c>
      <c r="Q441" s="947">
        <f>P441/(P$441+P$442+P$443)</f>
        <v>0.60465116279069764</v>
      </c>
      <c r="R441" s="948" t="e">
        <f ca="1">K$440*Q441</f>
        <v>#DIV/0!</v>
      </c>
      <c r="S441" s="114" t="s">
        <v>583</v>
      </c>
      <c r="T441" s="115" t="s">
        <v>584</v>
      </c>
      <c r="V441" s="13"/>
      <c r="W441" s="13"/>
      <c r="X441" s="13"/>
      <c r="Y441" s="13"/>
      <c r="Z441" s="13"/>
    </row>
    <row r="442" spans="1:26" ht="15.95" customHeight="1">
      <c r="A442" s="555" t="s">
        <v>873</v>
      </c>
      <c r="B442" s="1044"/>
      <c r="C442" s="794"/>
      <c r="D442" s="794"/>
      <c r="E442" s="794"/>
      <c r="F442" s="794"/>
      <c r="G442" s="794"/>
      <c r="H442" s="737"/>
      <c r="I442" s="737"/>
      <c r="J442" s="888">
        <v>172</v>
      </c>
      <c r="K442" s="1029">
        <f>J442*O442</f>
        <v>2924</v>
      </c>
      <c r="L442" s="967"/>
      <c r="M442" s="455">
        <v>49.58</v>
      </c>
      <c r="N442" s="693">
        <v>15</v>
      </c>
      <c r="O442" s="693">
        <v>17</v>
      </c>
      <c r="P442" s="794">
        <f>M442*O442</f>
        <v>842.86</v>
      </c>
      <c r="Q442" s="947">
        <f>P442/(P$441+P$442+P$443)</f>
        <v>0.39534883720930231</v>
      </c>
      <c r="R442" s="948" t="e">
        <f ca="1">K$440*Q442</f>
        <v>#DIV/0!</v>
      </c>
      <c r="S442" s="114" t="s">
        <v>583</v>
      </c>
      <c r="T442" s="115" t="s">
        <v>582</v>
      </c>
      <c r="V442" s="13"/>
      <c r="W442" s="13"/>
      <c r="X442" s="13"/>
      <c r="Y442" s="13"/>
      <c r="Z442" s="13"/>
    </row>
    <row r="443" spans="1:26" ht="15.95" customHeight="1">
      <c r="A443" s="555" t="s">
        <v>874</v>
      </c>
      <c r="B443" s="1044"/>
      <c r="C443" s="800"/>
      <c r="D443" s="800"/>
      <c r="E443" s="800"/>
      <c r="F443" s="800"/>
      <c r="G443" s="800"/>
      <c r="H443" s="737"/>
      <c r="I443" s="737"/>
      <c r="J443" s="888">
        <v>337</v>
      </c>
      <c r="K443" s="1029">
        <f>J443*O443</f>
        <v>0</v>
      </c>
      <c r="L443" s="1046" t="s">
        <v>875</v>
      </c>
      <c r="M443" s="762">
        <v>97</v>
      </c>
      <c r="N443" s="693">
        <v>0</v>
      </c>
      <c r="O443" s="693">
        <v>0</v>
      </c>
      <c r="P443" s="794">
        <f>M443*O443</f>
        <v>0</v>
      </c>
      <c r="Q443" s="947">
        <f>P443/(P$441+P$442+P$443)</f>
        <v>0</v>
      </c>
      <c r="R443" s="948" t="e">
        <f ca="1">K$440*Q443</f>
        <v>#DIV/0!</v>
      </c>
      <c r="S443" s="114" t="s">
        <v>583</v>
      </c>
      <c r="T443" s="115" t="s">
        <v>588</v>
      </c>
      <c r="V443" s="13"/>
      <c r="W443" s="13"/>
      <c r="X443" s="13"/>
      <c r="Y443" s="13"/>
      <c r="Z443" s="13"/>
    </row>
    <row r="444" spans="1:26" ht="15.95" customHeight="1">
      <c r="A444" s="919" t="s">
        <v>876</v>
      </c>
      <c r="B444" s="857" t="s">
        <v>64</v>
      </c>
      <c r="C444" s="1047">
        <v>1</v>
      </c>
      <c r="D444" s="654" t="s">
        <v>47</v>
      </c>
      <c r="E444" s="940"/>
      <c r="F444" s="654" t="s">
        <v>243</v>
      </c>
      <c r="G444" s="654" t="s">
        <v>49</v>
      </c>
      <c r="H444" s="655" cm="1">
        <f t="array" aca="1" ref="H444" ca="1">IFERROR(
    INDIRECT(
        "RawData!" &amp;
        ADDRESS(
            2,
            MATCH(
                TRIM(MID(A444, SEARCH(". ", A444) + 2, LEN(A444))) &amp; ".Import_kWh",
                RawData!$1:$1,
                0
            ),
            4
        )
    ),
    0
)</f>
        <v>0</v>
      </c>
      <c r="I444" s="655" cm="1">
        <f t="array" aca="1" ref="I444" ca="1">IFERROR(
    INDIRECT(
        "RawData!" &amp;
        ADDRESS(
            COUNTA(RawData!A:A),
            MATCH(
                TRIM(MID(A444, SEARCH(". ", A444) + 2, LEN(A444))) &amp; ".Import_kWh",
                RawData!$1:$1,
                0
            ),
            4
        )
    ),
    0
)</f>
        <v>0</v>
      </c>
      <c r="J444" s="680">
        <f ca="1">(I444-H444)*C444</f>
        <v>0</v>
      </c>
      <c r="K444" s="824" t="e">
        <f ca="1">J444*K$397/(J$398+J$400+J$408+J$414+J$428+J$438+J$444+J$447)</f>
        <v>#DIV/0!</v>
      </c>
      <c r="L444" s="581" t="e">
        <f ca="1">K444/J444</f>
        <v>#DIV/0!</v>
      </c>
      <c r="M444" s="900" t="e">
        <f ca="1">R445+R446</f>
        <v>#DIV/0!</v>
      </c>
      <c r="N444" s="942"/>
      <c r="O444" s="942"/>
      <c r="P444" s="857"/>
      <c r="Q444" s="952"/>
      <c r="R444" s="945"/>
      <c r="S444" s="69"/>
      <c r="T444" s="69"/>
      <c r="V444" s="13"/>
      <c r="W444" s="13"/>
      <c r="X444" s="13"/>
      <c r="Y444" s="13"/>
      <c r="Z444" s="13"/>
    </row>
    <row r="445" spans="1:26" ht="15.95" customHeight="1">
      <c r="A445" s="555" t="s">
        <v>877</v>
      </c>
      <c r="B445" s="794"/>
      <c r="C445" s="1048"/>
      <c r="D445" s="1048"/>
      <c r="E445" s="1048"/>
      <c r="F445" s="1048"/>
      <c r="G445" s="1048"/>
      <c r="H445" s="594"/>
      <c r="I445" s="594"/>
      <c r="J445" s="800"/>
      <c r="K445" s="667"/>
      <c r="L445" s="840"/>
      <c r="M445" s="455">
        <v>35</v>
      </c>
      <c r="N445" s="693">
        <v>24</v>
      </c>
      <c r="O445" s="693">
        <v>28</v>
      </c>
      <c r="P445" s="794">
        <f>M445*O445</f>
        <v>980</v>
      </c>
      <c r="Q445" s="947">
        <f>P445/(P$445+P$446)</f>
        <v>1</v>
      </c>
      <c r="R445" s="948" t="e">
        <f ca="1">K$444*Q445</f>
        <v>#DIV/0!</v>
      </c>
      <c r="S445" s="114" t="s">
        <v>546</v>
      </c>
      <c r="T445" s="115" t="s">
        <v>568</v>
      </c>
      <c r="V445" s="13"/>
      <c r="W445" s="13"/>
      <c r="X445" s="13"/>
      <c r="Y445" s="13"/>
      <c r="Z445" s="13"/>
    </row>
    <row r="446" spans="1:26" ht="15.95" customHeight="1">
      <c r="A446" s="555" t="s">
        <v>878</v>
      </c>
      <c r="B446" s="901"/>
      <c r="C446" s="1048"/>
      <c r="D446" s="1048"/>
      <c r="E446" s="1048"/>
      <c r="F446" s="1048"/>
      <c r="G446" s="1048"/>
      <c r="H446" s="594"/>
      <c r="I446" s="594"/>
      <c r="J446" s="800"/>
      <c r="K446" s="667"/>
      <c r="L446" s="840"/>
      <c r="M446" s="455">
        <v>23.7</v>
      </c>
      <c r="N446" s="693">
        <v>0</v>
      </c>
      <c r="O446" s="693">
        <v>0</v>
      </c>
      <c r="P446" s="794">
        <f>M446*O446</f>
        <v>0</v>
      </c>
      <c r="Q446" s="947">
        <f>P446/(P$445+P$446)</f>
        <v>0</v>
      </c>
      <c r="R446" s="948" t="e">
        <f ca="1">K$444*Q446</f>
        <v>#DIV/0!</v>
      </c>
      <c r="S446" s="114" t="s">
        <v>546</v>
      </c>
      <c r="T446" s="115" t="s">
        <v>555</v>
      </c>
      <c r="V446" s="13"/>
      <c r="W446" s="13"/>
      <c r="X446" s="13"/>
      <c r="Y446" s="13"/>
      <c r="Z446" s="13"/>
    </row>
    <row r="447" spans="1:26" ht="15.95" customHeight="1">
      <c r="A447" s="919" t="s">
        <v>879</v>
      </c>
      <c r="B447" s="857" t="s">
        <v>64</v>
      </c>
      <c r="C447" s="1047">
        <v>1</v>
      </c>
      <c r="D447" s="654" t="s">
        <v>47</v>
      </c>
      <c r="E447" s="940"/>
      <c r="F447" s="654" t="s">
        <v>243</v>
      </c>
      <c r="G447" s="654" t="s">
        <v>49</v>
      </c>
      <c r="H447" s="655" cm="1">
        <f t="array" aca="1" ref="H447" ca="1">IFERROR(
    INDIRECT(
        "RawData!" &amp;
        ADDRESS(
            2,
            MATCH(
                TRIM(MID(A447, SEARCH(". ", A447) + 2, LEN(A447))) &amp; ".Import_kWh",
                RawData!$1:$1,
                0
            ),
            4
        )
    ),
    0
)</f>
        <v>0</v>
      </c>
      <c r="I447" s="655" cm="1">
        <f t="array" aca="1" ref="I447" ca="1">IFERROR(
    INDIRECT(
        "RawData!" &amp;
        ADDRESS(
            COUNTA(RawData!A:A),
            MATCH(
                TRIM(MID(A447, SEARCH(". ", A447) + 2, LEN(A447))) &amp; ".Import_kWh",
                RawData!$1:$1,
                0
            ),
            4
        )
    ),
    0
)</f>
        <v>0</v>
      </c>
      <c r="J447" s="680">
        <f ca="1">(I447-H447)*C447</f>
        <v>0</v>
      </c>
      <c r="K447" s="824" t="e">
        <f ca="1">J447*K$397/(J$398+J$400+J$408+J$414+J$428+J$438+J$444+J$447)</f>
        <v>#DIV/0!</v>
      </c>
      <c r="L447" s="581" t="e">
        <f ca="1">K447/J447</f>
        <v>#DIV/0!</v>
      </c>
      <c r="M447" s="900" t="e">
        <f ca="1">R448+R449</f>
        <v>#DIV/0!</v>
      </c>
      <c r="N447" s="942"/>
      <c r="O447" s="942"/>
      <c r="P447" s="857"/>
      <c r="Q447" s="952"/>
      <c r="R447" s="945"/>
      <c r="S447" s="114"/>
      <c r="T447" s="115"/>
      <c r="V447" s="13"/>
      <c r="W447" s="13"/>
      <c r="X447" s="13"/>
      <c r="Y447" s="13"/>
      <c r="Z447" s="13"/>
    </row>
    <row r="448" spans="1:26" ht="15.95" customHeight="1">
      <c r="A448" s="555" t="s">
        <v>880</v>
      </c>
      <c r="B448" s="901"/>
      <c r="C448" s="1048"/>
      <c r="D448" s="1048"/>
      <c r="E448" s="1048"/>
      <c r="F448" s="1048"/>
      <c r="G448" s="1048"/>
      <c r="H448" s="594"/>
      <c r="I448" s="594"/>
      <c r="J448" s="800"/>
      <c r="K448" s="667"/>
      <c r="L448" s="840"/>
      <c r="M448" s="472">
        <v>35</v>
      </c>
      <c r="N448" s="693">
        <v>27</v>
      </c>
      <c r="O448" s="693">
        <v>24</v>
      </c>
      <c r="P448" s="794">
        <f>M448*O448</f>
        <v>840</v>
      </c>
      <c r="Q448" s="947">
        <f>P448/(P$448+P$449)</f>
        <v>1</v>
      </c>
      <c r="R448" s="948" t="e">
        <f ca="1">K$447*Q448</f>
        <v>#DIV/0!</v>
      </c>
      <c r="S448" s="114" t="s">
        <v>546</v>
      </c>
      <c r="T448" s="115" t="s">
        <v>563</v>
      </c>
      <c r="V448" s="13"/>
      <c r="W448" s="13"/>
      <c r="X448" s="13"/>
      <c r="Y448" s="13"/>
      <c r="Z448" s="13"/>
    </row>
    <row r="449" spans="1:26" ht="15.95" customHeight="1">
      <c r="A449" s="555" t="s">
        <v>881</v>
      </c>
      <c r="B449" s="901"/>
      <c r="C449" s="1048"/>
      <c r="D449" s="1048"/>
      <c r="E449" s="1048"/>
      <c r="F449" s="1048"/>
      <c r="G449" s="1048"/>
      <c r="H449" s="594"/>
      <c r="I449" s="594"/>
      <c r="J449" s="1049"/>
      <c r="K449" s="667"/>
      <c r="L449" s="840"/>
      <c r="M449" s="472">
        <v>35</v>
      </c>
      <c r="N449" s="693">
        <v>0</v>
      </c>
      <c r="O449" s="693">
        <v>0</v>
      </c>
      <c r="P449" s="794">
        <f>M449*O449</f>
        <v>0</v>
      </c>
      <c r="Q449" s="947">
        <f>P449/(P$448+P$449)</f>
        <v>0</v>
      </c>
      <c r="R449" s="948" t="e">
        <f ca="1">K$447*Q449</f>
        <v>#DIV/0!</v>
      </c>
      <c r="S449" s="114" t="s">
        <v>546</v>
      </c>
      <c r="T449" s="115" t="s">
        <v>565</v>
      </c>
      <c r="V449" s="13"/>
      <c r="W449" s="13"/>
      <c r="X449" s="13"/>
      <c r="Y449" s="13"/>
      <c r="Z449" s="13"/>
    </row>
    <row r="450" spans="1:26" ht="15.95" customHeight="1">
      <c r="A450" s="910" t="s">
        <v>1198</v>
      </c>
      <c r="B450" s="933" t="s">
        <v>333</v>
      </c>
      <c r="C450" s="1015">
        <v>1</v>
      </c>
      <c r="D450" s="786" t="s">
        <v>47</v>
      </c>
      <c r="E450" s="986"/>
      <c r="F450" s="786" t="s">
        <v>243</v>
      </c>
      <c r="G450" s="786" t="s">
        <v>49</v>
      </c>
      <c r="H450" s="766" cm="1">
        <f t="array" aca="1" ref="H450" ca="1">IFERROR(
    INDIRECT(
        "RawData!" &amp;
        ADDRESS(
            2,
            MATCH(
                TRIM(MID(A450, SEARCH(". ", A450) + 2, LEN(A450))) &amp; ".Import_kWh",
                RawData!$1:$1,
                0
            ),
            4
        )
    ),
    0
)</f>
        <v>0</v>
      </c>
      <c r="I450" s="766" cm="1">
        <f t="array" aca="1" ref="I450" ca="1">IFERROR(
    INDIRECT(
        "RawData!" &amp;
        ADDRESS(
            COUNTA(RawData!A:A),
            MATCH(
                TRIM(MID(A450, SEARCH(". ", A450) + 2, LEN(A450))) &amp; ".Import_kWh",
                RawData!$1:$1,
                0
            ),
            4
        )
    ),
    0
)</f>
        <v>0</v>
      </c>
      <c r="J450" s="646">
        <f ca="1">(I450-H450)*C450</f>
        <v>0</v>
      </c>
      <c r="K450" s="647" t="e">
        <f ca="1">J450*J$777/(J$5+J$65+J$72+J$81+J$89+J$138+J$212+J$285+J$306+J$373+J$388+J$396+J$397+J$450+J$463+J$471+J$513+J$564+J$603+J$646)</f>
        <v>#DIV/0!</v>
      </c>
      <c r="L450" s="912" t="e">
        <f ca="1">K450/J450</f>
        <v>#DIV/0!</v>
      </c>
      <c r="M450" s="934" t="e">
        <f ca="1">R452+R456+R457+R459+R460+R453+R461</f>
        <v>#DIV/0!</v>
      </c>
      <c r="N450" s="935"/>
      <c r="O450" s="935"/>
      <c r="P450" s="936">
        <f>124536-124364</f>
        <v>172</v>
      </c>
      <c r="Q450" s="989"/>
      <c r="R450" s="938"/>
      <c r="S450" s="69"/>
      <c r="T450" s="69"/>
    </row>
    <row r="451" spans="1:26" ht="15.95" customHeight="1">
      <c r="A451" s="919" t="s">
        <v>882</v>
      </c>
      <c r="B451" s="857" t="s">
        <v>64</v>
      </c>
      <c r="C451" s="978">
        <v>1</v>
      </c>
      <c r="D451" s="654" t="s">
        <v>47</v>
      </c>
      <c r="E451" s="940"/>
      <c r="F451" s="654" t="s">
        <v>243</v>
      </c>
      <c r="G451" s="654" t="s">
        <v>49</v>
      </c>
      <c r="H451" s="655" cm="1">
        <f t="array" aca="1" ref="H451" ca="1">IFERROR(
    INDIRECT(
        "RawData!" &amp;
        ADDRESS(
            2,
            MATCH(
                TRIM(MID(A451, SEARCH(". ", A451) + 2, LEN(A451))) &amp; ".Import_kWh",
                RawData!$1:$1,
                0
            ),
            4
        )
    ),
    0
)</f>
        <v>0</v>
      </c>
      <c r="I451" s="655" cm="1">
        <f t="array" aca="1" ref="I451" ca="1">IFERROR(
    INDIRECT(
        "RawData!" &amp;
        ADDRESS(
            COUNTA(RawData!A:A),
            MATCH(
                TRIM(MID(A451, SEARCH(". ", A451) + 2, LEN(A451))) &amp; ".Import_kWh",
                RawData!$1:$1,
                0
            ),
            4
        )
    ),
    0
)</f>
        <v>0</v>
      </c>
      <c r="J451" s="680">
        <f ca="1">(I451-H451)*C451</f>
        <v>0</v>
      </c>
      <c r="K451" s="941" t="e">
        <f ca="1">J451*K$450/(J$451+J$455+J$458)</f>
        <v>#DIV/0!</v>
      </c>
      <c r="L451" s="581" t="e">
        <f ca="1">K451/J451</f>
        <v>#DIV/0!</v>
      </c>
      <c r="M451" s="990"/>
      <c r="N451" s="942"/>
      <c r="O451" s="942"/>
      <c r="P451" s="857"/>
      <c r="Q451" s="952"/>
      <c r="R451" s="945"/>
      <c r="S451" s="69"/>
      <c r="T451" s="69"/>
    </row>
    <row r="452" spans="1:26" ht="15.95" customHeight="1">
      <c r="A452" s="555"/>
      <c r="B452" s="794"/>
      <c r="C452" s="1050"/>
      <c r="D452" s="1050"/>
      <c r="E452" s="1050"/>
      <c r="F452" s="1050"/>
      <c r="G452" s="1050"/>
      <c r="H452" s="762"/>
      <c r="I452" s="762"/>
      <c r="J452" s="1051"/>
      <c r="K452" s="778"/>
      <c r="L452" s="840"/>
      <c r="M452" s="472"/>
      <c r="N452" s="693"/>
      <c r="O452" s="693"/>
      <c r="P452" s="800"/>
      <c r="Q452" s="947"/>
      <c r="R452" s="948"/>
      <c r="S452" s="114"/>
      <c r="T452" s="69"/>
    </row>
    <row r="453" spans="1:26" ht="15.95" customHeight="1">
      <c r="A453" s="555" t="s">
        <v>883</v>
      </c>
      <c r="B453" s="794"/>
      <c r="C453" s="946"/>
      <c r="D453" s="946"/>
      <c r="E453" s="946"/>
      <c r="F453" s="946"/>
      <c r="G453" s="946"/>
      <c r="H453" s="762"/>
      <c r="I453" s="762"/>
      <c r="J453" s="673"/>
      <c r="K453" s="949"/>
      <c r="L453" s="840"/>
      <c r="M453" s="472"/>
      <c r="N453" s="693"/>
      <c r="O453" s="693"/>
      <c r="P453" s="800"/>
      <c r="Q453" s="947"/>
      <c r="R453" s="948" t="e">
        <f ca="1">K451</f>
        <v>#DIV/0!</v>
      </c>
      <c r="S453" s="114" t="s">
        <v>120</v>
      </c>
      <c r="T453" s="115" t="s">
        <v>501</v>
      </c>
    </row>
    <row r="454" spans="1:26" ht="15.95" customHeight="1">
      <c r="A454" s="555"/>
      <c r="B454" s="794"/>
      <c r="C454" s="946"/>
      <c r="D454" s="946"/>
      <c r="E454" s="946"/>
      <c r="F454" s="946"/>
      <c r="G454" s="946"/>
      <c r="H454" s="762"/>
      <c r="I454" s="762"/>
      <c r="J454" s="673"/>
      <c r="K454" s="949"/>
      <c r="L454" s="840"/>
      <c r="M454" s="472"/>
      <c r="N454" s="693"/>
      <c r="O454" s="693"/>
      <c r="P454" s="800"/>
      <c r="Q454" s="947"/>
      <c r="R454" s="948"/>
      <c r="S454" s="69"/>
      <c r="T454" s="69"/>
    </row>
    <row r="455" spans="1:26" ht="15.95" customHeight="1">
      <c r="A455" s="919" t="s">
        <v>884</v>
      </c>
      <c r="B455" s="857" t="s">
        <v>64</v>
      </c>
      <c r="C455" s="978">
        <v>1</v>
      </c>
      <c r="D455" s="654" t="s">
        <v>47</v>
      </c>
      <c r="E455" s="940"/>
      <c r="F455" s="654" t="s">
        <v>243</v>
      </c>
      <c r="G455" s="654" t="s">
        <v>49</v>
      </c>
      <c r="H455" s="655" cm="1">
        <f t="array" aca="1" ref="H455" ca="1">IFERROR(
    INDIRECT(
        "RawData!" &amp;
        ADDRESS(
            2,
            MATCH(
                TRIM(MID(A455, SEARCH(". ", A455) + 2, LEN(A455))) &amp; ".Import_kWh",
                RawData!$1:$1,
                0
            ),
            4
        )
    ),
    0
)</f>
        <v>0</v>
      </c>
      <c r="I455" s="655" cm="1">
        <f t="array" aca="1" ref="I455" ca="1">IFERROR(
    INDIRECT(
        "RawData!" &amp;
        ADDRESS(
            COUNTA(RawData!A:A),
            MATCH(
                TRIM(MID(A455, SEARCH(". ", A455) + 2, LEN(A455))) &amp; ".Import_kWh",
                RawData!$1:$1,
                0
            ),
            4
        )
    ),
    0
)</f>
        <v>0</v>
      </c>
      <c r="J455" s="680">
        <f ca="1">(I455-H455)*C455</f>
        <v>0</v>
      </c>
      <c r="K455" s="941" t="e">
        <f ca="1">J455*K$450/(J$451+J$455+J$458)</f>
        <v>#DIV/0!</v>
      </c>
      <c r="L455" s="581" t="e">
        <f ca="1">K455/J455</f>
        <v>#DIV/0!</v>
      </c>
      <c r="M455" s="900" t="e">
        <f ca="1">R456+R457</f>
        <v>#DIV/0!</v>
      </c>
      <c r="N455" s="942"/>
      <c r="O455" s="942"/>
      <c r="P455" s="920"/>
      <c r="Q455" s="952"/>
      <c r="R455" s="945"/>
      <c r="S455" s="69"/>
      <c r="T455" s="69"/>
    </row>
    <row r="456" spans="1:26" ht="15.95" customHeight="1">
      <c r="A456" s="555" t="s">
        <v>1260</v>
      </c>
      <c r="B456" s="800"/>
      <c r="C456" s="800">
        <v>1</v>
      </c>
      <c r="D456" s="595" t="s">
        <v>47</v>
      </c>
      <c r="E456" s="800"/>
      <c r="F456" s="595" t="s">
        <v>243</v>
      </c>
      <c r="G456" s="595" t="s">
        <v>49</v>
      </c>
      <c r="H456" s="665" cm="1">
        <f t="array" aca="1" ref="H456" ca="1">IFERROR(
    INDIRECT(
        "RawData!" &amp;
        ADDRESS(
            2,
            MATCH(
                TRIM(MID(A456, SEARCH(". ", A456) + 2, LEN(A456))) &amp; ".Import_kWh",
                RawData!$1:$1,
                0
            ),
            4
        )
    ),
    0
)</f>
        <v>0</v>
      </c>
      <c r="I456" s="665" cm="1">
        <f t="array" aca="1" ref="I456" ca="1">IFERROR(
    INDIRECT(
        "RawData!" &amp;
        ADDRESS(
            COUNTA(RawData!A:A),
            MATCH(
                TRIM(MID(A456, SEARCH(". ", A456) + 2, LEN(A456))) &amp; ".Import_kWh",
                RawData!$1:$1,
                0
            ),
            4
        )
    ),
    0
)</f>
        <v>0</v>
      </c>
      <c r="J456" s="666">
        <f ca="1">(I456-H456)*C456</f>
        <v>0</v>
      </c>
      <c r="K456" s="949">
        <f ca="1">J456</f>
        <v>0</v>
      </c>
      <c r="L456" s="840" t="e">
        <f ca="1">K456/J456</f>
        <v>#DIV/0!</v>
      </c>
      <c r="M456" s="1052">
        <f ca="1">K456/30</f>
        <v>0</v>
      </c>
      <c r="N456" s="687"/>
      <c r="O456" s="687"/>
      <c r="P456" s="800"/>
      <c r="Q456" s="917"/>
      <c r="R456" s="918">
        <f ca="1">K456</f>
        <v>0</v>
      </c>
      <c r="S456" s="114" t="s">
        <v>422</v>
      </c>
      <c r="T456" s="115" t="s">
        <v>423</v>
      </c>
    </row>
    <row r="457" spans="1:26" ht="15.95" customHeight="1">
      <c r="A457" s="555" t="s">
        <v>885</v>
      </c>
      <c r="B457" s="800"/>
      <c r="C457" s="800"/>
      <c r="D457" s="800"/>
      <c r="E457" s="800"/>
      <c r="F457" s="800"/>
      <c r="G457" s="800"/>
      <c r="H457" s="1053"/>
      <c r="I457" s="1053"/>
      <c r="J457" s="673"/>
      <c r="K457" s="949" t="e">
        <f ca="1">K455-K456</f>
        <v>#DIV/0!</v>
      </c>
      <c r="L457" s="840"/>
      <c r="M457" s="676"/>
      <c r="N457" s="687"/>
      <c r="O457" s="687"/>
      <c r="P457" s="800"/>
      <c r="Q457" s="917"/>
      <c r="R457" s="918" t="e">
        <f ca="1">K457</f>
        <v>#DIV/0!</v>
      </c>
      <c r="S457" s="114" t="s">
        <v>120</v>
      </c>
      <c r="T457" s="115" t="s">
        <v>498</v>
      </c>
    </row>
    <row r="458" spans="1:26" ht="15.95" customHeight="1">
      <c r="A458" s="919" t="s">
        <v>886</v>
      </c>
      <c r="B458" s="920" t="s">
        <v>101</v>
      </c>
      <c r="C458" s="920">
        <v>1</v>
      </c>
      <c r="D458" s="654" t="s">
        <v>47</v>
      </c>
      <c r="E458" s="940"/>
      <c r="F458" s="654" t="s">
        <v>243</v>
      </c>
      <c r="G458" s="654" t="s">
        <v>49</v>
      </c>
      <c r="H458" s="655" cm="1">
        <f t="array" aca="1" ref="H458" ca="1">IFERROR(
    INDIRECT(
        "RawData!" &amp;
        ADDRESS(
            2,
            MATCH(
                TRIM(MID(A458, SEARCH(". ", A458) + 2, LEN(A458))) &amp; ".Import_kWh",
                RawData!$1:$1,
                0
            ),
            4
        )
    ),
    0
)</f>
        <v>0</v>
      </c>
      <c r="I458" s="655" cm="1">
        <f t="array" aca="1" ref="I458" ca="1">IFERROR(
    INDIRECT(
        "RawData!" &amp;
        ADDRESS(
            COUNTA(RawData!A:A),
            MATCH(
                TRIM(MID(A458, SEARCH(". ", A458) + 2, LEN(A458))) &amp; ".Import_kWh",
                RawData!$1:$1,
                0
            ),
            4
        )
    ),
    0
)</f>
        <v>0</v>
      </c>
      <c r="J458" s="680">
        <f ca="1">(I458-H458)*C458</f>
        <v>0</v>
      </c>
      <c r="K458" s="941" t="e">
        <f ca="1">J458*K$450/(J$451+J$455+J$458)</f>
        <v>#DIV/0!</v>
      </c>
      <c r="L458" s="581" t="e">
        <f ca="1">K458/J458</f>
        <v>#DIV/0!</v>
      </c>
      <c r="M458" s="872" t="e">
        <f ca="1">R459+R460</f>
        <v>#DIV/0!</v>
      </c>
      <c r="N458" s="922"/>
      <c r="O458" s="922"/>
      <c r="P458" s="920"/>
      <c r="Q458" s="923"/>
      <c r="R458" s="924"/>
      <c r="S458" s="69"/>
      <c r="T458" s="69"/>
    </row>
    <row r="459" spans="1:26" ht="15.95" customHeight="1">
      <c r="A459" s="555" t="s">
        <v>887</v>
      </c>
      <c r="B459" s="794"/>
      <c r="C459" s="794"/>
      <c r="D459" s="794"/>
      <c r="E459" s="794"/>
      <c r="F459" s="794"/>
      <c r="G459" s="794"/>
      <c r="H459" s="594"/>
      <c r="I459" s="594"/>
      <c r="J459" s="972"/>
      <c r="K459" s="472" t="e">
        <f ca="1">R459/O459</f>
        <v>#DIV/0!</v>
      </c>
      <c r="L459" s="840"/>
      <c r="M459" s="472">
        <v>4.8</v>
      </c>
      <c r="N459" s="1012">
        <v>19</v>
      </c>
      <c r="O459" s="1012">
        <v>22</v>
      </c>
      <c r="P459" s="972">
        <f>M459*O459</f>
        <v>105.6</v>
      </c>
      <c r="Q459" s="947">
        <f>P459/(P$459+P$460)</f>
        <v>7.0796460176991149E-2</v>
      </c>
      <c r="R459" s="918" t="e">
        <f ca="1">Q459*K$458</f>
        <v>#DIV/0!</v>
      </c>
      <c r="S459" s="114" t="s">
        <v>120</v>
      </c>
      <c r="T459" s="115" t="s">
        <v>498</v>
      </c>
    </row>
    <row r="460" spans="1:26" ht="15.95" customHeight="1">
      <c r="A460" s="555" t="s">
        <v>888</v>
      </c>
      <c r="B460" s="800"/>
      <c r="C460" s="800"/>
      <c r="D460" s="800"/>
      <c r="E460" s="800"/>
      <c r="F460" s="800"/>
      <c r="G460" s="800"/>
      <c r="H460" s="1013"/>
      <c r="I460" s="1013"/>
      <c r="J460" s="800"/>
      <c r="K460" s="472" t="e">
        <f ca="1">R460/O460</f>
        <v>#DIV/0!</v>
      </c>
      <c r="L460" s="973"/>
      <c r="M460" s="676">
        <v>63</v>
      </c>
      <c r="N460" s="687">
        <v>19</v>
      </c>
      <c r="O460" s="687">
        <v>22</v>
      </c>
      <c r="P460" s="972">
        <f>M460*O460</f>
        <v>1386</v>
      </c>
      <c r="Q460" s="947">
        <f>P460/(P$459+P$460)</f>
        <v>0.92920353982300896</v>
      </c>
      <c r="R460" s="918" t="e">
        <f ca="1">Q460*K$458</f>
        <v>#DIV/0!</v>
      </c>
      <c r="S460" s="114" t="s">
        <v>120</v>
      </c>
      <c r="T460" s="115" t="s">
        <v>518</v>
      </c>
    </row>
    <row r="461" spans="1:26" ht="15.95" customHeight="1">
      <c r="A461" s="555"/>
      <c r="B461" s="800"/>
      <c r="C461" s="800"/>
      <c r="D461" s="800"/>
      <c r="E461" s="800"/>
      <c r="F461" s="800"/>
      <c r="G461" s="800"/>
      <c r="H461" s="1053"/>
      <c r="I461" s="1053"/>
      <c r="J461" s="673"/>
      <c r="K461" s="472"/>
      <c r="L461" s="840"/>
      <c r="M461" s="873"/>
      <c r="N461" s="687"/>
      <c r="O461" s="687"/>
      <c r="P461" s="800"/>
      <c r="Q461" s="917"/>
      <c r="R461" s="918"/>
      <c r="S461" s="69"/>
      <c r="T461" s="69"/>
    </row>
    <row r="462" spans="1:26" ht="15.95" customHeight="1">
      <c r="A462" s="555"/>
      <c r="B462" s="903"/>
      <c r="C462" s="800"/>
      <c r="D462" s="800"/>
      <c r="E462" s="800"/>
      <c r="F462" s="800"/>
      <c r="G462" s="800"/>
      <c r="H462" s="1013"/>
      <c r="I462" s="1013"/>
      <c r="J462" s="800"/>
      <c r="K462" s="973"/>
      <c r="L462" s="973"/>
      <c r="M462" s="676"/>
      <c r="N462" s="687"/>
      <c r="O462" s="687"/>
      <c r="P462" s="973"/>
      <c r="Q462" s="917"/>
      <c r="R462" s="918"/>
      <c r="S462" s="69"/>
      <c r="T462" s="69"/>
    </row>
    <row r="463" spans="1:26" ht="15.95" customHeight="1">
      <c r="A463" s="910" t="s">
        <v>889</v>
      </c>
      <c r="B463" s="911"/>
      <c r="C463" s="911">
        <v>1</v>
      </c>
      <c r="D463" s="1054" t="s">
        <v>890</v>
      </c>
      <c r="E463" s="911"/>
      <c r="F463" s="911"/>
      <c r="G463" s="911"/>
      <c r="H463" s="1055"/>
      <c r="I463" s="1055"/>
      <c r="J463" s="987">
        <f>(I463-H463)*C463</f>
        <v>0</v>
      </c>
      <c r="K463" s="647" t="e">
        <f ca="1">J463*J$777/(J$5+J$65+J$72+J$81+J$89+J$138+J$212+J$285+J$306+J$373+J$388+J$396+J$397+J$450+J$463+J$471+J$513+J$564+J$603+J$646)</f>
        <v>#DIV/0!</v>
      </c>
      <c r="L463" s="912"/>
      <c r="M463" s="1056">
        <f>R465+R467+R468+R469</f>
        <v>0</v>
      </c>
      <c r="N463" s="914"/>
      <c r="O463" s="914"/>
      <c r="P463" s="911"/>
      <c r="Q463" s="915"/>
      <c r="R463" s="916"/>
      <c r="S463" s="69"/>
      <c r="T463" s="69"/>
    </row>
    <row r="464" spans="1:26" ht="15.95" customHeight="1">
      <c r="A464" s="919" t="s">
        <v>891</v>
      </c>
      <c r="B464" s="920"/>
      <c r="C464" s="920">
        <v>1</v>
      </c>
      <c r="D464" s="1057" t="s">
        <v>890</v>
      </c>
      <c r="E464" s="920"/>
      <c r="F464" s="920"/>
      <c r="G464" s="920"/>
      <c r="H464" s="1014"/>
      <c r="I464" s="1014"/>
      <c r="J464" s="853">
        <f>(I464-H464)*C464</f>
        <v>0</v>
      </c>
      <c r="K464" s="1058">
        <f>J464</f>
        <v>0</v>
      </c>
      <c r="L464" s="581"/>
      <c r="M464" s="1059">
        <f>R465</f>
        <v>0</v>
      </c>
      <c r="N464" s="879"/>
      <c r="O464" s="879"/>
      <c r="P464" s="879"/>
      <c r="Q464" s="879"/>
      <c r="R464" s="1060"/>
      <c r="S464" s="69"/>
      <c r="T464" s="69"/>
    </row>
    <row r="465" spans="1:20" ht="15.95" customHeight="1">
      <c r="A465" s="555" t="s">
        <v>854</v>
      </c>
      <c r="B465" s="800"/>
      <c r="C465" s="800"/>
      <c r="D465" s="800"/>
      <c r="E465" s="800"/>
      <c r="F465" s="800"/>
      <c r="G465" s="800"/>
      <c r="H465" s="594"/>
      <c r="I465" s="594"/>
      <c r="J465" s="800"/>
      <c r="K465" s="973"/>
      <c r="L465" s="973"/>
      <c r="M465" s="676"/>
      <c r="N465" s="687"/>
      <c r="O465" s="687"/>
      <c r="P465" s="800"/>
      <c r="Q465" s="917"/>
      <c r="R465" s="918">
        <f>K464</f>
        <v>0</v>
      </c>
      <c r="S465" s="114" t="s">
        <v>98</v>
      </c>
      <c r="T465" s="115" t="s">
        <v>144</v>
      </c>
    </row>
    <row r="466" spans="1:20" ht="15.95" customHeight="1">
      <c r="A466" s="919" t="s">
        <v>892</v>
      </c>
      <c r="B466" s="1061" t="s">
        <v>382</v>
      </c>
      <c r="C466" s="1061">
        <v>1</v>
      </c>
      <c r="D466" s="654" t="s">
        <v>47</v>
      </c>
      <c r="E466" s="940"/>
      <c r="F466" s="654" t="s">
        <v>243</v>
      </c>
      <c r="G466" s="654" t="s">
        <v>49</v>
      </c>
      <c r="H466" s="1062"/>
      <c r="I466" s="1062"/>
      <c r="J466" s="853">
        <f>(I466-H466)*C466</f>
        <v>0</v>
      </c>
      <c r="K466" s="1058">
        <f>J466</f>
        <v>0</v>
      </c>
      <c r="L466" s="581"/>
      <c r="M466" s="1063"/>
      <c r="N466" s="922"/>
      <c r="O466" s="922"/>
      <c r="P466" s="920"/>
      <c r="Q466" s="923"/>
      <c r="R466" s="924"/>
      <c r="S466" s="69"/>
      <c r="T466" s="69"/>
    </row>
    <row r="467" spans="1:20" ht="15.95" customHeight="1">
      <c r="A467" s="555" t="s">
        <v>893</v>
      </c>
      <c r="B467" s="992"/>
      <c r="C467" s="992"/>
      <c r="D467" s="992"/>
      <c r="E467" s="992"/>
      <c r="F467" s="992"/>
      <c r="G467" s="992"/>
      <c r="H467" s="611"/>
      <c r="I467" s="611"/>
      <c r="J467" s="673"/>
      <c r="K467" s="617"/>
      <c r="L467" s="801"/>
      <c r="M467" s="676">
        <f>3.456+2.7+2.5+7.6</f>
        <v>16.256</v>
      </c>
      <c r="N467" s="687"/>
      <c r="O467" s="687"/>
      <c r="P467" s="800"/>
      <c r="Q467" s="917">
        <f>M467/(M$467+M$468)</f>
        <v>0.92616226071103014</v>
      </c>
      <c r="R467" s="918">
        <f>K$466*Q467</f>
        <v>0</v>
      </c>
      <c r="S467" s="114" t="s">
        <v>98</v>
      </c>
      <c r="T467" s="115" t="s">
        <v>149</v>
      </c>
    </row>
    <row r="468" spans="1:20" ht="15.95" customHeight="1">
      <c r="A468" s="555" t="s">
        <v>622</v>
      </c>
      <c r="B468" s="992"/>
      <c r="C468" s="992"/>
      <c r="D468" s="992"/>
      <c r="E468" s="992"/>
      <c r="F468" s="992"/>
      <c r="G468" s="992"/>
      <c r="H468" s="1064"/>
      <c r="I468" s="1064"/>
      <c r="J468" s="673"/>
      <c r="K468" s="617"/>
      <c r="L468" s="801"/>
      <c r="M468" s="676">
        <v>1.296</v>
      </c>
      <c r="N468" s="687"/>
      <c r="O468" s="687"/>
      <c r="P468" s="800"/>
      <c r="Q468" s="917">
        <f>M468/(M$467+M$468)</f>
        <v>7.3837739288969917E-2</v>
      </c>
      <c r="R468" s="918">
        <f>K$466*Q468</f>
        <v>0</v>
      </c>
      <c r="S468" s="114" t="s">
        <v>98</v>
      </c>
      <c r="T468" s="115" t="s">
        <v>144</v>
      </c>
    </row>
    <row r="469" spans="1:20" ht="15.95" customHeight="1">
      <c r="A469" s="919" t="s">
        <v>894</v>
      </c>
      <c r="B469" s="1061"/>
      <c r="C469" s="1065"/>
      <c r="D469" s="1065"/>
      <c r="E469" s="1065"/>
      <c r="F469" s="1065"/>
      <c r="G469" s="1065"/>
      <c r="H469" s="1066"/>
      <c r="I469" s="1066"/>
      <c r="J469" s="879"/>
      <c r="K469" s="1067"/>
      <c r="L469" s="1068"/>
      <c r="M469" s="1063"/>
      <c r="N469" s="922"/>
      <c r="O469" s="922"/>
      <c r="P469" s="920"/>
      <c r="Q469" s="923"/>
      <c r="R469" s="924"/>
      <c r="S469" s="69"/>
      <c r="T469" s="69"/>
    </row>
    <row r="470" spans="1:20" ht="15.95" customHeight="1">
      <c r="A470" s="555"/>
      <c r="B470" s="800"/>
      <c r="C470" s="800"/>
      <c r="D470" s="800"/>
      <c r="E470" s="800"/>
      <c r="F470" s="800"/>
      <c r="G470" s="800"/>
      <c r="H470" s="594"/>
      <c r="I470" s="594"/>
      <c r="J470" s="673"/>
      <c r="K470" s="568"/>
      <c r="L470" s="840"/>
      <c r="M470" s="873"/>
      <c r="N470" s="687"/>
      <c r="O470" s="687"/>
      <c r="P470" s="973"/>
      <c r="Q470" s="917"/>
      <c r="R470" s="918"/>
      <c r="S470" s="69"/>
      <c r="T470" s="69"/>
    </row>
    <row r="471" spans="1:20" ht="15.95" customHeight="1">
      <c r="A471" s="910" t="s">
        <v>1199</v>
      </c>
      <c r="B471" s="911" t="s">
        <v>545</v>
      </c>
      <c r="C471" s="911">
        <v>1</v>
      </c>
      <c r="D471" s="644" t="s">
        <v>47</v>
      </c>
      <c r="E471" s="643"/>
      <c r="F471" s="644" t="s">
        <v>48</v>
      </c>
      <c r="G471" s="643" t="s">
        <v>49</v>
      </c>
      <c r="H471" s="766" cm="1">
        <f t="array" aca="1" ref="H471" ca="1">IFERROR(
    INDIRECT(
        "RawData!" &amp;
        ADDRESS(
            2,
            MATCH(
                TRIM(MID(A471, SEARCH(". ", A471) + 2, LEN(A471))) &amp; ".Import_kWh",
                RawData!$1:$1,
                0
            ),
            4
        )
    ),
    0
)</f>
        <v>0</v>
      </c>
      <c r="I471" s="766" cm="1">
        <f t="array" aca="1" ref="I471" ca="1">IFERROR(
    INDIRECT(
        "RawData!" &amp;
        ADDRESS(
            COUNTA(RawData!A:A),
            MATCH(
                TRIM(MID(A471, SEARCH(". ", A471) + 2, LEN(A471))) &amp; ".Import_kWh",
                RawData!$1:$1,
                0
            ),
            4
        )
    ),
    0
)</f>
        <v>0</v>
      </c>
      <c r="J471" s="646">
        <f ca="1">(I471-H471)*C471</f>
        <v>0</v>
      </c>
      <c r="K471" s="647" t="e">
        <f ca="1">J471*J$777/(J$5+J$65+J$72+J$81+J$89+J$138+J$212+J$285+J$306+J$373+J$388+J$396+J$397+J$450+J$463+J$471+J$513+J$564+J$603+J$646)</f>
        <v>#DIV/0!</v>
      </c>
      <c r="L471" s="1069" t="e">
        <f ca="1">K471/J471</f>
        <v>#DIV/0!</v>
      </c>
      <c r="M471" s="913" t="e">
        <f ca="1">M472+M478+M490+M498+M503+M505+R510+K511+M487</f>
        <v>#DIV/0!</v>
      </c>
      <c r="N471" s="914"/>
      <c r="O471" s="914"/>
      <c r="P471" s="1070"/>
      <c r="Q471" s="915"/>
      <c r="R471" s="916"/>
      <c r="S471" s="69"/>
      <c r="T471" s="69"/>
    </row>
    <row r="472" spans="1:20" ht="15.95" customHeight="1">
      <c r="A472" s="919" t="s">
        <v>895</v>
      </c>
      <c r="B472" s="920" t="s">
        <v>185</v>
      </c>
      <c r="C472" s="920">
        <v>1</v>
      </c>
      <c r="D472" s="1017" t="s">
        <v>47</v>
      </c>
      <c r="E472" s="654"/>
      <c r="F472" s="654" t="s">
        <v>243</v>
      </c>
      <c r="G472" s="654" t="s">
        <v>49</v>
      </c>
      <c r="H472" s="655" cm="1">
        <f t="array" aca="1" ref="H472" ca="1">IFERROR(
    INDIRECT(
        "RawData!" &amp;
        ADDRESS(
            2,
            MATCH(
                TRIM(MID(A472, SEARCH(". ", A472) + 2, LEN(A472))) &amp; ".Import_kWh",
                RawData!$1:$1,
                0
            ),
            4
        )
    ),
    0
)</f>
        <v>0</v>
      </c>
      <c r="I472" s="655" cm="1">
        <f t="array" aca="1" ref="I472" ca="1">IFERROR(
    INDIRECT(
        "RawData!" &amp;
        ADDRESS(
            COUNTA(RawData!A:A),
            MATCH(
                TRIM(MID(A472, SEARCH(". ", A472) + 2, LEN(A472))) &amp; ".Import_kWh",
                RawData!$1:$1,
                0
            ),
            4
        )
    ),
    0
)</f>
        <v>0</v>
      </c>
      <c r="J472" s="680">
        <f ca="1">(I472-H472)*C472</f>
        <v>0</v>
      </c>
      <c r="K472" s="1071" t="e">
        <f ca="1">J472*K$471/(J$472+J$478+J$490+J$498+J$503+J$505+J$510+J$487)</f>
        <v>#DIV/0!</v>
      </c>
      <c r="L472" s="581" t="e">
        <f ca="1">K472/J472</f>
        <v>#DIV/0!</v>
      </c>
      <c r="M472" s="874" t="e">
        <f ca="1">R473+R476</f>
        <v>#DIV/0!</v>
      </c>
      <c r="N472" s="922"/>
      <c r="O472" s="922"/>
      <c r="P472" s="1068"/>
      <c r="Q472" s="923"/>
      <c r="R472" s="924"/>
      <c r="S472" s="69"/>
      <c r="T472" s="69"/>
    </row>
    <row r="473" spans="1:20" ht="12.75" customHeight="1">
      <c r="A473" s="555" t="s">
        <v>896</v>
      </c>
      <c r="B473" s="800"/>
      <c r="C473" s="800"/>
      <c r="D473" s="800"/>
      <c r="E473" s="800"/>
      <c r="F473" s="800"/>
      <c r="G473" s="800"/>
      <c r="H473" s="594"/>
      <c r="I473" s="594"/>
      <c r="J473" s="666"/>
      <c r="K473" s="802" t="e">
        <f ca="1">K472-K476</f>
        <v>#DIV/0!</v>
      </c>
      <c r="L473" s="801"/>
      <c r="M473" s="802"/>
      <c r="N473" s="687"/>
      <c r="O473" s="687"/>
      <c r="P473" s="973"/>
      <c r="Q473" s="917"/>
      <c r="R473" s="918" t="e">
        <f ca="1">K473</f>
        <v>#DIV/0!</v>
      </c>
      <c r="S473" s="114" t="s">
        <v>269</v>
      </c>
      <c r="T473" s="115" t="s">
        <v>281</v>
      </c>
    </row>
    <row r="474" spans="1:20" ht="15.95" customHeight="1">
      <c r="A474" s="1072" t="s">
        <v>897</v>
      </c>
      <c r="B474" s="800"/>
      <c r="C474" s="800"/>
      <c r="D474" s="800"/>
      <c r="E474" s="800"/>
      <c r="F474" s="800"/>
      <c r="G474" s="800"/>
      <c r="H474" s="594"/>
      <c r="I474" s="594"/>
      <c r="J474" s="666"/>
      <c r="K474" s="596"/>
      <c r="L474" s="801"/>
      <c r="M474" s="802"/>
      <c r="N474" s="687"/>
      <c r="O474" s="687"/>
      <c r="P474" s="973"/>
      <c r="Q474" s="917"/>
      <c r="R474" s="918"/>
      <c r="S474" s="69"/>
      <c r="T474" s="69"/>
    </row>
    <row r="475" spans="1:20" ht="15.95" customHeight="1">
      <c r="A475" s="1072" t="s">
        <v>898</v>
      </c>
      <c r="B475" s="800"/>
      <c r="C475" s="800"/>
      <c r="D475" s="800"/>
      <c r="E475" s="800"/>
      <c r="F475" s="800"/>
      <c r="G475" s="800"/>
      <c r="H475" s="594"/>
      <c r="I475" s="594"/>
      <c r="J475" s="666"/>
      <c r="K475" s="596"/>
      <c r="L475" s="801"/>
      <c r="M475" s="802"/>
      <c r="N475" s="687"/>
      <c r="O475" s="687"/>
      <c r="P475" s="973"/>
      <c r="Q475" s="917"/>
      <c r="R475" s="918"/>
      <c r="S475" s="69"/>
      <c r="T475" s="69"/>
    </row>
    <row r="476" spans="1:20" ht="15.95" customHeight="1">
      <c r="A476" s="555" t="s">
        <v>899</v>
      </c>
      <c r="B476" s="800"/>
      <c r="C476" s="800">
        <v>1</v>
      </c>
      <c r="D476" s="1073" t="s">
        <v>47</v>
      </c>
      <c r="E476" s="595"/>
      <c r="F476" s="595" t="s">
        <v>243</v>
      </c>
      <c r="G476" s="595" t="s">
        <v>49</v>
      </c>
      <c r="H476" s="665" cm="1">
        <f t="array" aca="1" ref="H476" ca="1">IFERROR(
    INDIRECT(
        "RawData!" &amp;
        ADDRESS(
            2,
            MATCH(
                TRIM(MID(A476, SEARCH(". ", A476) + 2, LEN(A476))) &amp; ".Import_kWh",
                RawData!$1:$1,
                0
            ),
            4
        )
    ),
    0
)</f>
        <v>0</v>
      </c>
      <c r="I476" s="665" cm="1">
        <f t="array" aca="1" ref="I476" ca="1">IFERROR(
    INDIRECT(
        "RawData!" &amp;
        ADDRESS(
            COUNTA(RawData!A:A),
            MATCH(
                TRIM(MID(A476, SEARCH(". ", A476) + 2, LEN(A476))) &amp; ".Import_kWh",
                RawData!$1:$1,
                0
            ),
            4
        )
    ),
    0
)</f>
        <v>0</v>
      </c>
      <c r="J476" s="666">
        <f ca="1">(I476-H476)*C476</f>
        <v>0</v>
      </c>
      <c r="K476" s="1074">
        <f ca="1">J476</f>
        <v>0</v>
      </c>
      <c r="L476" s="801" t="e">
        <f ca="1">K476/J476</f>
        <v>#DIV/0!</v>
      </c>
      <c r="M476" s="802"/>
      <c r="N476" s="687"/>
      <c r="O476" s="687"/>
      <c r="P476" s="973"/>
      <c r="Q476" s="917"/>
      <c r="R476" s="918">
        <f ca="1">K476</f>
        <v>0</v>
      </c>
      <c r="S476" s="114" t="s">
        <v>329</v>
      </c>
      <c r="T476" s="115" t="s">
        <v>331</v>
      </c>
    </row>
    <row r="477" spans="1:20" ht="15.95" customHeight="1">
      <c r="A477" s="555" t="s">
        <v>900</v>
      </c>
      <c r="B477" s="800"/>
      <c r="C477" s="800"/>
      <c r="D477" s="800"/>
      <c r="E477" s="800"/>
      <c r="F477" s="800"/>
      <c r="G477" s="800"/>
      <c r="H477" s="594"/>
      <c r="I477" s="594"/>
      <c r="J477" s="666"/>
      <c r="K477" s="596"/>
      <c r="L477" s="801"/>
      <c r="M477" s="802"/>
      <c r="N477" s="687"/>
      <c r="O477" s="687"/>
      <c r="P477" s="973"/>
      <c r="Q477" s="917"/>
      <c r="R477" s="918"/>
      <c r="S477" s="69"/>
      <c r="T477" s="69"/>
    </row>
    <row r="478" spans="1:20" ht="15.95" customHeight="1">
      <c r="A478" s="919" t="s">
        <v>1200</v>
      </c>
      <c r="B478" s="920" t="s">
        <v>64</v>
      </c>
      <c r="C478" s="920">
        <v>1</v>
      </c>
      <c r="D478" s="1017" t="s">
        <v>47</v>
      </c>
      <c r="E478" s="654"/>
      <c r="F478" s="1017" t="s">
        <v>48</v>
      </c>
      <c r="G478" s="654" t="s">
        <v>49</v>
      </c>
      <c r="H478" s="655" cm="1">
        <f t="array" aca="1" ref="H478" ca="1">IFERROR(
    INDIRECT(
        "RawData!" &amp;
        ADDRESS(
            2,
            MATCH(
                TRIM(MID(A478, SEARCH(". ", A478) + 2, LEN(A478))) &amp; ".Import_kWh",
                RawData!$1:$1,
                0
            ),
            4
        )
    ),
    0
)</f>
        <v>0</v>
      </c>
      <c r="I478" s="655" cm="1">
        <f t="array" aca="1" ref="I478" ca="1">IFERROR(
    INDIRECT(
        "RawData!" &amp;
        ADDRESS(
            COUNTA(RawData!A:A),
            MATCH(
                TRIM(MID(A478, SEARCH(". ", A478) + 2, LEN(A478))) &amp; ".Import_kWh",
                RawData!$1:$1,
                0
            ),
            4
        )
    ),
    0
)</f>
        <v>0</v>
      </c>
      <c r="J478" s="680">
        <f ca="1">(I478-H478)*C478</f>
        <v>0</v>
      </c>
      <c r="K478" s="1071" t="e">
        <f ca="1">J478*K$471/(J$472+J$478+J$490+J$498+J$503+J$505+J$510+J$487)</f>
        <v>#DIV/0!</v>
      </c>
      <c r="L478" s="1075" t="e">
        <f ca="1">K478/J478</f>
        <v>#DIV/0!</v>
      </c>
      <c r="M478" s="872" t="e">
        <f ca="1">R480+R481+R482+R484+R485</f>
        <v>#DIV/0!</v>
      </c>
      <c r="N478" s="922"/>
      <c r="O478" s="922"/>
      <c r="P478" s="920"/>
      <c r="Q478" s="923"/>
      <c r="R478" s="924"/>
      <c r="S478" s="69"/>
      <c r="T478" s="69"/>
    </row>
    <row r="479" spans="1:20" ht="15.95" customHeight="1">
      <c r="A479" s="555"/>
      <c r="B479" s="800"/>
      <c r="C479" s="800"/>
      <c r="D479" s="800"/>
      <c r="E479" s="800"/>
      <c r="F479" s="800"/>
      <c r="G479" s="800"/>
      <c r="H479" s="762"/>
      <c r="I479" s="762"/>
      <c r="J479" s="673"/>
      <c r="K479" s="1074" t="e">
        <f ca="1">K478-(K484+K485)</f>
        <v>#DIV/0!</v>
      </c>
      <c r="L479" s="994"/>
      <c r="M479" s="873"/>
      <c r="N479" s="687"/>
      <c r="O479" s="687"/>
      <c r="P479" s="800"/>
      <c r="Q479" s="917"/>
      <c r="R479" s="918"/>
      <c r="S479" s="69"/>
      <c r="T479" s="69"/>
    </row>
    <row r="480" spans="1:20" ht="15.95" customHeight="1">
      <c r="A480" s="804" t="s">
        <v>901</v>
      </c>
      <c r="B480" s="800"/>
      <c r="C480" s="800"/>
      <c r="D480" s="800"/>
      <c r="E480" s="800"/>
      <c r="F480" s="800"/>
      <c r="G480" s="800"/>
      <c r="H480" s="762"/>
      <c r="I480" s="762"/>
      <c r="J480" s="673"/>
      <c r="K480" s="954">
        <f>376*O480</f>
        <v>13536</v>
      </c>
      <c r="M480" s="461">
        <f>9.6+9.6+9.6+1.5+4.85+4.85</f>
        <v>40</v>
      </c>
      <c r="N480" s="687">
        <v>30</v>
      </c>
      <c r="O480" s="687">
        <v>36</v>
      </c>
      <c r="P480" s="800">
        <f>M480*O480</f>
        <v>1440</v>
      </c>
      <c r="Q480" s="917">
        <f>P480/(P$480+P$481+P$482)</f>
        <v>0.30221625251846884</v>
      </c>
      <c r="R480" s="918" t="e">
        <f ca="1">Q480*K$479</f>
        <v>#DIV/0!</v>
      </c>
      <c r="S480" s="114" t="s">
        <v>276</v>
      </c>
      <c r="T480" s="115" t="s">
        <v>277</v>
      </c>
    </row>
    <row r="481" spans="1:61" ht="15.95" customHeight="1">
      <c r="A481" s="555" t="s">
        <v>902</v>
      </c>
      <c r="B481" s="800"/>
      <c r="C481" s="800"/>
      <c r="D481" s="800"/>
      <c r="E481" s="800"/>
      <c r="F481" s="800"/>
      <c r="G481" s="800"/>
      <c r="H481" s="762"/>
      <c r="I481" s="762"/>
      <c r="J481" s="673"/>
      <c r="K481" s="954">
        <f>294*O481</f>
        <v>9408</v>
      </c>
      <c r="L481" s="994"/>
      <c r="M481" s="676">
        <f>84.7+9.6+9.6</f>
        <v>103.89999999999999</v>
      </c>
      <c r="N481" s="687">
        <v>26</v>
      </c>
      <c r="O481" s="687">
        <v>32</v>
      </c>
      <c r="P481" s="800">
        <f>M481*O481</f>
        <v>3324.7999999999997</v>
      </c>
      <c r="Q481" s="917">
        <f>P481/(P$480+P$481+P$482)</f>
        <v>0.69778374748153127</v>
      </c>
      <c r="R481" s="918" t="e">
        <f ca="1">Q481*K$479</f>
        <v>#DIV/0!</v>
      </c>
      <c r="S481" s="114" t="s">
        <v>316</v>
      </c>
      <c r="T481" s="115" t="s">
        <v>325</v>
      </c>
    </row>
    <row r="482" spans="1:61" ht="15.95" customHeight="1">
      <c r="A482" s="804" t="s">
        <v>903</v>
      </c>
      <c r="B482" s="800"/>
      <c r="C482" s="800"/>
      <c r="D482" s="800"/>
      <c r="E482" s="800"/>
      <c r="F482" s="800"/>
      <c r="G482" s="800"/>
      <c r="H482" s="762"/>
      <c r="I482" s="762"/>
      <c r="J482" s="673"/>
      <c r="K482" s="973"/>
      <c r="L482" s="801"/>
      <c r="M482" s="676">
        <v>0</v>
      </c>
      <c r="N482" s="687">
        <v>0</v>
      </c>
      <c r="O482" s="687">
        <v>0</v>
      </c>
      <c r="P482" s="800">
        <f>M482*O482</f>
        <v>0</v>
      </c>
      <c r="Q482" s="917">
        <f>P482/(P$480+P$481+P$482)</f>
        <v>0</v>
      </c>
      <c r="R482" s="918" t="e">
        <f ca="1">Q482*K$479</f>
        <v>#DIV/0!</v>
      </c>
      <c r="S482" s="114" t="s">
        <v>289</v>
      </c>
      <c r="T482" s="115" t="s">
        <v>290</v>
      </c>
    </row>
    <row r="483" spans="1:61" ht="15.95" customHeight="1">
      <c r="A483" s="555"/>
      <c r="B483" s="800"/>
      <c r="C483" s="800"/>
      <c r="D483" s="800"/>
      <c r="E483" s="800"/>
      <c r="F483" s="800"/>
      <c r="G483" s="800"/>
      <c r="H483" s="762"/>
      <c r="I483" s="762"/>
      <c r="J483" s="673"/>
      <c r="K483" s="973"/>
      <c r="L483" s="801"/>
      <c r="M483" s="676"/>
      <c r="N483" s="687"/>
      <c r="O483" s="687"/>
      <c r="P483" s="800"/>
      <c r="Q483" s="917"/>
      <c r="R483" s="918"/>
      <c r="S483" s="69"/>
      <c r="T483" s="69"/>
    </row>
    <row r="484" spans="1:61" ht="15.95" customHeight="1">
      <c r="A484" s="555" t="s">
        <v>904</v>
      </c>
      <c r="B484" s="800" t="s">
        <v>382</v>
      </c>
      <c r="C484" s="800">
        <v>20</v>
      </c>
      <c r="D484" s="800" t="s">
        <v>645</v>
      </c>
      <c r="E484" s="774" t="s">
        <v>336</v>
      </c>
      <c r="F484" s="595" t="s">
        <v>243</v>
      </c>
      <c r="G484" s="595" t="s">
        <v>49</v>
      </c>
      <c r="H484" s="1076" cm="1">
        <f t="array" aca="1" ref="H484" ca="1">IFERROR(
    INDIRECT(
        "RawData!" &amp;
        ADDRESS(
            2,
            MATCH(
                TRIM(MID(A484, SEARCH(". ", A484) + 2, LEN(A484))) &amp; ".Import_kWh",
                RawData!$1:$1,
                0
            ),
            4
        )
    ),
    0
)</f>
        <v>0</v>
      </c>
      <c r="I484" s="665" cm="1">
        <f t="array" aca="1" ref="I484" ca="1">IFERROR(
    INDIRECT(
        "RawData!" &amp;
        ADDRESS(
            COUNTA(RawData!A:A),
            MATCH(
                TRIM(MID(A484, SEARCH(". ", A484) + 2, LEN(A484))) &amp; ".Import_kWh",
                RawData!$1:$1,
                0
            ),
            4
        )
    ),
    0
)</f>
        <v>0</v>
      </c>
      <c r="J484" s="673">
        <f ca="1">(I484-H484)*C484</f>
        <v>0</v>
      </c>
      <c r="K484" s="973">
        <f ca="1">J484</f>
        <v>0</v>
      </c>
      <c r="L484" s="801" t="e">
        <f ca="1">K484/J484</f>
        <v>#DIV/0!</v>
      </c>
      <c r="M484" s="676"/>
      <c r="N484" s="687"/>
      <c r="O484" s="687"/>
      <c r="P484" s="800"/>
      <c r="Q484" s="917"/>
      <c r="R484" s="918">
        <f ca="1">K484</f>
        <v>0</v>
      </c>
      <c r="S484" s="114" t="s">
        <v>276</v>
      </c>
      <c r="T484" s="283" t="s">
        <v>311</v>
      </c>
    </row>
    <row r="485" spans="1:61" ht="15.95" customHeight="1">
      <c r="A485" s="1077" t="s">
        <v>905</v>
      </c>
      <c r="B485" s="1078" t="s">
        <v>382</v>
      </c>
      <c r="C485" s="1078">
        <v>20</v>
      </c>
      <c r="D485" s="1078" t="s">
        <v>645</v>
      </c>
      <c r="E485" s="1079" t="s">
        <v>336</v>
      </c>
      <c r="F485" s="1080" t="s">
        <v>243</v>
      </c>
      <c r="G485" s="1080" t="s">
        <v>49</v>
      </c>
      <c r="H485" s="1081" cm="1">
        <f t="array" aca="1" ref="H485" ca="1">IFERROR(
    INDIRECT(
        "RawData!" &amp;
        ADDRESS(
            2,
            MATCH(
                TRIM(MID(A485, SEARCH(". ", A485) + 2, LEN(A485))) &amp; ".Import_kWh",
                RawData!$1:$1,
                0
            ),
            4
        )
    ),
    0
)</f>
        <v>0</v>
      </c>
      <c r="I485" s="1081" cm="1">
        <f t="array" aca="1" ref="I485" ca="1">IFERROR(
    INDIRECT(
        "RawData!" &amp;
        ADDRESS(
            COUNTA(RawData!A:A),
            MATCH(
                TRIM(MID(A485, SEARCH(". ", A485) + 2, LEN(A485))) &amp; ".Import_kWh",
                RawData!$1:$1,
                0
            ),
            4
        )
    ),
    0
)</f>
        <v>0</v>
      </c>
      <c r="J485" s="1082">
        <f ca="1">(I485-H485)*C485</f>
        <v>0</v>
      </c>
      <c r="K485" s="1083">
        <f ca="1">J485</f>
        <v>0</v>
      </c>
      <c r="L485" s="1084"/>
      <c r="M485" s="1085" t="s">
        <v>906</v>
      </c>
      <c r="N485" s="1086"/>
      <c r="O485" s="1086"/>
      <c r="P485" s="1078"/>
      <c r="Q485" s="1087"/>
      <c r="R485" s="1088">
        <f ca="1">K485</f>
        <v>0</v>
      </c>
      <c r="S485" s="114" t="s">
        <v>289</v>
      </c>
      <c r="T485" s="283" t="s">
        <v>313</v>
      </c>
    </row>
    <row r="486" spans="1:61" ht="15.95" customHeight="1">
      <c r="A486" s="555"/>
      <c r="B486" s="800"/>
      <c r="C486" s="800"/>
      <c r="D486" s="800"/>
      <c r="E486" s="1089"/>
      <c r="F486" s="595"/>
      <c r="G486" s="595"/>
      <c r="H486" s="762"/>
      <c r="I486" s="762"/>
      <c r="J486" s="673"/>
      <c r="K486" s="973"/>
      <c r="L486" s="801"/>
      <c r="M486" s="676"/>
      <c r="N486" s="687"/>
      <c r="O486" s="687"/>
      <c r="P486" s="800"/>
      <c r="Q486" s="917"/>
      <c r="R486" s="918"/>
      <c r="S486" s="114"/>
      <c r="T486" s="283"/>
    </row>
    <row r="487" spans="1:61" ht="15.95" customHeight="1">
      <c r="A487" s="1090" t="s">
        <v>1201</v>
      </c>
      <c r="B487" s="940"/>
      <c r="C487" s="940">
        <v>1</v>
      </c>
      <c r="D487" s="940"/>
      <c r="E487" s="1091"/>
      <c r="F487" s="654"/>
      <c r="G487" s="654"/>
      <c r="H487" s="655" cm="1">
        <f t="array" aca="1" ref="H487" ca="1">IFERROR(
    INDIRECT(
        "RawData!" &amp;
        ADDRESS(
            2,
            MATCH(
                TRIM(MID(A487, SEARCH(". ", A487) + 2, LEN(A487))) &amp; ".Import_kWh",
                RawData!$1:$1,
                0
            ),
            4
        )
    ),
    0
)</f>
        <v>0</v>
      </c>
      <c r="I487" s="655" cm="1">
        <f t="array" aca="1" ref="I487" ca="1">IFERROR(
    INDIRECT(
        "RawData!" &amp;
        ADDRESS(
            COUNTA(RawData!A:A),
            MATCH(
                TRIM(MID(A487, SEARCH(". ", A487) + 2, LEN(A487))) &amp; ".Import_kWh",
                RawData!$1:$1,
                0
            ),
            4
        )
    ),
    0
)</f>
        <v>0</v>
      </c>
      <c r="J487" s="656">
        <f ca="1">(I487-H487)*C487</f>
        <v>0</v>
      </c>
      <c r="K487" s="1071" t="e">
        <f ca="1">J487*K$471/(J$472+J$478+J$490+J$498+J$503+J$505+J$510+J$487)</f>
        <v>#DIV/0!</v>
      </c>
      <c r="L487" s="1092"/>
      <c r="M487" s="1093" t="e">
        <f ca="1">K487</f>
        <v>#DIV/0!</v>
      </c>
      <c r="N487" s="1094"/>
      <c r="O487" s="1094"/>
      <c r="P487" s="940"/>
      <c r="Q487" s="1095"/>
      <c r="R487" s="1096" t="e">
        <f ca="1">K487</f>
        <v>#DIV/0!</v>
      </c>
      <c r="S487" s="114" t="s">
        <v>289</v>
      </c>
      <c r="T487" s="115" t="s">
        <v>290</v>
      </c>
      <c r="BA487" s="553"/>
      <c r="BB487" s="553"/>
      <c r="BC487" s="553"/>
      <c r="BD487" s="553"/>
      <c r="BE487" s="554"/>
      <c r="BF487" s="554"/>
      <c r="BG487" s="554"/>
      <c r="BH487" s="554"/>
      <c r="BI487" s="554"/>
    </row>
    <row r="488" spans="1:61" ht="15.95" customHeight="1">
      <c r="A488" s="555" t="s">
        <v>907</v>
      </c>
      <c r="B488" s="800"/>
      <c r="C488" s="800"/>
      <c r="D488" s="800"/>
      <c r="E488" s="1089"/>
      <c r="F488" s="595"/>
      <c r="G488" s="595"/>
      <c r="H488" s="762"/>
      <c r="I488" s="762"/>
      <c r="J488" s="673"/>
      <c r="K488" s="973"/>
      <c r="L488" s="801"/>
      <c r="M488" s="676"/>
      <c r="N488" s="687"/>
      <c r="O488" s="687"/>
      <c r="P488" s="800"/>
      <c r="Q488" s="917"/>
      <c r="R488" s="918"/>
      <c r="S488" s="114"/>
      <c r="T488" s="283"/>
      <c r="BA488" s="553"/>
      <c r="BB488" s="553"/>
      <c r="BC488" s="553"/>
      <c r="BD488" s="553"/>
      <c r="BE488" s="554"/>
      <c r="BF488" s="554"/>
      <c r="BG488" s="554"/>
      <c r="BH488" s="554"/>
      <c r="BI488" s="554"/>
    </row>
    <row r="489" spans="1:61" ht="15.95" customHeight="1">
      <c r="A489" s="555"/>
      <c r="B489" s="800"/>
      <c r="C489" s="800"/>
      <c r="D489" s="800"/>
      <c r="E489" s="1089"/>
      <c r="F489" s="595"/>
      <c r="G489" s="595"/>
      <c r="H489" s="762"/>
      <c r="I489" s="762"/>
      <c r="J489" s="673"/>
      <c r="K489" s="973"/>
      <c r="L489" s="801"/>
      <c r="M489" s="676"/>
      <c r="N489" s="687"/>
      <c r="O489" s="687"/>
      <c r="P489" s="800"/>
      <c r="Q489" s="917"/>
      <c r="R489" s="918"/>
      <c r="S489" s="114"/>
      <c r="T489" s="283"/>
      <c r="BA489" s="553"/>
      <c r="BB489" s="553"/>
      <c r="BC489" s="553"/>
      <c r="BD489" s="553"/>
      <c r="BE489" s="554"/>
      <c r="BF489" s="554"/>
      <c r="BG489" s="554"/>
      <c r="BH489" s="554"/>
      <c r="BI489" s="554"/>
    </row>
    <row r="490" spans="1:61" ht="15.95" customHeight="1">
      <c r="A490" s="919" t="s">
        <v>908</v>
      </c>
      <c r="B490" s="920" t="s">
        <v>64</v>
      </c>
      <c r="C490" s="920">
        <v>1</v>
      </c>
      <c r="D490" s="1017" t="s">
        <v>47</v>
      </c>
      <c r="E490" s="654"/>
      <c r="F490" s="654" t="s">
        <v>243</v>
      </c>
      <c r="G490" s="654" t="s">
        <v>49</v>
      </c>
      <c r="H490" s="655" cm="1">
        <f t="array" aca="1" ref="H490" ca="1">IFERROR(
    INDIRECT(
        "RawData!" &amp;
        ADDRESS(
            2,
            MATCH(
                TRIM(MID(A490, SEARCH(". ", A490) + 2, LEN(A490))) &amp; ".Import_kWh",
                RawData!$1:$1,
                0
            ),
            4
        )
    ),
    0
)</f>
        <v>0</v>
      </c>
      <c r="I490" s="655" cm="1">
        <f t="array" aca="1" ref="I490" ca="1">IFERROR(
    INDIRECT(
        "RawData!" &amp;
        ADDRESS(
            COUNTA(RawData!A:A),
            MATCH(
                TRIM(MID(A490, SEARCH(". ", A490) + 2, LEN(A490))) &amp; ".Import_kWh",
                RawData!$1:$1,
                0
            ),
            4
        )
    ),
    0
)</f>
        <v>0</v>
      </c>
      <c r="J490" s="824">
        <f t="shared" ref="J490:J494" ca="1" si="93">(I490-H490)*C490</f>
        <v>0</v>
      </c>
      <c r="K490" s="1071" t="e">
        <f ca="1">J490*K$471/(J$472+J$478+J$490+J$498+J$503+J$505+J$510+J$487)</f>
        <v>#DIV/0!</v>
      </c>
      <c r="L490" s="1075" t="e">
        <f t="shared" ref="L490:L498" ca="1" si="94">K490/J490</f>
        <v>#DIV/0!</v>
      </c>
      <c r="M490" s="872" t="e">
        <f ca="1">R491+R493+R492+R494+R496+R495</f>
        <v>#DIV/0!</v>
      </c>
      <c r="N490" s="922"/>
      <c r="O490" s="922"/>
      <c r="P490" s="1068">
        <f ca="1">K491+K492</f>
        <v>0</v>
      </c>
      <c r="Q490" s="923"/>
      <c r="R490" s="924"/>
      <c r="S490" s="69"/>
      <c r="T490" s="69"/>
      <c r="BA490" s="553"/>
      <c r="BB490" s="553"/>
      <c r="BC490" s="553"/>
      <c r="BD490" s="553"/>
      <c r="BE490" s="554"/>
      <c r="BF490" s="554"/>
      <c r="BG490" s="554"/>
      <c r="BH490" s="554"/>
      <c r="BI490" s="554"/>
    </row>
    <row r="491" spans="1:61" ht="15.95" customHeight="1">
      <c r="A491" s="555" t="s">
        <v>1274</v>
      </c>
      <c r="B491" s="612" t="s">
        <v>447</v>
      </c>
      <c r="C491" s="612">
        <v>1</v>
      </c>
      <c r="D491" s="1073" t="s">
        <v>47</v>
      </c>
      <c r="E491" s="595"/>
      <c r="F491" s="595" t="s">
        <v>243</v>
      </c>
      <c r="G491" s="595" t="s">
        <v>615</v>
      </c>
      <c r="H491" s="665" cm="1">
        <f t="array" aca="1" ref="H491" ca="1">IFERROR(
    INDIRECT(
        "RawData!" &amp;
        ADDRESS(
            2,
            MATCH(
                TRIM(MID(A491, SEARCH(". ", A491) + 2, LEN(A491))) &amp; ".Import_kWh",
                RawData!$1:$1,
                0
            ),
            4
        )
    ),
    0
)</f>
        <v>0</v>
      </c>
      <c r="I491" s="665" cm="1">
        <f t="array" aca="1" ref="I491" ca="1">IFERROR(
    INDIRECT(
        "RawData!" &amp;
        ADDRESS(
            COUNTA(RawData!A:A),
            MATCH(
                TRIM(MID(A491, SEARCH(". ", A491) + 2, LEN(A491))) &amp; ".Import_kWh",
                RawData!$1:$1,
                0
            ),
            4
        )
    ),
    0
)</f>
        <v>0</v>
      </c>
      <c r="J491" s="666">
        <f t="shared" ca="1" si="93"/>
        <v>0</v>
      </c>
      <c r="K491" s="778">
        <f t="shared" ref="K491:K495" ca="1" si="95">J491</f>
        <v>0</v>
      </c>
      <c r="L491" s="801" t="e">
        <f t="shared" ca="1" si="94"/>
        <v>#DIV/0!</v>
      </c>
      <c r="M491" s="617"/>
      <c r="N491" s="617"/>
      <c r="O491" s="617"/>
      <c r="P491" s="617"/>
      <c r="Q491" s="617"/>
      <c r="R491" s="1097">
        <f t="shared" ref="R491:R494" ca="1" si="96">K491</f>
        <v>0</v>
      </c>
      <c r="S491" s="114" t="s">
        <v>223</v>
      </c>
      <c r="T491" s="115" t="s">
        <v>909</v>
      </c>
    </row>
    <row r="492" spans="1:61" ht="15.95" customHeight="1">
      <c r="A492" s="555" t="s">
        <v>1275</v>
      </c>
      <c r="B492" s="800" t="s">
        <v>512</v>
      </c>
      <c r="C492" s="800">
        <v>1</v>
      </c>
      <c r="D492" s="1073" t="s">
        <v>47</v>
      </c>
      <c r="E492" s="595"/>
      <c r="F492" s="595" t="s">
        <v>243</v>
      </c>
      <c r="G492" s="595" t="s">
        <v>615</v>
      </c>
      <c r="H492" s="886" cm="1">
        <f t="array" aca="1" ref="H492" ca="1">IFERROR(
    INDIRECT(
        "RawData!" &amp;
        ADDRESS(
            2,
            MATCH(
                TRIM(MID(A492, SEARCH(". ", A492) + 2, LEN(A492))) &amp; ".Import_kWh",
                RawData!$1:$1,
                0
            ),
            4
        )
    ),
    0
)</f>
        <v>0</v>
      </c>
      <c r="I492" s="886" cm="1">
        <f t="array" aca="1" ref="I492" ca="1">IFERROR(
    INDIRECT(
        "RawData!" &amp;
        ADDRESS(
            COUNTA(RawData!A:A),
            MATCH(
                TRIM(MID(A492, SEARCH(". ", A492) + 2, LEN(A492))) &amp; ".Import_kWh",
                RawData!$1:$1,
                0
            ),
            4
        )
    ),
    0
)</f>
        <v>0</v>
      </c>
      <c r="J492" s="666">
        <f t="shared" ca="1" si="93"/>
        <v>0</v>
      </c>
      <c r="K492" s="778">
        <f t="shared" ca="1" si="95"/>
        <v>0</v>
      </c>
      <c r="L492" s="801" t="e">
        <f t="shared" ca="1" si="94"/>
        <v>#DIV/0!</v>
      </c>
      <c r="M492" s="705"/>
      <c r="N492" s="687"/>
      <c r="O492" s="687"/>
      <c r="P492" s="800"/>
      <c r="Q492" s="917"/>
      <c r="R492" s="569">
        <f t="shared" ca="1" si="96"/>
        <v>0</v>
      </c>
      <c r="S492" s="114" t="s">
        <v>223</v>
      </c>
      <c r="T492" s="115" t="s">
        <v>909</v>
      </c>
    </row>
    <row r="493" spans="1:61" ht="15.95" customHeight="1">
      <c r="A493" s="555" t="s">
        <v>1261</v>
      </c>
      <c r="B493" s="800" t="s">
        <v>185</v>
      </c>
      <c r="C493" s="800">
        <v>1</v>
      </c>
      <c r="D493" s="1073" t="s">
        <v>47</v>
      </c>
      <c r="E493" s="595"/>
      <c r="F493" s="595" t="s">
        <v>243</v>
      </c>
      <c r="G493" s="595" t="s">
        <v>49</v>
      </c>
      <c r="H493" s="665" cm="1">
        <f t="array" aca="1" ref="H493" ca="1">IFERROR(
    INDIRECT(
        "RawData!" &amp;
        ADDRESS(
            2,
            MATCH(
                TRIM(MID(A493, SEARCH(". ", A493) + 2, LEN(A493))) &amp; ".Import_kWh",
                RawData!$1:$1,
                0
            ),
            4
        )
    ),
    0
)</f>
        <v>0</v>
      </c>
      <c r="I493" s="665" cm="1">
        <f t="array" aca="1" ref="I493" ca="1">IFERROR(
    INDIRECT(
        "RawData!" &amp;
        ADDRESS(
            COUNTA(RawData!A:A),
            MATCH(
                TRIM(MID(A493, SEARCH(". ", A493) + 2, LEN(A493))) &amp; ".Import_kWh",
                RawData!$1:$1,
                0
            ),
            4
        )
    ),
    0
)</f>
        <v>0</v>
      </c>
      <c r="J493" s="666">
        <f t="shared" ca="1" si="93"/>
        <v>0</v>
      </c>
      <c r="K493" s="778">
        <f t="shared" ca="1" si="95"/>
        <v>0</v>
      </c>
      <c r="L493" s="801" t="e">
        <f t="shared" ca="1" si="94"/>
        <v>#DIV/0!</v>
      </c>
      <c r="M493" s="705">
        <v>80</v>
      </c>
      <c r="N493" s="687">
        <v>4</v>
      </c>
      <c r="O493" s="687">
        <v>0</v>
      </c>
      <c r="P493" s="800">
        <f>M493*O493</f>
        <v>0</v>
      </c>
      <c r="Q493" s="917" t="e">
        <f>P493/(P$493)</f>
        <v>#DIV/0!</v>
      </c>
      <c r="R493" s="918">
        <f t="shared" ca="1" si="96"/>
        <v>0</v>
      </c>
      <c r="S493" s="114" t="s">
        <v>316</v>
      </c>
      <c r="T493" s="115" t="s">
        <v>323</v>
      </c>
    </row>
    <row r="494" spans="1:61" ht="15.95" customHeight="1">
      <c r="A494" s="555" t="s">
        <v>1262</v>
      </c>
      <c r="B494" s="800" t="s">
        <v>185</v>
      </c>
      <c r="C494" s="800">
        <v>1</v>
      </c>
      <c r="D494" s="1073" t="s">
        <v>47</v>
      </c>
      <c r="E494" s="595"/>
      <c r="F494" s="595" t="s">
        <v>243</v>
      </c>
      <c r="G494" s="595" t="s">
        <v>49</v>
      </c>
      <c r="H494" s="665" cm="1">
        <f t="array" aca="1" ref="H494" ca="1">IFERROR(
    INDIRECT(
        "RawData!" &amp;
        ADDRESS(
            2,
            MATCH(
                TRIM(MID(A494, SEARCH(". ", A494) + 2, LEN(A494))) &amp; ".Import_kWh",
                RawData!$1:$1,
                0
            ),
            4
        )
    ),
    0
)</f>
        <v>0</v>
      </c>
      <c r="I494" s="665" cm="1">
        <f t="array" aca="1" ref="I494" ca="1">IFERROR(
    INDIRECT(
        "RawData!" &amp;
        ADDRESS(
            COUNTA(RawData!A:A),
            MATCH(
                TRIM(MID(A494, SEARCH(". ", A494) + 2, LEN(A494))) &amp; ".Import_kWh",
                RawData!$1:$1,
                0
            ),
            4
        )
    ),
    0
)</f>
        <v>0</v>
      </c>
      <c r="J494" s="666">
        <f t="shared" ca="1" si="93"/>
        <v>0</v>
      </c>
      <c r="K494" s="778">
        <f t="shared" ca="1" si="95"/>
        <v>0</v>
      </c>
      <c r="L494" s="801" t="e">
        <f t="shared" ca="1" si="94"/>
        <v>#DIV/0!</v>
      </c>
      <c r="M494" s="705"/>
      <c r="N494" s="687">
        <v>38</v>
      </c>
      <c r="O494" s="687">
        <v>40</v>
      </c>
      <c r="P494" s="800"/>
      <c r="Q494" s="917"/>
      <c r="R494" s="918">
        <f t="shared" ca="1" si="96"/>
        <v>0</v>
      </c>
      <c r="S494" s="114" t="s">
        <v>269</v>
      </c>
      <c r="T494" s="115" t="s">
        <v>270</v>
      </c>
    </row>
    <row r="495" spans="1:61" ht="15.95" customHeight="1">
      <c r="A495" s="555" t="s">
        <v>910</v>
      </c>
      <c r="B495" s="800" t="s">
        <v>382</v>
      </c>
      <c r="C495" s="800">
        <v>20</v>
      </c>
      <c r="D495" s="800" t="s">
        <v>645</v>
      </c>
      <c r="E495" s="774" t="s">
        <v>336</v>
      </c>
      <c r="F495" s="595" t="s">
        <v>243</v>
      </c>
      <c r="G495" s="595" t="s">
        <v>49</v>
      </c>
      <c r="H495" s="886" cm="1">
        <f t="array" aca="1" ref="H495" ca="1">IFERROR(
    INDIRECT(
        "RawData!" &amp;
        ADDRESS(
            2,
            MATCH(
                TRIM(MID(A495, SEARCH(". ", A495) + 2, LEN(A495))) &amp; ".Import_kWh",
                RawData!$1:$1,
                0
            ),
            4
        )
    ),
    0
)</f>
        <v>0</v>
      </c>
      <c r="I495" s="886" cm="1">
        <f t="array" aca="1" ref="I495" ca="1">IFERROR(
    INDIRECT(
        "RawData!" &amp;
        ADDRESS(
            COUNTA(RawData!A:A),
            MATCH(
                TRIM(MID(A495, SEARCH(". ", A495) + 2, LEN(A495))) &amp; ".Import_kWh",
                RawData!$1:$1,
                0
            ),
            4
        )
    ),
    0
)</f>
        <v>0</v>
      </c>
      <c r="J495" s="673">
        <f ca="1">(I495-H495)*C495</f>
        <v>0</v>
      </c>
      <c r="K495" s="778">
        <f t="shared" ca="1" si="95"/>
        <v>0</v>
      </c>
      <c r="L495" s="801" t="e">
        <f ca="1">K495/J495</f>
        <v>#DIV/0!</v>
      </c>
      <c r="M495" s="705"/>
      <c r="N495" s="687"/>
      <c r="O495" s="687"/>
      <c r="P495" s="800"/>
      <c r="Q495" s="917"/>
      <c r="R495" s="918">
        <f ca="1">K495</f>
        <v>0</v>
      </c>
      <c r="S495" s="114" t="s">
        <v>269</v>
      </c>
      <c r="T495" s="283" t="s">
        <v>302</v>
      </c>
    </row>
    <row r="496" spans="1:61" ht="15.95" customHeight="1">
      <c r="A496" s="555" t="s">
        <v>911</v>
      </c>
      <c r="B496" s="800"/>
      <c r="C496" s="800"/>
      <c r="D496" s="800"/>
      <c r="E496" s="800"/>
      <c r="F496" s="800"/>
      <c r="G496" s="800"/>
      <c r="H496" s="594"/>
      <c r="I496" s="594"/>
      <c r="J496" s="675"/>
      <c r="K496" s="742" t="e">
        <f ca="1">K490-(K491+K492+K493+K494+K495)</f>
        <v>#DIV/0!</v>
      </c>
      <c r="L496" s="1098"/>
      <c r="M496" s="705"/>
      <c r="N496" s="687">
        <v>38</v>
      </c>
      <c r="O496" s="687">
        <v>40</v>
      </c>
      <c r="P496" s="800"/>
      <c r="Q496" s="917"/>
      <c r="R496" s="918" t="e">
        <f ca="1">K496</f>
        <v>#DIV/0!</v>
      </c>
      <c r="S496" s="114" t="s">
        <v>269</v>
      </c>
      <c r="T496" s="115" t="s">
        <v>270</v>
      </c>
    </row>
    <row r="497" spans="1:20" ht="15.95" customHeight="1">
      <c r="A497" s="555" t="s">
        <v>912</v>
      </c>
      <c r="B497" s="800"/>
      <c r="C497" s="800"/>
      <c r="D497" s="800"/>
      <c r="E497" s="800"/>
      <c r="F497" s="800"/>
      <c r="G497" s="800"/>
      <c r="H497" s="594"/>
      <c r="I497" s="594"/>
      <c r="J497" s="673"/>
      <c r="K497" s="667"/>
      <c r="L497" s="801"/>
      <c r="M497" s="705"/>
      <c r="N497" s="687"/>
      <c r="O497" s="687"/>
      <c r="P497" s="800"/>
      <c r="Q497" s="917"/>
      <c r="R497" s="918"/>
      <c r="S497" s="69"/>
      <c r="T497" s="69"/>
    </row>
    <row r="498" spans="1:20" ht="15.95" customHeight="1">
      <c r="A498" s="919" t="s">
        <v>913</v>
      </c>
      <c r="B498" s="920" t="s">
        <v>64</v>
      </c>
      <c r="C498" s="920">
        <v>1</v>
      </c>
      <c r="D498" s="1017" t="s">
        <v>47</v>
      </c>
      <c r="E498" s="654"/>
      <c r="F498" s="1017" t="s">
        <v>48</v>
      </c>
      <c r="G498" s="654" t="s">
        <v>49</v>
      </c>
      <c r="H498" s="655" cm="1">
        <f t="array" aca="1" ref="H498" ca="1">IFERROR(
    INDIRECT(
        "RawData!" &amp;
        ADDRESS(
            2,
            MATCH(
                TRIM(MID(A498, SEARCH(". ", A498) + 2, LEN(A498))) &amp; ".Import_kWh",
                RawData!$1:$1,
                0
            ),
            4
        )
    ),
    0
)</f>
        <v>0</v>
      </c>
      <c r="I498" s="655" cm="1">
        <f t="array" aca="1" ref="I498" ca="1">IFERROR(
    INDIRECT(
        "RawData!" &amp;
        ADDRESS(
            COUNTA(RawData!A:A),
            MATCH(
                TRIM(MID(A498, SEARCH(". ", A498) + 2, LEN(A498))) &amp; ".Import_kWh",
                RawData!$1:$1,
                0
            ),
            4
        )
    ),
    0
)</f>
        <v>0</v>
      </c>
      <c r="J498" s="680">
        <f ca="1">(I498-H498)*C498</f>
        <v>0</v>
      </c>
      <c r="K498" s="1071" t="e">
        <f ca="1">J498*K$471/(J$472+J$478+J$490+J$498+J$503+J$505+J$510+J$487)</f>
        <v>#DIV/0!</v>
      </c>
      <c r="L498" s="1075" t="e">
        <f t="shared" ca="1" si="94"/>
        <v>#DIV/0!</v>
      </c>
      <c r="M498" s="872" t="e">
        <f ca="1">R499+R500+R501+R502</f>
        <v>#DIV/0!</v>
      </c>
      <c r="N498" s="922"/>
      <c r="O498" s="922"/>
      <c r="P498" s="920"/>
      <c r="Q498" s="923"/>
      <c r="R498" s="924"/>
      <c r="S498" s="69"/>
      <c r="T498" s="69"/>
    </row>
    <row r="499" spans="1:20" ht="15.95" customHeight="1">
      <c r="A499" s="555" t="s">
        <v>1203</v>
      </c>
      <c r="B499" s="794" t="s">
        <v>185</v>
      </c>
      <c r="C499" s="800">
        <v>1</v>
      </c>
      <c r="D499" s="1073" t="s">
        <v>47</v>
      </c>
      <c r="E499" s="595"/>
      <c r="F499" s="595" t="s">
        <v>243</v>
      </c>
      <c r="G499" s="595" t="s">
        <v>49</v>
      </c>
      <c r="H499" s="886" cm="1">
        <f t="array" aca="1" ref="H499" ca="1">IFERROR(
    INDIRECT(
        "RawData!" &amp;
        ADDRESS(
            2,
            MATCH(
                TRIM(MID(A499, SEARCH(". ", A499) + 2, LEN(A499))) &amp; ".Import_kWh",
                RawData!$1:$1,
                0
            ),
            4
        )
    ),
    0
)</f>
        <v>0</v>
      </c>
      <c r="I499" s="886" cm="1">
        <f t="array" aca="1" ref="I499" ca="1">IFERROR(
    INDIRECT(
        "RawData!" &amp;
        ADDRESS(
            COUNTA(RawData!A:A),
            MATCH(
                TRIM(MID(A499, SEARCH(". ", A499) + 2, LEN(A499))) &amp; ".Import_kWh",
                RawData!$1:$1,
                0
            ),
            4
        )
    ),
    0
)</f>
        <v>0</v>
      </c>
      <c r="J499" s="673">
        <f ca="1">(I499-H499)*C499</f>
        <v>0</v>
      </c>
      <c r="K499" s="667" t="e">
        <f ca="1">J499*K$498/(J$499+J$500+J$501)</f>
        <v>#DIV/0!</v>
      </c>
      <c r="L499" s="801"/>
      <c r="M499" s="1099"/>
      <c r="N499" s="687"/>
      <c r="O499" s="687"/>
      <c r="P499" s="800"/>
      <c r="Q499" s="917"/>
      <c r="R499" s="918" t="e">
        <f ca="1">K499</f>
        <v>#DIV/0!</v>
      </c>
      <c r="S499" s="114" t="s">
        <v>223</v>
      </c>
      <c r="T499" s="115" t="s">
        <v>251</v>
      </c>
    </row>
    <row r="500" spans="1:20" ht="15.95" customHeight="1">
      <c r="A500" s="555" t="s">
        <v>1204</v>
      </c>
      <c r="B500" s="794" t="s">
        <v>382</v>
      </c>
      <c r="C500" s="800">
        <v>1</v>
      </c>
      <c r="D500" s="1073" t="s">
        <v>47</v>
      </c>
      <c r="E500" s="595"/>
      <c r="F500" s="595" t="s">
        <v>243</v>
      </c>
      <c r="G500" s="595" t="s">
        <v>49</v>
      </c>
      <c r="H500" s="665" cm="1">
        <f t="array" aca="1" ref="H500" ca="1">IFERROR(
    INDIRECT(
        "RawData!" &amp;
        ADDRESS(
            2,
            MATCH(
                TRIM(MID(A500, SEARCH(". ", A500) + 2, LEN(A500))) &amp; ".Import_kWh",
                RawData!$1:$1,
                0
            ),
            4
        )
    ),
    0
)</f>
        <v>0</v>
      </c>
      <c r="I500" s="665" cm="1">
        <f t="array" aca="1" ref="I500" ca="1">IFERROR(
    INDIRECT(
        "RawData!" &amp;
        ADDRESS(
            COUNTA(RawData!A:A),
            MATCH(
                TRIM(MID(A500, SEARCH(". ", A500) + 2, LEN(A500))) &amp; ".Import_kWh",
                RawData!$1:$1,
                0
            ),
            4
        )
    ),
    0
)</f>
        <v>0</v>
      </c>
      <c r="J500" s="666">
        <f ca="1">(I500-H500)*C500</f>
        <v>0</v>
      </c>
      <c r="K500" s="667">
        <f ca="1">J500</f>
        <v>0</v>
      </c>
      <c r="L500" s="801" t="e">
        <f ca="1">K500/J500</f>
        <v>#DIV/0!</v>
      </c>
      <c r="M500" s="802"/>
      <c r="N500" s="687"/>
      <c r="O500" s="687"/>
      <c r="P500" s="800"/>
      <c r="Q500" s="917"/>
      <c r="R500" s="918">
        <f ca="1">K500</f>
        <v>0</v>
      </c>
      <c r="S500" s="114" t="s">
        <v>223</v>
      </c>
      <c r="T500" s="115" t="s">
        <v>262</v>
      </c>
    </row>
    <row r="501" spans="1:20" ht="15.95" customHeight="1">
      <c r="A501" s="555" t="s">
        <v>1202</v>
      </c>
      <c r="B501" s="794" t="s">
        <v>72</v>
      </c>
      <c r="C501" s="800">
        <v>1</v>
      </c>
      <c r="D501" s="1073" t="s">
        <v>47</v>
      </c>
      <c r="E501" s="595"/>
      <c r="F501" s="595" t="s">
        <v>243</v>
      </c>
      <c r="G501" s="595" t="s">
        <v>49</v>
      </c>
      <c r="H501" s="886" cm="1">
        <f t="array" aca="1" ref="H501" ca="1">IFERROR(
    INDIRECT(
        "RawData!" &amp;
        ADDRESS(
            2,
            MATCH(
                TRIM(MID(A501, SEARCH(". ", A501) + 2, LEN(A501))) &amp; ".Import_kWh",
                RawData!$1:$1,
                0
            ),
            4
        )
    ),
    0
)</f>
        <v>0</v>
      </c>
      <c r="I501" s="886" cm="1">
        <f t="array" aca="1" ref="I501" ca="1">IFERROR(
    INDIRECT(
        "RawData!" &amp;
        ADDRESS(
            COUNTA(RawData!A:A),
            MATCH(
                TRIM(MID(A501, SEARCH(". ", A501) + 2, LEN(A501))) &amp; ".Import_kWh",
                RawData!$1:$1,
                0
            ),
            4
        )
    ),
    0
)</f>
        <v>0</v>
      </c>
      <c r="J501" s="673">
        <f ca="1">(I501-H501)*C501</f>
        <v>0</v>
      </c>
      <c r="K501" s="667" t="e">
        <f ca="1">J501*K$498/(J$499+J$500+J$501)</f>
        <v>#DIV/0!</v>
      </c>
      <c r="L501" s="801"/>
      <c r="M501" s="802"/>
      <c r="N501" s="687"/>
      <c r="O501" s="687"/>
      <c r="P501" s="800"/>
      <c r="Q501" s="917"/>
      <c r="R501" s="918" t="e">
        <f ca="1">K501</f>
        <v>#DIV/0!</v>
      </c>
      <c r="S501" s="114" t="s">
        <v>223</v>
      </c>
      <c r="T501" s="115" t="s">
        <v>251</v>
      </c>
    </row>
    <row r="502" spans="1:20" ht="15.95" customHeight="1">
      <c r="A502" s="555"/>
      <c r="B502" s="800"/>
      <c r="C502" s="800"/>
      <c r="D502" s="800"/>
      <c r="E502" s="800"/>
      <c r="F502" s="800"/>
      <c r="G502" s="800"/>
      <c r="H502" s="594"/>
      <c r="I502" s="594"/>
      <c r="J502" s="666" t="e">
        <f ca="1">K498-J500</f>
        <v>#DIV/0!</v>
      </c>
      <c r="K502" s="667" t="e">
        <f ca="1">J502</f>
        <v>#DIV/0!</v>
      </c>
      <c r="L502" s="801"/>
      <c r="M502" s="802"/>
      <c r="N502" s="687"/>
      <c r="O502" s="687"/>
      <c r="P502" s="800"/>
      <c r="Q502" s="917"/>
      <c r="R502" s="918" t="e">
        <f ca="1">K502</f>
        <v>#DIV/0!</v>
      </c>
      <c r="S502" s="69"/>
      <c r="T502" s="69"/>
    </row>
    <row r="503" spans="1:20" ht="15.95" customHeight="1">
      <c r="A503" s="919" t="s">
        <v>1205</v>
      </c>
      <c r="B503" s="920" t="s">
        <v>447</v>
      </c>
      <c r="C503" s="920">
        <v>1</v>
      </c>
      <c r="D503" s="1017" t="s">
        <v>47</v>
      </c>
      <c r="E503" s="654"/>
      <c r="F503" s="1017" t="s">
        <v>48</v>
      </c>
      <c r="G503" s="654" t="s">
        <v>49</v>
      </c>
      <c r="H503" s="655" cm="1">
        <f t="array" aca="1" ref="H503" ca="1">IFERROR(
    INDIRECT(
        "RawData!" &amp;
        ADDRESS(
            2,
            MATCH(
                TRIM(MID(A503, SEARCH(". ", A503) + 2, LEN(A503))) &amp; ".Import_kWh",
                RawData!$1:$1,
                0
            ),
            4
        )
    ),
    0
)</f>
        <v>0</v>
      </c>
      <c r="I503" s="655" cm="1">
        <f t="array" aca="1" ref="I503" ca="1">IFERROR(
    INDIRECT(
        "RawData!" &amp;
        ADDRESS(
            COUNTA(RawData!A:A),
            MATCH(
                TRIM(MID(A503, SEARCH(". ", A503) + 2, LEN(A503))) &amp; ".Import_kWh",
                RawData!$1:$1,
                0
            ),
            4
        )
    ),
    0
)</f>
        <v>0</v>
      </c>
      <c r="J503" s="853">
        <f ca="1">(I503-H503)*C503</f>
        <v>0</v>
      </c>
      <c r="K503" s="1071" t="e">
        <f ca="1">J503*K$471/(J$472+J$478+J$490+J$498+J$503+J$505+J$510+J$487)</f>
        <v>#DIV/0!</v>
      </c>
      <c r="L503" s="1075"/>
      <c r="M503" s="1100" t="e">
        <f ca="1">R504</f>
        <v>#DIV/0!</v>
      </c>
      <c r="N503" s="922"/>
      <c r="O503" s="922"/>
      <c r="P503" s="920"/>
      <c r="Q503" s="923"/>
      <c r="R503" s="924"/>
      <c r="S503" s="69"/>
      <c r="T503" s="69"/>
    </row>
    <row r="504" spans="1:20" ht="15.95" customHeight="1">
      <c r="A504" s="555"/>
      <c r="B504" s="800"/>
      <c r="C504" s="800"/>
      <c r="D504" s="800"/>
      <c r="E504" s="800"/>
      <c r="F504" s="800"/>
      <c r="G504" s="800"/>
      <c r="H504" s="594"/>
      <c r="I504" s="594"/>
      <c r="J504" s="673"/>
      <c r="K504" s="689"/>
      <c r="L504" s="801"/>
      <c r="M504" s="1101">
        <v>70.55</v>
      </c>
      <c r="N504" s="687"/>
      <c r="O504" s="687"/>
      <c r="P504" s="800"/>
      <c r="Q504" s="917"/>
      <c r="R504" s="918" t="e">
        <f ca="1">K503</f>
        <v>#DIV/0!</v>
      </c>
      <c r="S504" s="114" t="s">
        <v>223</v>
      </c>
      <c r="T504" s="115" t="s">
        <v>262</v>
      </c>
    </row>
    <row r="505" spans="1:20" ht="15.95" customHeight="1">
      <c r="A505" s="919" t="s">
        <v>1206</v>
      </c>
      <c r="B505" s="920" t="s">
        <v>64</v>
      </c>
      <c r="C505" s="920">
        <v>1</v>
      </c>
      <c r="D505" s="1017" t="s">
        <v>47</v>
      </c>
      <c r="E505" s="654"/>
      <c r="F505" s="1017" t="s">
        <v>48</v>
      </c>
      <c r="G505" s="654" t="s">
        <v>49</v>
      </c>
      <c r="H505" s="655" cm="1">
        <f t="array" aca="1" ref="H505" ca="1">IFERROR(
    INDIRECT(
        "RawData!" &amp;
        ADDRESS(
            2,
            MATCH(
                TRIM(MID(A505, SEARCH(". ", A505) + 2, LEN(A505))) &amp; ".Import_kWh",
                RawData!$1:$1,
                0
            ),
            4
        )
    ),
    0
)</f>
        <v>0</v>
      </c>
      <c r="I505" s="655" cm="1">
        <f t="array" aca="1" ref="I505" ca="1">IFERROR(
    INDIRECT(
        "RawData!" &amp;
        ADDRESS(
            COUNTA(RawData!A:A),
            MATCH(
                TRIM(MID(A505, SEARCH(". ", A505) + 2, LEN(A505))) &amp; ".Import_kWh",
                RawData!$1:$1,
                0
            ),
            4
        )
    ),
    0
)</f>
        <v>0</v>
      </c>
      <c r="J505" s="680">
        <f ca="1">(I505-H505)*C505</f>
        <v>0</v>
      </c>
      <c r="K505" s="1071" t="e">
        <f ca="1">J505*K$471/(J$472+J$478+J$490+J$498+J$503+J$505+J$510+J$487)</f>
        <v>#DIV/0!</v>
      </c>
      <c r="L505" s="1075" t="e">
        <f ca="1">K505/J505</f>
        <v>#DIV/0!</v>
      </c>
      <c r="M505" s="1102" t="e">
        <f ca="1">R506+R508</f>
        <v>#DIV/0!</v>
      </c>
      <c r="N505" s="922"/>
      <c r="O505" s="922"/>
      <c r="P505" s="920"/>
      <c r="Q505" s="923"/>
      <c r="R505" s="924"/>
      <c r="S505" s="69"/>
      <c r="T505" s="69"/>
    </row>
    <row r="506" spans="1:20" ht="15.95" customHeight="1">
      <c r="A506" s="555" t="s">
        <v>914</v>
      </c>
      <c r="B506" s="800"/>
      <c r="C506" s="800"/>
      <c r="D506" s="800"/>
      <c r="E506" s="800"/>
      <c r="F506" s="800"/>
      <c r="G506" s="800"/>
      <c r="H506" s="594"/>
      <c r="I506" s="594"/>
      <c r="J506" s="666"/>
      <c r="K506" s="667" t="e">
        <f ca="1">K505-K508</f>
        <v>#DIV/0!</v>
      </c>
      <c r="L506" s="801"/>
      <c r="M506" s="455">
        <v>90</v>
      </c>
      <c r="N506" s="687">
        <v>0</v>
      </c>
      <c r="O506" s="687">
        <v>0</v>
      </c>
      <c r="P506" s="800">
        <f>M506*O506</f>
        <v>0</v>
      </c>
      <c r="Q506" s="917"/>
      <c r="R506" s="918" t="e">
        <f ca="1">K506</f>
        <v>#DIV/0!</v>
      </c>
      <c r="S506" s="556" t="s">
        <v>157</v>
      </c>
      <c r="T506" s="557" t="s">
        <v>915</v>
      </c>
    </row>
    <row r="507" spans="1:20" ht="15.95" customHeight="1">
      <c r="A507" s="798"/>
      <c r="B507" s="800"/>
      <c r="C507" s="800"/>
      <c r="D507" s="800"/>
      <c r="E507" s="800"/>
      <c r="F507" s="800"/>
      <c r="G507" s="800"/>
      <c r="H507" s="594"/>
      <c r="I507" s="594"/>
      <c r="J507" s="666"/>
      <c r="K507" s="667"/>
      <c r="L507" s="801"/>
      <c r="M507" s="705"/>
      <c r="N507" s="687"/>
      <c r="O507" s="687"/>
      <c r="P507" s="800"/>
      <c r="Q507" s="917"/>
      <c r="R507" s="918"/>
      <c r="S507" s="114"/>
      <c r="T507" s="115"/>
    </row>
    <row r="508" spans="1:20" ht="15.95" customHeight="1">
      <c r="A508" s="555" t="s">
        <v>916</v>
      </c>
      <c r="B508" s="800" t="s">
        <v>72</v>
      </c>
      <c r="C508" s="800">
        <v>1</v>
      </c>
      <c r="D508" s="1073" t="s">
        <v>47</v>
      </c>
      <c r="E508" s="595"/>
      <c r="F508" s="1073" t="s">
        <v>48</v>
      </c>
      <c r="G508" s="595" t="s">
        <v>49</v>
      </c>
      <c r="H508" s="665" cm="1">
        <f t="array" aca="1" ref="H508" ca="1">IFERROR(
    INDIRECT(
        "RawData!" &amp;
        ADDRESS(
            2,
            MATCH(
                TRIM(MID(A508, SEARCH(". ", A508) + 2, LEN(A508))) &amp; ".Import_kWh",
                RawData!$1:$1,
                0
            ),
            4
        )
    ),
    0
)</f>
        <v>0</v>
      </c>
      <c r="I508" s="665" cm="1">
        <f t="array" aca="1" ref="I508" ca="1">IFERROR(
    INDIRECT(
        "RawData!" &amp;
        ADDRESS(
            COUNTA(RawData!A:A),
            MATCH(
                TRIM(MID(A508, SEARCH(". ", A508) + 2, LEN(A508))) &amp; ".Import_kWh",
                RawData!$1:$1,
                0
            ),
            4
        )
    ),
    0
)</f>
        <v>0</v>
      </c>
      <c r="J508" s="666">
        <f ca="1">(I508-H508)*C508</f>
        <v>0</v>
      </c>
      <c r="K508" s="667">
        <f ca="1">J508</f>
        <v>0</v>
      </c>
      <c r="L508" s="801"/>
      <c r="M508" s="676"/>
      <c r="N508" s="687"/>
      <c r="O508" s="687"/>
      <c r="P508" s="800"/>
      <c r="Q508" s="917"/>
      <c r="R508" s="918">
        <f ca="1">K508</f>
        <v>0</v>
      </c>
      <c r="S508" s="556" t="s">
        <v>157</v>
      </c>
      <c r="T508" s="557" t="s">
        <v>915</v>
      </c>
    </row>
    <row r="509" spans="1:20" ht="15.95" customHeight="1">
      <c r="A509" s="555" t="s">
        <v>854</v>
      </c>
      <c r="B509" s="800"/>
      <c r="C509" s="800"/>
      <c r="D509" s="800"/>
      <c r="E509" s="800"/>
      <c r="F509" s="800"/>
      <c r="G509" s="800"/>
      <c r="H509" s="594"/>
      <c r="I509" s="594"/>
      <c r="J509" s="666"/>
      <c r="K509" s="667"/>
      <c r="L509" s="801"/>
      <c r="M509" s="676"/>
      <c r="N509" s="687"/>
      <c r="O509" s="687"/>
      <c r="P509" s="800"/>
      <c r="Q509" s="917"/>
      <c r="R509" s="918"/>
      <c r="S509" s="69"/>
      <c r="T509" s="69"/>
    </row>
    <row r="510" spans="1:20" ht="15.95" customHeight="1">
      <c r="A510" s="919" t="s">
        <v>1207</v>
      </c>
      <c r="B510" s="920" t="s">
        <v>101</v>
      </c>
      <c r="C510" s="920">
        <v>1</v>
      </c>
      <c r="D510" s="1017" t="s">
        <v>47</v>
      </c>
      <c r="E510" s="654"/>
      <c r="F510" s="1017" t="s">
        <v>48</v>
      </c>
      <c r="G510" s="654" t="s">
        <v>49</v>
      </c>
      <c r="H510" s="655" cm="1">
        <f t="array" aca="1" ref="H510" ca="1">IFERROR(
    INDIRECT(
        "RawData!" &amp;
        ADDRESS(
            2,
            MATCH(
                TRIM(MID(A510, SEARCH(". ", A510) + 2, LEN(A510))) &amp; ".Import_kWh",
                RawData!$1:$1,
                0
            ),
            4
        )
    ),
    0
)</f>
        <v>0</v>
      </c>
      <c r="I510" s="655" cm="1">
        <f t="array" aca="1" ref="I510" ca="1">IFERROR(
    INDIRECT(
        "RawData!" &amp;
        ADDRESS(
            COUNTA(RawData!A:A),
            MATCH(
                TRIM(MID(A510, SEARCH(". ", A510) + 2, LEN(A510))) &amp; ".Import_kWh",
                RawData!$1:$1,
                0
            ),
            4
        )
    ),
    0
)</f>
        <v>0</v>
      </c>
      <c r="J510" s="680">
        <f ca="1">(I510-H510)*C510</f>
        <v>0</v>
      </c>
      <c r="K510" s="1071" t="e">
        <f ca="1">J510*K$471/(J$472+J$478+J$490+J$498+J$503+J$505+J$510+J$487)</f>
        <v>#DIV/0!</v>
      </c>
      <c r="L510" s="1075" t="e">
        <f ca="1">K510/J510</f>
        <v>#DIV/0!</v>
      </c>
      <c r="M510" s="1058"/>
      <c r="N510" s="922"/>
      <c r="O510" s="922"/>
      <c r="P510" s="920"/>
      <c r="Q510" s="923"/>
      <c r="R510" s="924" t="e">
        <f ca="1">K510</f>
        <v>#DIV/0!</v>
      </c>
      <c r="S510" s="231" t="s">
        <v>69</v>
      </c>
      <c r="T510" s="69"/>
    </row>
    <row r="511" spans="1:20" ht="15.95" customHeight="1">
      <c r="A511" s="555"/>
      <c r="B511" s="800"/>
      <c r="C511" s="800"/>
      <c r="D511" s="800"/>
      <c r="E511" s="800"/>
      <c r="F511" s="800"/>
      <c r="G511" s="800"/>
      <c r="H511" s="594"/>
      <c r="I511" s="594"/>
      <c r="J511" s="673"/>
      <c r="K511" s="689"/>
      <c r="L511" s="801"/>
      <c r="M511" s="705"/>
      <c r="N511" s="687"/>
      <c r="O511" s="687"/>
      <c r="P511" s="800"/>
      <c r="Q511" s="917"/>
      <c r="R511" s="918"/>
      <c r="S511" s="114"/>
      <c r="T511" s="69"/>
    </row>
    <row r="512" spans="1:20" ht="15.95" customHeight="1">
      <c r="A512" s="555"/>
      <c r="B512" s="800"/>
      <c r="C512" s="800"/>
      <c r="D512" s="800"/>
      <c r="E512" s="800"/>
      <c r="F512" s="800"/>
      <c r="G512" s="800"/>
      <c r="H512" s="594"/>
      <c r="I512" s="594"/>
      <c r="J512" s="673"/>
      <c r="K512" s="689"/>
      <c r="L512" s="801"/>
      <c r="M512" s="705"/>
      <c r="N512" s="687"/>
      <c r="O512" s="687"/>
      <c r="P512" s="800"/>
      <c r="Q512" s="917"/>
      <c r="R512" s="918"/>
      <c r="S512" s="69"/>
      <c r="T512" s="69"/>
    </row>
    <row r="513" spans="1:20" ht="15.95" customHeight="1">
      <c r="A513" s="910" t="s">
        <v>1208</v>
      </c>
      <c r="B513" s="911" t="s">
        <v>545</v>
      </c>
      <c r="C513" s="911">
        <v>1</v>
      </c>
      <c r="D513" s="785" t="s">
        <v>47</v>
      </c>
      <c r="E513" s="786"/>
      <c r="F513" s="785" t="s">
        <v>48</v>
      </c>
      <c r="G513" s="786" t="s">
        <v>49</v>
      </c>
      <c r="H513" s="766" cm="1">
        <f t="array" aca="1" ref="H513" ca="1">IFERROR(
    INDIRECT(
        "RawData!" &amp;
        ADDRESS(
            2,
            MATCH(
                TRIM(MID(A513, SEARCH(". ", A513) + 2, LEN(A513))) &amp; ".Import_kWh",
                RawData!$1:$1,
                0
            ),
            4
        )
    ),
    0
)</f>
        <v>0</v>
      </c>
      <c r="I513" s="766" cm="1">
        <f t="array" aca="1" ref="I513" ca="1">IFERROR(
    INDIRECT(
        "RawData!" &amp;
        ADDRESS(
            COUNTA(RawData!A:A),
            MATCH(
                TRIM(MID(A513, SEARCH(". ", A513) + 2, LEN(A513))) &amp; ".Import_kWh",
                RawData!$1:$1,
                0
            ),
            4
        )
    ),
    0
)</f>
        <v>0</v>
      </c>
      <c r="J513" s="646">
        <f ca="1">(I513-H513)*C513</f>
        <v>0</v>
      </c>
      <c r="K513" s="647" t="e">
        <f ca="1">J513*J$777/(J$5+J$65+J$72+J$81+J$89+J$138+J$212+J$285+J$306+J$373+J$388+J$396+J$397+J$450+J$463+J$471+J$513+J$564+J$603+J$646)</f>
        <v>#DIV/0!</v>
      </c>
      <c r="L513" s="912" t="e">
        <f ca="1">K513/J513</f>
        <v>#DIV/0!</v>
      </c>
      <c r="M513" s="913" t="e">
        <f ca="1">R515+R519+R520+R521+R523+R525+R527+R528+R529+R530+R531+R533+R535+R536+R544+R547+R549+R551+R553+R555+R557+R560+R562+R563+R541+R542</f>
        <v>#DIV/0!</v>
      </c>
      <c r="N513" s="914"/>
      <c r="O513" s="914"/>
      <c r="P513" s="1070"/>
      <c r="Q513" s="915"/>
      <c r="R513" s="916"/>
      <c r="S513" s="69"/>
      <c r="T513" s="69"/>
    </row>
    <row r="514" spans="1:20" ht="15.95" customHeight="1">
      <c r="A514" s="1103" t="s">
        <v>917</v>
      </c>
      <c r="B514" s="920" t="s">
        <v>64</v>
      </c>
      <c r="C514" s="920">
        <v>1</v>
      </c>
      <c r="D514" s="1017" t="s">
        <v>47</v>
      </c>
      <c r="E514" s="654"/>
      <c r="F514" s="1017" t="s">
        <v>48</v>
      </c>
      <c r="G514" s="654" t="s">
        <v>49</v>
      </c>
      <c r="H514" s="655" cm="1">
        <f t="array" aca="1" ref="H514" ca="1">IFERROR(
    INDIRECT(
        "RawData!" &amp;
        ADDRESS(
            2,
            MATCH(
                TRIM(MID(A514, SEARCH(". ", A514) + 2, LEN(A514))) &amp; ".Import_kWh",
                RawData!$1:$1,
                0
            ),
            4
        )
    ),
    0
)</f>
        <v>0</v>
      </c>
      <c r="I514" s="655" cm="1">
        <f t="array" aca="1" ref="I514" ca="1">IFERROR(
    INDIRECT(
        "RawData!" &amp;
        ADDRESS(
            COUNTA(RawData!A:A),
            MATCH(
                TRIM(MID(A514, SEARCH(". ", A514) + 2, LEN(A514))) &amp; ".Import_kWh",
                RawData!$1:$1,
                0
            ),
            4
        )
    ),
    0
)</f>
        <v>0</v>
      </c>
      <c r="J514" s="853">
        <f ca="1">(I514-H514)*C514</f>
        <v>0</v>
      </c>
      <c r="K514" s="824" t="e">
        <f ca="1">J514*K$513/(J$514+J$517+J$526+J$540+J$545+J$560+J$562+J$563)</f>
        <v>#DIV/0!</v>
      </c>
      <c r="L514" s="581"/>
      <c r="M514" s="872">
        <f>R515</f>
        <v>0</v>
      </c>
      <c r="N514" s="922"/>
      <c r="O514" s="922"/>
      <c r="P514" s="1068"/>
      <c r="Q514" s="923"/>
      <c r="R514" s="924"/>
      <c r="S514" s="69"/>
      <c r="T514" s="69"/>
    </row>
    <row r="515" spans="1:20" ht="15.95" customHeight="1">
      <c r="A515" s="1023" t="s">
        <v>918</v>
      </c>
      <c r="B515" s="800"/>
      <c r="C515" s="800"/>
      <c r="D515" s="800"/>
      <c r="E515" s="800"/>
      <c r="F515" s="800"/>
      <c r="G515" s="800"/>
      <c r="H515" s="594"/>
      <c r="I515" s="594"/>
      <c r="J515" s="673"/>
      <c r="K515" s="667"/>
      <c r="L515" s="840"/>
      <c r="M515" s="705">
        <v>70</v>
      </c>
      <c r="N515" s="687">
        <v>0</v>
      </c>
      <c r="O515" s="687">
        <v>0</v>
      </c>
      <c r="P515" s="800">
        <f>M515*O515</f>
        <v>0</v>
      </c>
      <c r="Q515" s="917" t="e">
        <f>P515/P$515</f>
        <v>#DIV/0!</v>
      </c>
      <c r="R515" s="918">
        <v>0</v>
      </c>
      <c r="S515" s="114" t="s">
        <v>223</v>
      </c>
      <c r="T515" s="115" t="s">
        <v>251</v>
      </c>
    </row>
    <row r="516" spans="1:20" ht="15.95" customHeight="1">
      <c r="A516" s="555"/>
      <c r="B516" s="903"/>
      <c r="C516" s="800"/>
      <c r="D516" s="800"/>
      <c r="E516" s="800"/>
      <c r="F516" s="800"/>
      <c r="G516" s="800"/>
      <c r="H516" s="594"/>
      <c r="I516" s="594"/>
      <c r="J516" s="673"/>
      <c r="K516" s="667"/>
      <c r="L516" s="840"/>
      <c r="M516" s="705"/>
      <c r="N516" s="687"/>
      <c r="O516" s="687"/>
      <c r="P516" s="800"/>
      <c r="Q516" s="917"/>
      <c r="R516" s="918"/>
      <c r="S516" s="69"/>
      <c r="T516" s="69"/>
    </row>
    <row r="517" spans="1:20" ht="15.95" customHeight="1">
      <c r="A517" s="919" t="s">
        <v>1209</v>
      </c>
      <c r="B517" s="920" t="s">
        <v>64</v>
      </c>
      <c r="C517" s="920">
        <v>1</v>
      </c>
      <c r="D517" s="1017" t="s">
        <v>47</v>
      </c>
      <c r="E517" s="654"/>
      <c r="F517" s="1017" t="s">
        <v>48</v>
      </c>
      <c r="G517" s="654" t="s">
        <v>49</v>
      </c>
      <c r="H517" s="1183" cm="1">
        <f t="array" aca="1" ref="H517" ca="1">IFERROR(
    INDIRECT(
        "RawData!" &amp;
        ADDRESS(
            2,
            MATCH(
                TRIM(MID(A517, SEARCH(". ", A517) + 2, LEN(A517))) &amp; ".Import_kWh",
                RawData!$1:$1,
                0
            ),
            4
        )
    ),
    0
)</f>
        <v>0</v>
      </c>
      <c r="I517" s="1183" cm="1">
        <f t="array" aca="1" ref="I517" ca="1">IFERROR(
    INDIRECT(
        "RawData!" &amp;
        ADDRESS(
            COUNTA(RawData!A:A),
            MATCH(
                TRIM(MID(A517, SEARCH(". ", A517) + 2, LEN(A517))) &amp; ".Import_kWh",
                RawData!$1:$1,
                0
            ),
            4
        )
    ),
    0
)</f>
        <v>0</v>
      </c>
      <c r="J517" s="680">
        <f ca="1">(I517-H517)*C517</f>
        <v>0</v>
      </c>
      <c r="K517" s="824" t="e">
        <f ca="1">J517*K$513/(J$514+J$517+J$526+J$540+J$545+J$560+J$562+J$563)</f>
        <v>#DIV/0!</v>
      </c>
      <c r="L517" s="581" t="e">
        <f ca="1">K517/J517</f>
        <v>#DIV/0!</v>
      </c>
      <c r="M517" s="872" t="e">
        <f ca="1">R519+R525+R521+R523</f>
        <v>#DIV/0!</v>
      </c>
      <c r="N517" s="922"/>
      <c r="O517" s="922"/>
      <c r="P517" s="920"/>
      <c r="Q517" s="923"/>
      <c r="R517" s="924"/>
      <c r="S517" s="69"/>
      <c r="T517" s="69"/>
    </row>
    <row r="518" spans="1:20" ht="15.95" customHeight="1">
      <c r="A518" s="555"/>
      <c r="B518" s="800"/>
      <c r="C518" s="800"/>
      <c r="D518" s="800"/>
      <c r="E518" s="800"/>
      <c r="F518" s="800"/>
      <c r="G518" s="800"/>
      <c r="H518" s="664"/>
      <c r="I518" s="664"/>
      <c r="J518" s="570"/>
      <c r="K518" s="667"/>
      <c r="L518" s="972"/>
      <c r="M518" s="1104"/>
      <c r="N518" s="800"/>
      <c r="O518" s="800"/>
      <c r="P518" s="800"/>
      <c r="Q518" s="973"/>
      <c r="R518" s="802"/>
      <c r="S518" s="69"/>
      <c r="T518" s="69"/>
    </row>
    <row r="519" spans="1:20" ht="15.95" customHeight="1">
      <c r="A519" s="555" t="s">
        <v>919</v>
      </c>
      <c r="B519" s="800"/>
      <c r="C519" s="800"/>
      <c r="D519" s="800"/>
      <c r="E519" s="800"/>
      <c r="F519" s="800"/>
      <c r="G519" s="800"/>
      <c r="H519" s="594"/>
      <c r="I519" s="594"/>
      <c r="J519" s="673"/>
      <c r="K519" s="667" t="e">
        <f ca="1">K517-(K521+K523+K525)</f>
        <v>#DIV/0!</v>
      </c>
      <c r="L519" s="840"/>
      <c r="M519" s="455">
        <v>98</v>
      </c>
      <c r="N519" s="687">
        <v>5</v>
      </c>
      <c r="O519" s="687">
        <v>38</v>
      </c>
      <c r="P519" s="800">
        <f>M519*O519</f>
        <v>3724</v>
      </c>
      <c r="Q519" s="917"/>
      <c r="R519" s="918" t="e">
        <f ca="1">K519</f>
        <v>#DIV/0!</v>
      </c>
      <c r="S519" s="114" t="s">
        <v>329</v>
      </c>
      <c r="T519" s="115" t="s">
        <v>331</v>
      </c>
    </row>
    <row r="520" spans="1:20" ht="15.95" customHeight="1">
      <c r="A520" s="555"/>
      <c r="B520" s="800"/>
      <c r="C520" s="800"/>
      <c r="D520" s="1073"/>
      <c r="E520" s="595"/>
      <c r="F520" s="1073"/>
      <c r="G520" s="800"/>
      <c r="H520" s="594"/>
      <c r="I520" s="594"/>
      <c r="J520" s="673"/>
      <c r="K520" s="667"/>
      <c r="L520" s="840"/>
      <c r="M520" s="676"/>
      <c r="N520" s="687"/>
      <c r="O520" s="687"/>
      <c r="P520" s="800"/>
      <c r="Q520" s="917"/>
      <c r="R520" s="918"/>
      <c r="S520" s="558" t="s">
        <v>920</v>
      </c>
      <c r="T520" s="115"/>
    </row>
    <row r="521" spans="1:20" ht="15.95" customHeight="1">
      <c r="A521" s="1105" t="s">
        <v>1210</v>
      </c>
      <c r="B521" s="800" t="s">
        <v>185</v>
      </c>
      <c r="C521" s="800">
        <v>1</v>
      </c>
      <c r="D521" s="1073" t="s">
        <v>47</v>
      </c>
      <c r="E521" s="595"/>
      <c r="F521" s="1073" t="s">
        <v>48</v>
      </c>
      <c r="G521" s="800" t="s">
        <v>615</v>
      </c>
      <c r="H521" s="665" cm="1">
        <f t="array" aca="1" ref="H521" ca="1">IFERROR(
    INDIRECT(
        "RawData!" &amp;
        ADDRESS(
            2,
            MATCH(
                TRIM(MID(A521, SEARCH(". ", A521) + 2, LEN(A521))) &amp; ".Import_kWh",
                RawData!$1:$1,
                0
            ),
            4
        )
    ),
    0
)</f>
        <v>0</v>
      </c>
      <c r="I521" s="665" cm="1">
        <f t="array" aca="1" ref="I521" ca="1">IFERROR(
    INDIRECT(
        "RawData!" &amp;
        ADDRESS(
            COUNTA(RawData!A:A),
            MATCH(
                TRIM(MID(A521, SEARCH(". ", A521) + 2, LEN(A521))) &amp; ".Import_kWh",
                RawData!$1:$1,
                0
            ),
            4
        )
    ),
    0
)</f>
        <v>0</v>
      </c>
      <c r="J521" s="666">
        <f ca="1">(I521-H521)*C521</f>
        <v>0</v>
      </c>
      <c r="K521" s="667">
        <f ca="1">J521</f>
        <v>0</v>
      </c>
      <c r="L521" s="840" t="e">
        <f ca="1">K521/J521</f>
        <v>#DIV/0!</v>
      </c>
      <c r="M521" s="676">
        <v>50.15</v>
      </c>
      <c r="N521" s="687">
        <v>37</v>
      </c>
      <c r="O521" s="687">
        <v>45</v>
      </c>
      <c r="P521" s="800">
        <f>M521*O521</f>
        <v>2256.75</v>
      </c>
      <c r="Q521" s="917"/>
      <c r="R521" s="918">
        <f ca="1">K521</f>
        <v>0</v>
      </c>
      <c r="S521" s="114" t="s">
        <v>269</v>
      </c>
      <c r="T521" s="115" t="s">
        <v>281</v>
      </c>
    </row>
    <row r="522" spans="1:20" ht="15.95" customHeight="1">
      <c r="A522" s="555"/>
      <c r="B522" s="800"/>
      <c r="C522" s="800"/>
      <c r="D522" s="800"/>
      <c r="E522" s="800"/>
      <c r="F522" s="800"/>
      <c r="G522" s="800"/>
      <c r="H522" s="594"/>
      <c r="I522" s="1106"/>
      <c r="J522" s="673"/>
      <c r="K522" s="667"/>
      <c r="L522" s="840"/>
      <c r="M522" s="676"/>
      <c r="N522" s="687"/>
      <c r="O522" s="687"/>
      <c r="P522" s="800"/>
      <c r="Q522" s="917"/>
      <c r="R522" s="918"/>
      <c r="S522" s="69"/>
      <c r="T522" s="69"/>
    </row>
    <row r="523" spans="1:20" ht="15.95" customHeight="1">
      <c r="A523" s="555" t="s">
        <v>921</v>
      </c>
      <c r="B523" s="800" t="s">
        <v>382</v>
      </c>
      <c r="C523" s="800">
        <v>20</v>
      </c>
      <c r="D523" s="800" t="s">
        <v>645</v>
      </c>
      <c r="E523" s="774" t="s">
        <v>336</v>
      </c>
      <c r="F523" s="595" t="s">
        <v>243</v>
      </c>
      <c r="G523" s="595" t="s">
        <v>49</v>
      </c>
      <c r="H523" s="886" cm="1">
        <f t="array" aca="1" ref="H523" ca="1">IFERROR(
    INDIRECT(
        "RawData!" &amp;
        ADDRESS(
            2,
            MATCH(
                TRIM(MID(A523, SEARCH(". ", A523) + 2, LEN(A523))) &amp; ".Import_kWh",
                RawData!$1:$1,
                0
            ),
            4
        )
    ),
    0
)</f>
        <v>0</v>
      </c>
      <c r="I523" s="886" cm="1">
        <f t="array" aca="1" ref="I523" ca="1">IFERROR(
    INDIRECT(
        "RawData!" &amp;
        ADDRESS(
            COUNTA(RawData!A:A),
            MATCH(
                TRIM(MID(A523, SEARCH(". ", A523) + 2, LEN(A523))) &amp; ".Import_kWh",
                RawData!$1:$1,
                0
            ),
            4
        )
    ),
    0
)</f>
        <v>0</v>
      </c>
      <c r="J523" s="673">
        <f ca="1">(I523-H523)*C523</f>
        <v>0</v>
      </c>
      <c r="K523" s="667">
        <f ca="1">J523</f>
        <v>0</v>
      </c>
      <c r="L523" s="840" t="e">
        <f ca="1">K523/J523</f>
        <v>#DIV/0!</v>
      </c>
      <c r="M523" s="676"/>
      <c r="N523" s="687"/>
      <c r="O523" s="687"/>
      <c r="P523" s="800"/>
      <c r="Q523" s="917"/>
      <c r="R523" s="918">
        <f ca="1">K523</f>
        <v>0</v>
      </c>
      <c r="S523" s="114" t="s">
        <v>269</v>
      </c>
      <c r="T523" s="283" t="s">
        <v>307</v>
      </c>
    </row>
    <row r="524" spans="1:20" ht="15.95" customHeight="1">
      <c r="A524" s="555" t="s">
        <v>1211</v>
      </c>
      <c r="B524" s="800"/>
      <c r="C524" s="800"/>
      <c r="D524" s="800"/>
      <c r="E524" s="800"/>
      <c r="F524" s="800"/>
      <c r="G524" s="800"/>
      <c r="H524" s="594"/>
      <c r="I524" s="594"/>
      <c r="J524" s="673"/>
      <c r="K524" s="667"/>
      <c r="L524" s="840"/>
      <c r="M524" s="676"/>
      <c r="N524" s="687"/>
      <c r="O524" s="687"/>
      <c r="P524" s="800"/>
      <c r="Q524" s="917"/>
      <c r="R524" s="918"/>
      <c r="S524" s="69"/>
      <c r="T524" s="69"/>
    </row>
    <row r="525" spans="1:20" ht="15.95" customHeight="1">
      <c r="A525" s="555" t="s">
        <v>1261</v>
      </c>
      <c r="B525" s="800"/>
      <c r="C525" s="800">
        <v>1</v>
      </c>
      <c r="D525" s="1073" t="s">
        <v>47</v>
      </c>
      <c r="E525" s="595"/>
      <c r="F525" s="1073" t="s">
        <v>48</v>
      </c>
      <c r="G525" s="595" t="s">
        <v>49</v>
      </c>
      <c r="H525" s="665" cm="1">
        <f t="array" aca="1" ref="H525" ca="1">IFERROR(
    INDIRECT(
        "RawData!" &amp;
        ADDRESS(
            2,
            MATCH(
                TRIM(MID(A524, SEARCH(". ", A524) + 2, LEN(A524))) &amp; ".Import_kWh",
                RawData!$1:$1,
                0
            ),
            4
        )
    ),
    0
)</f>
        <v>0</v>
      </c>
      <c r="I525" s="665" cm="1">
        <f t="array" aca="1" ref="I525" ca="1">IFERROR(
    INDIRECT(
        "RawData!" &amp;
        ADDRESS(
            COUNTA(RawData!A:A),
            MATCH(
                TRIM(MID(A524, SEARCH(". ", A524) + 2, LEN(A524))) &amp; ".Import_kWh",
                RawData!$1:$1,
                0
            ),
            4
        )
    ),
    0
)</f>
        <v>0</v>
      </c>
      <c r="J525" s="666">
        <f ca="1">(I525-H525)*C525</f>
        <v>0</v>
      </c>
      <c r="K525" s="667">
        <f ca="1">J525</f>
        <v>0</v>
      </c>
      <c r="L525" s="840" t="e">
        <f ca="1">K525/J525</f>
        <v>#DIV/0!</v>
      </c>
      <c r="M525" s="676"/>
      <c r="N525" s="687"/>
      <c r="O525" s="687"/>
      <c r="P525" s="800"/>
      <c r="Q525" s="917"/>
      <c r="R525" s="918">
        <f ca="1">K525</f>
        <v>0</v>
      </c>
      <c r="S525" s="114" t="s">
        <v>316</v>
      </c>
      <c r="T525" s="115" t="s">
        <v>323</v>
      </c>
    </row>
    <row r="526" spans="1:20" ht="15.95" customHeight="1">
      <c r="A526" s="919" t="s">
        <v>1212</v>
      </c>
      <c r="B526" s="920" t="s">
        <v>64</v>
      </c>
      <c r="C526" s="920">
        <v>1</v>
      </c>
      <c r="D526" s="1017" t="s">
        <v>47</v>
      </c>
      <c r="E526" s="654"/>
      <c r="F526" s="1017" t="s">
        <v>48</v>
      </c>
      <c r="G526" s="654" t="s">
        <v>49</v>
      </c>
      <c r="H526" s="655" cm="1">
        <f t="array" aca="1" ref="H526" ca="1">IFERROR(
    INDIRECT(
        "RawData!" &amp;
        ADDRESS(
            2,
            MATCH(
                TRIM(MID(A526, SEARCH(". ", A526) + 2, LEN(A526))) &amp; ".Import_kWh",
                RawData!$1:$1,
                0
            ),
            4
        )
    ),
    0
)</f>
        <v>0</v>
      </c>
      <c r="I526" s="655" cm="1">
        <f t="array" aca="1" ref="I526" ca="1">IFERROR(
    INDIRECT(
        "RawData!" &amp;
        ADDRESS(
            COUNTA(RawData!A:A),
            MATCH(
                TRIM(MID(A526, SEARCH(". ", A526) + 2, LEN(A526))) &amp; ".Import_kWh",
                RawData!$1:$1,
                0
            ),
            4
        )
    ),
    0
)</f>
        <v>0</v>
      </c>
      <c r="J526" s="680">
        <f ca="1">(I526-H526)*C526</f>
        <v>0</v>
      </c>
      <c r="K526" s="824" t="e">
        <f ca="1">J526*K$513/(J$514+J$517+J$526+J$540+J$545+J$560+J$562+J$563)</f>
        <v>#DIV/0!</v>
      </c>
      <c r="L526" s="581" t="e">
        <f ca="1">K526/J526</f>
        <v>#DIV/0!</v>
      </c>
      <c r="M526" s="872" t="e">
        <f ca="1">R527+R531+R533+R534+R529+R530+R535+R536+R528</f>
        <v>#DIV/0!</v>
      </c>
      <c r="N526" s="922"/>
      <c r="O526" s="922"/>
      <c r="P526" s="920"/>
      <c r="Q526" s="923"/>
      <c r="R526" s="924"/>
      <c r="S526" s="69"/>
      <c r="T526" s="69"/>
    </row>
    <row r="527" spans="1:20" ht="15.95" customHeight="1">
      <c r="A527" s="555" t="s">
        <v>922</v>
      </c>
      <c r="B527" s="800"/>
      <c r="C527" s="800"/>
      <c r="D527" s="800"/>
      <c r="E527" s="800"/>
      <c r="F527" s="800"/>
      <c r="G527" s="800"/>
      <c r="H527" s="594"/>
      <c r="I527" s="594"/>
      <c r="J527" s="673"/>
      <c r="K527" s="667" t="e">
        <f ca="1">K526-(K531+K533+K534)</f>
        <v>#DIV/0!</v>
      </c>
      <c r="L527" s="840"/>
      <c r="M527" s="455">
        <f>9.6+91.76+9.6+2.4+2.4</f>
        <v>115.76</v>
      </c>
      <c r="N527" s="693">
        <v>29</v>
      </c>
      <c r="O527" s="693">
        <v>39</v>
      </c>
      <c r="P527" s="800">
        <f>M527*O527</f>
        <v>4514.6400000000003</v>
      </c>
      <c r="Q527" s="917">
        <f>P527/(P$527+P$529+P$530+P528)</f>
        <v>0.70982227085770344</v>
      </c>
      <c r="R527" s="918" t="e">
        <f ca="1">K$527*Q527</f>
        <v>#DIV/0!</v>
      </c>
      <c r="S527" s="114" t="s">
        <v>329</v>
      </c>
      <c r="T527" s="115" t="s">
        <v>330</v>
      </c>
    </row>
    <row r="528" spans="1:20" ht="15.95" customHeight="1">
      <c r="A528" s="804" t="s">
        <v>901</v>
      </c>
      <c r="B528" s="800"/>
      <c r="C528" s="800"/>
      <c r="D528" s="800"/>
      <c r="E528" s="800"/>
      <c r="F528" s="800"/>
      <c r="G528" s="800"/>
      <c r="H528" s="594"/>
      <c r="I528" s="594"/>
      <c r="J528" s="673"/>
      <c r="K528" s="667"/>
      <c r="L528" s="840"/>
      <c r="M528" s="676">
        <v>47</v>
      </c>
      <c r="N528" s="687">
        <v>30</v>
      </c>
      <c r="O528" s="687">
        <v>36</v>
      </c>
      <c r="P528" s="800">
        <f>M528*O528</f>
        <v>1692</v>
      </c>
      <c r="Q528" s="917">
        <f>P528/(P528+P$527+P$529+P$530)</f>
        <v>0.26602769706803514</v>
      </c>
      <c r="R528" s="918" t="e">
        <f ca="1">K$527*Q528</f>
        <v>#DIV/0!</v>
      </c>
      <c r="S528" s="114" t="s">
        <v>276</v>
      </c>
      <c r="T528" s="115" t="s">
        <v>277</v>
      </c>
    </row>
    <row r="529" spans="1:61" ht="15.95" customHeight="1">
      <c r="A529" s="804" t="s">
        <v>923</v>
      </c>
      <c r="B529" s="888" t="s">
        <v>924</v>
      </c>
      <c r="C529" s="888"/>
      <c r="D529" s="888"/>
      <c r="E529" s="888"/>
      <c r="F529" s="888"/>
      <c r="G529" s="888"/>
      <c r="H529" s="737"/>
      <c r="I529" s="737"/>
      <c r="J529" s="698"/>
      <c r="K529" s="743"/>
      <c r="L529" s="967"/>
      <c r="M529" s="691">
        <v>0</v>
      </c>
      <c r="N529" s="702"/>
      <c r="O529" s="702"/>
      <c r="P529" s="888">
        <f>M529*O529</f>
        <v>0</v>
      </c>
      <c r="Q529" s="1107">
        <f>P529/(P$527+P$529+P$530+P528)</f>
        <v>0</v>
      </c>
      <c r="R529" s="1108" t="e">
        <f ca="1">K$527*Q529</f>
        <v>#DIV/0!</v>
      </c>
      <c r="S529" s="114" t="s">
        <v>276</v>
      </c>
      <c r="T529" s="115" t="s">
        <v>277</v>
      </c>
    </row>
    <row r="530" spans="1:61" ht="15.95" customHeight="1">
      <c r="A530" s="555" t="s">
        <v>925</v>
      </c>
      <c r="B530" s="800"/>
      <c r="C530" s="800"/>
      <c r="D530" s="800"/>
      <c r="E530" s="800"/>
      <c r="F530" s="800"/>
      <c r="G530" s="800"/>
      <c r="H530" s="594"/>
      <c r="I530" s="594"/>
      <c r="J530" s="673"/>
      <c r="K530" s="667"/>
      <c r="L530" s="840"/>
      <c r="M530" s="676">
        <f>2.4+2.4</f>
        <v>4.8</v>
      </c>
      <c r="N530" s="687">
        <v>26</v>
      </c>
      <c r="O530" s="687">
        <v>32</v>
      </c>
      <c r="P530" s="800">
        <f>M530*O530</f>
        <v>153.6</v>
      </c>
      <c r="Q530" s="917">
        <f>P530/(P$527+P$529+P$530+P528)</f>
        <v>2.4150032074261345E-2</v>
      </c>
      <c r="R530" s="918" t="e">
        <f ca="1">K$527*Q530</f>
        <v>#DIV/0!</v>
      </c>
      <c r="S530" s="114" t="s">
        <v>316</v>
      </c>
      <c r="T530" s="115" t="s">
        <v>325</v>
      </c>
    </row>
    <row r="531" spans="1:61" ht="15.95" customHeight="1">
      <c r="A531" s="555" t="s">
        <v>1213</v>
      </c>
      <c r="B531" s="800" t="s">
        <v>382</v>
      </c>
      <c r="C531" s="800">
        <v>1</v>
      </c>
      <c r="D531" s="1073" t="s">
        <v>47</v>
      </c>
      <c r="E531" s="800"/>
      <c r="F531" s="595" t="s">
        <v>243</v>
      </c>
      <c r="G531" s="595" t="s">
        <v>49</v>
      </c>
      <c r="H531" s="886" cm="1">
        <f t="array" aca="1" ref="H531" ca="1">IFERROR(
    INDIRECT(
        "RawData!" &amp;
        ADDRESS(
            2,
            MATCH(
                TRIM(MID(A531, SEARCH(". ", A531) + 2, LEN(A531))) &amp; ".Import_kWh",
                RawData!$1:$1,
                0
            ),
            4
        )
    ),
    0
)</f>
        <v>0</v>
      </c>
      <c r="I531" s="886" cm="1">
        <f t="array" aca="1" ref="I531" ca="1">IFERROR(
    INDIRECT(
        "RawData!" &amp;
        ADDRESS(
            COUNTA(RawData!A:A),
            MATCH(
                TRIM(MID(A531, SEARCH(". ", A531) + 2, LEN(A531))) &amp; ".Import_kWh",
                RawData!$1:$1,
                0
            ),
            4
        )
    ),
    0
)</f>
        <v>0</v>
      </c>
      <c r="J531" s="673">
        <f ca="1">(I531-H531)*C531</f>
        <v>0</v>
      </c>
      <c r="K531" s="667">
        <f ca="1">J531</f>
        <v>0</v>
      </c>
      <c r="L531" s="840"/>
      <c r="M531" s="676"/>
      <c r="N531" s="687"/>
      <c r="O531" s="687"/>
      <c r="P531" s="800"/>
      <c r="Q531" s="917"/>
      <c r="R531" s="918">
        <f ca="1">K531</f>
        <v>0</v>
      </c>
      <c r="S531" s="114" t="s">
        <v>133</v>
      </c>
      <c r="T531" s="115" t="s">
        <v>134</v>
      </c>
    </row>
    <row r="532" spans="1:61" ht="15.95" customHeight="1">
      <c r="A532" s="555" t="s">
        <v>926</v>
      </c>
      <c r="B532" s="800"/>
      <c r="C532" s="800"/>
      <c r="D532" s="1073"/>
      <c r="E532" s="595"/>
      <c r="F532" s="1073"/>
      <c r="G532" s="595"/>
      <c r="H532" s="594"/>
      <c r="I532" s="594"/>
      <c r="J532" s="673"/>
      <c r="K532" s="568"/>
      <c r="L532" s="840"/>
      <c r="M532" s="676"/>
      <c r="N532" s="687"/>
      <c r="O532" s="687"/>
      <c r="P532" s="800"/>
      <c r="Q532" s="917"/>
      <c r="R532" s="918"/>
      <c r="S532" s="114"/>
      <c r="T532" s="115"/>
    </row>
    <row r="533" spans="1:61" ht="15.95" customHeight="1">
      <c r="A533" s="555" t="s">
        <v>1214</v>
      </c>
      <c r="B533" s="800" t="s">
        <v>72</v>
      </c>
      <c r="C533" s="800">
        <v>1</v>
      </c>
      <c r="D533" s="1073" t="s">
        <v>47</v>
      </c>
      <c r="E533" s="595"/>
      <c r="F533" s="1073" t="s">
        <v>48</v>
      </c>
      <c r="G533" s="595" t="s">
        <v>49</v>
      </c>
      <c r="H533" s="665" cm="1">
        <f t="array" aca="1" ref="H533" ca="1">IFERROR(
    INDIRECT(
        "RawData!" &amp;
        ADDRESS(
            2,
            MATCH(
                TRIM(MID(A533, SEARCH(". ", A533) + 2, LEN(A533))) &amp; ".Import_kWh",
                RawData!$1:$1,
                0
            ),
            4
        )
    ),
    0
)</f>
        <v>0</v>
      </c>
      <c r="I533" s="665" cm="1">
        <f t="array" aca="1" ref="I533" ca="1">IFERROR(
    INDIRECT(
        "RawData!" &amp;
        ADDRESS(
            COUNTA(RawData!A:A),
            MATCH(
                TRIM(MID(A533, SEARCH(". ", A533) + 2, LEN(A533))) &amp; ".Import_kWh",
                RawData!$1:$1,
                0
            ),
            4
        )
    ),
    0
)</f>
        <v>0</v>
      </c>
      <c r="J533" s="666">
        <f ca="1">(I533-H533)*C533</f>
        <v>0</v>
      </c>
      <c r="K533" s="667">
        <f ca="1">J533</f>
        <v>0</v>
      </c>
      <c r="L533" s="840" t="e">
        <f ca="1">K533/J533</f>
        <v>#DIV/0!</v>
      </c>
      <c r="M533" s="676"/>
      <c r="N533" s="687"/>
      <c r="O533" s="687"/>
      <c r="P533" s="800"/>
      <c r="Q533" s="917"/>
      <c r="R533" s="918">
        <f ca="1">K533</f>
        <v>0</v>
      </c>
      <c r="S533" s="114" t="s">
        <v>223</v>
      </c>
      <c r="T533" s="115" t="s">
        <v>262</v>
      </c>
    </row>
    <row r="534" spans="1:61" ht="15.95" customHeight="1">
      <c r="A534" s="555" t="s">
        <v>1215</v>
      </c>
      <c r="B534" s="800"/>
      <c r="C534" s="800">
        <v>1</v>
      </c>
      <c r="D534" s="1073" t="s">
        <v>47</v>
      </c>
      <c r="E534" s="595"/>
      <c r="F534" s="1073" t="s">
        <v>48</v>
      </c>
      <c r="G534" s="595" t="s">
        <v>49</v>
      </c>
      <c r="H534" s="665" cm="1">
        <f t="array" aca="1" ref="H534" ca="1">IFERROR(
    INDIRECT(
        "RawData!" &amp;
        ADDRESS(
            2,
            MATCH(
                TRIM(MID(A534, SEARCH(". ", A534) + 2, LEN(A534))) &amp; ".Import_kWh",
                RawData!$1:$1,
                0
            ),
            4
        )
    ),
    0
)</f>
        <v>0</v>
      </c>
      <c r="I534" s="665" cm="1">
        <f t="array" aca="1" ref="I534" ca="1">IFERROR(
    INDIRECT(
        "RawData!" &amp;
        ADDRESS(
            COUNTA(RawData!A:A),
            MATCH(
                TRIM(MID(A534, SEARCH(". ", A534) + 2, LEN(A534))) &amp; ".Import_kWh",
                RawData!$1:$1,
                0
            ),
            4
        )
    ),
    0
)</f>
        <v>0</v>
      </c>
      <c r="J534" s="666">
        <f ca="1">(I534-H534)*C534</f>
        <v>0</v>
      </c>
      <c r="K534" s="667">
        <f ca="1">J534</f>
        <v>0</v>
      </c>
      <c r="L534" s="840" t="e">
        <f ca="1">K534/J534</f>
        <v>#DIV/0!</v>
      </c>
      <c r="M534" s="694">
        <f ca="1">R535+R536</f>
        <v>0</v>
      </c>
      <c r="N534" s="687"/>
      <c r="O534" s="687"/>
      <c r="P534" s="800"/>
      <c r="Q534" s="917"/>
      <c r="R534" s="918"/>
      <c r="S534" s="69"/>
      <c r="T534" s="69"/>
    </row>
    <row r="535" spans="1:61" ht="15.95" customHeight="1">
      <c r="A535" s="804" t="s">
        <v>927</v>
      </c>
      <c r="B535" s="800"/>
      <c r="C535" s="800"/>
      <c r="D535" s="800"/>
      <c r="E535" s="800"/>
      <c r="F535" s="800"/>
      <c r="G535" s="800"/>
      <c r="H535" s="594"/>
      <c r="I535" s="594"/>
      <c r="J535" s="673"/>
      <c r="K535" s="568"/>
      <c r="L535" s="840"/>
      <c r="M535" s="676">
        <f>8.9+3+3</f>
        <v>14.9</v>
      </c>
      <c r="N535" s="687">
        <v>26</v>
      </c>
      <c r="O535" s="687">
        <v>32</v>
      </c>
      <c r="P535" s="800">
        <f>M535*O535</f>
        <v>476.8</v>
      </c>
      <c r="Q535" s="917">
        <f>P535/(P$535+P$536)</f>
        <v>1</v>
      </c>
      <c r="R535" s="918">
        <f ca="1">K$534*Q535</f>
        <v>0</v>
      </c>
      <c r="S535" s="114" t="s">
        <v>316</v>
      </c>
      <c r="T535" s="115" t="s">
        <v>325</v>
      </c>
    </row>
    <row r="536" spans="1:61" ht="15.95" customHeight="1">
      <c r="A536" s="804" t="s">
        <v>928</v>
      </c>
      <c r="B536" s="800"/>
      <c r="C536" s="800"/>
      <c r="D536" s="800"/>
      <c r="E536" s="800"/>
      <c r="F536" s="800"/>
      <c r="G536" s="800"/>
      <c r="H536" s="594"/>
      <c r="I536" s="594"/>
      <c r="J536" s="673"/>
      <c r="K536" s="568"/>
      <c r="L536" s="840"/>
      <c r="M536" s="676">
        <v>0</v>
      </c>
      <c r="N536" s="687">
        <v>0</v>
      </c>
      <c r="O536" s="687">
        <v>0</v>
      </c>
      <c r="P536" s="800">
        <f>M536*O536</f>
        <v>0</v>
      </c>
      <c r="Q536" s="917">
        <f>P536/(P$535+P$536)</f>
        <v>0</v>
      </c>
      <c r="R536" s="918">
        <f ca="1">K$534*Q536</f>
        <v>0</v>
      </c>
      <c r="S536" s="114" t="s">
        <v>289</v>
      </c>
      <c r="T536" s="115" t="s">
        <v>290</v>
      </c>
    </row>
    <row r="537" spans="1:61" ht="15.95" customHeight="1">
      <c r="A537" s="798" t="s">
        <v>929</v>
      </c>
      <c r="B537" s="800"/>
      <c r="C537" s="800"/>
      <c r="D537" s="800"/>
      <c r="E537" s="800"/>
      <c r="F537" s="800"/>
      <c r="G537" s="800"/>
      <c r="H537" s="594"/>
      <c r="I537" s="594"/>
      <c r="J537" s="673"/>
      <c r="K537" s="568"/>
      <c r="L537" s="840"/>
      <c r="M537" s="676"/>
      <c r="N537" s="687"/>
      <c r="O537" s="687"/>
      <c r="P537" s="800"/>
      <c r="Q537" s="917"/>
      <c r="R537" s="918"/>
      <c r="S537" s="69"/>
      <c r="T537" s="69"/>
    </row>
    <row r="538" spans="1:61" ht="15.95" customHeight="1">
      <c r="A538" s="798" t="s">
        <v>930</v>
      </c>
      <c r="B538" s="903"/>
      <c r="C538" s="800"/>
      <c r="D538" s="800"/>
      <c r="E538" s="800"/>
      <c r="F538" s="800"/>
      <c r="G538" s="800"/>
      <c r="H538" s="594"/>
      <c r="I538" s="594"/>
      <c r="J538" s="673"/>
      <c r="K538" s="568"/>
      <c r="L538" s="840"/>
      <c r="M538" s="676"/>
      <c r="N538" s="687"/>
      <c r="O538" s="687"/>
      <c r="P538" s="800"/>
      <c r="Q538" s="917"/>
      <c r="R538" s="918"/>
      <c r="S538" s="69"/>
      <c r="T538" s="69"/>
    </row>
    <row r="539" spans="1:61" ht="15.95" customHeight="1">
      <c r="A539" s="798"/>
      <c r="B539" s="903"/>
      <c r="C539" s="800"/>
      <c r="D539" s="800"/>
      <c r="E539" s="800"/>
      <c r="F539" s="800"/>
      <c r="G539" s="800"/>
      <c r="H539" s="594"/>
      <c r="I539" s="594"/>
      <c r="J539" s="673"/>
      <c r="K539" s="568"/>
      <c r="L539" s="840"/>
      <c r="M539" s="676"/>
      <c r="N539" s="687"/>
      <c r="O539" s="687"/>
      <c r="P539" s="800"/>
      <c r="Q539" s="917"/>
      <c r="R539" s="918"/>
      <c r="S539" s="69"/>
      <c r="T539" s="69"/>
    </row>
    <row r="540" spans="1:61" s="280" customFormat="1" ht="15.95" customHeight="1">
      <c r="A540" s="919" t="s">
        <v>931</v>
      </c>
      <c r="B540" s="920" t="s">
        <v>64</v>
      </c>
      <c r="C540" s="920">
        <v>1</v>
      </c>
      <c r="D540" s="1017" t="s">
        <v>47</v>
      </c>
      <c r="E540" s="940"/>
      <c r="F540" s="654" t="s">
        <v>243</v>
      </c>
      <c r="G540" s="654" t="s">
        <v>49</v>
      </c>
      <c r="H540" s="655" cm="1">
        <f t="array" aca="1" ref="H540" ca="1">IFERROR(
    INDIRECT(
        "RawData!" &amp;
        ADDRESS(
            2,
            MATCH(
                TRIM(MID(A540, SEARCH(". ", A540) + 2, LEN(A540))) &amp; ".Import_kWh",
                RawData!$1:$1,
                0
            ),
            4
        )
    ),
    0
)</f>
        <v>0</v>
      </c>
      <c r="I540" s="655" cm="1">
        <f t="array" aca="1" ref="I540" ca="1">IFERROR(
    INDIRECT(
        "RawData!" &amp;
        ADDRESS(
            COUNTA(RawData!A:A),
            MATCH(
                TRIM(MID(A540, SEARCH(". ", A540) + 2, LEN(A540))) &amp; ".Import_kWh",
                RawData!$1:$1,
                0
            ),
            4
        )
    ),
    0
)</f>
        <v>0</v>
      </c>
      <c r="J540" s="680">
        <f ca="1">(I540-H540)*C540</f>
        <v>0</v>
      </c>
      <c r="K540" s="824" t="e">
        <f ca="1">J540*K$513/(J$514+J$517+J$526+J$540+J$545+J$560+J$562+J$563)</f>
        <v>#DIV/0!</v>
      </c>
      <c r="L540" s="581" t="e">
        <f ca="1">K540/J540</f>
        <v>#DIV/0!</v>
      </c>
      <c r="M540" s="872" t="e">
        <f ca="1">R541+R542+R544</f>
        <v>#DIV/0!</v>
      </c>
      <c r="N540" s="922"/>
      <c r="O540" s="922"/>
      <c r="P540" s="920"/>
      <c r="Q540" s="923"/>
      <c r="R540" s="924"/>
      <c r="S540" s="69"/>
      <c r="T540" s="69"/>
      <c r="U540" s="7"/>
      <c r="V540" s="7"/>
      <c r="W540" s="7"/>
      <c r="X540" s="7"/>
      <c r="Y540" s="7"/>
      <c r="Z540" s="7"/>
      <c r="AA540" s="449"/>
      <c r="AB540" s="22"/>
      <c r="AC540" s="7"/>
      <c r="AD540" s="7"/>
      <c r="AE540" s="7"/>
      <c r="AF540" s="7"/>
      <c r="AL540" s="7"/>
      <c r="AM540" s="7"/>
      <c r="AN540" s="7"/>
      <c r="AO540" s="7"/>
      <c r="AP540" s="7"/>
      <c r="AQ540" s="7"/>
      <c r="AR540" s="7"/>
      <c r="AS540" s="7"/>
      <c r="AT540" s="7"/>
      <c r="AU540" s="49"/>
      <c r="AV540" s="7"/>
      <c r="AW540" s="7"/>
      <c r="BA540" s="67"/>
      <c r="BB540" s="67"/>
      <c r="BC540" s="67"/>
      <c r="BD540" s="67"/>
      <c r="BE540" s="68"/>
      <c r="BF540" s="68"/>
      <c r="BG540" s="68"/>
      <c r="BH540" s="68"/>
      <c r="BI540" s="68"/>
    </row>
    <row r="541" spans="1:61" ht="15.95" customHeight="1">
      <c r="A541" s="555" t="s">
        <v>932</v>
      </c>
      <c r="B541" s="1049"/>
      <c r="C541" s="1049"/>
      <c r="D541" s="1021"/>
      <c r="E541" s="1049"/>
      <c r="F541" s="707"/>
      <c r="G541" s="707"/>
      <c r="H541" s="725"/>
      <c r="I541" s="725"/>
      <c r="J541" s="1109"/>
      <c r="K541" s="1109" t="e">
        <f ca="1">K540-(K542+K543)</f>
        <v>#DIV/0!</v>
      </c>
      <c r="L541" s="1110"/>
      <c r="M541" s="455">
        <v>50</v>
      </c>
      <c r="N541" s="745">
        <v>32</v>
      </c>
      <c r="O541" s="745">
        <v>30</v>
      </c>
      <c r="P541" s="1049">
        <f>O541*M541</f>
        <v>1500</v>
      </c>
      <c r="Q541" s="1111"/>
      <c r="R541" s="1112" t="e">
        <f ca="1">K541</f>
        <v>#DIV/0!</v>
      </c>
      <c r="S541" s="229" t="s">
        <v>284</v>
      </c>
      <c r="T541" s="230" t="s">
        <v>298</v>
      </c>
    </row>
    <row r="542" spans="1:61" ht="15.95" customHeight="1">
      <c r="A542" s="901" t="s">
        <v>1263</v>
      </c>
      <c r="B542" s="1049"/>
      <c r="C542" s="1049">
        <v>1</v>
      </c>
      <c r="D542" s="1021"/>
      <c r="E542" s="1049"/>
      <c r="F542" s="707"/>
      <c r="G542" s="707"/>
      <c r="H542" s="665" cm="1">
        <f t="array" aca="1" ref="H542" ca="1">IFERROR(
    INDIRECT(
        "RawData!" &amp;
        ADDRESS(
            2,
            MATCH(
                TRIM(MID(A542, SEARCH(". ", A542) + 2, LEN(A542))) &amp; ".Import_kWh",
                RawData!$1:$1,
                0
            ),
            4
        )
    ),
    0
)</f>
        <v>0</v>
      </c>
      <c r="I542" s="665" cm="1">
        <f t="array" aca="1" ref="I542" ca="1">IFERROR(
    INDIRECT(
        "RawData!" &amp;
        ADDRESS(
            COUNTA(RawData!A:A),
            MATCH(
                TRIM(MID(A542, SEARCH(". ", A542) + 2, LEN(A542))) &amp; ".Import_kWh",
                RawData!$1:$1,
                0
            ),
            4
        )
    ),
    0
)</f>
        <v>0</v>
      </c>
      <c r="J542" s="1109">
        <f ca="1">(I542-H542)*C542</f>
        <v>0</v>
      </c>
      <c r="K542" s="1113">
        <f ca="1">J542</f>
        <v>0</v>
      </c>
      <c r="L542" s="1110"/>
      <c r="M542" s="455">
        <v>43.924999999999997</v>
      </c>
      <c r="N542" s="745">
        <v>36</v>
      </c>
      <c r="O542" s="745">
        <v>34</v>
      </c>
      <c r="P542" s="1049">
        <f>O542*M542</f>
        <v>1493.4499999999998</v>
      </c>
      <c r="Q542" s="1111"/>
      <c r="R542" s="1112">
        <f ca="1">K542</f>
        <v>0</v>
      </c>
      <c r="S542" s="114" t="s">
        <v>284</v>
      </c>
      <c r="T542" s="115" t="s">
        <v>285</v>
      </c>
    </row>
    <row r="543" spans="1:61" ht="15.95" customHeight="1">
      <c r="A543" s="1105" t="s">
        <v>1264</v>
      </c>
      <c r="B543" s="1049"/>
      <c r="C543" s="1049">
        <v>1</v>
      </c>
      <c r="D543" s="1021"/>
      <c r="E543" s="1049"/>
      <c r="F543" s="707"/>
      <c r="G543" s="707"/>
      <c r="H543" s="665" cm="1">
        <f t="array" aca="1" ref="H543" ca="1">IFERROR(
    INDIRECT(
        "RawData!" &amp;
        ADDRESS(
            2,
            MATCH(
                TRIM(MID(A543, SEARCH(". ", A543) + 2, LEN(A543))) &amp; ".Import_kWh",
                RawData!$1:$1,
                0
            ),
            4
        )
    ),
    0
)</f>
        <v>0</v>
      </c>
      <c r="I543" s="665" cm="1">
        <f t="array" aca="1" ref="I543" ca="1">IFERROR(
    INDIRECT(
        "RawData!" &amp;
        ADDRESS(
            COUNTA(RawData!A:A),
            MATCH(
                TRIM(MID(A543, SEARCH(". ", A543) + 2, LEN(A543))) &amp; ".Import_kWh",
                RawData!$1:$1,
                0
            ),
            4
        )
    ),
    0
)</f>
        <v>0</v>
      </c>
      <c r="J543" s="1109">
        <f ca="1">(I543-H543)*C543</f>
        <v>0</v>
      </c>
      <c r="K543" s="1113">
        <f ca="1">J543</f>
        <v>0</v>
      </c>
      <c r="L543" s="1110"/>
      <c r="M543" s="1114"/>
      <c r="N543" s="745"/>
      <c r="O543" s="745"/>
      <c r="P543" s="1049"/>
      <c r="Q543" s="1111"/>
      <c r="R543" s="1112"/>
      <c r="S543" s="114"/>
      <c r="T543" s="115"/>
    </row>
    <row r="544" spans="1:61" ht="15.95" customHeight="1">
      <c r="A544" s="555" t="s">
        <v>933</v>
      </c>
      <c r="B544" s="800"/>
      <c r="C544" s="800"/>
      <c r="D544" s="800"/>
      <c r="E544" s="800"/>
      <c r="F544" s="800"/>
      <c r="G544" s="800"/>
      <c r="H544" s="594"/>
      <c r="I544" s="594"/>
      <c r="J544" s="666"/>
      <c r="K544" s="667"/>
      <c r="L544" s="840"/>
      <c r="M544" s="455">
        <v>43.924999999999997</v>
      </c>
      <c r="N544" s="693">
        <v>36</v>
      </c>
      <c r="O544" s="693">
        <v>34</v>
      </c>
      <c r="P544" s="1049">
        <f>O544*M544</f>
        <v>1493.4499999999998</v>
      </c>
      <c r="Q544" s="917"/>
      <c r="R544" s="918">
        <f ca="1">K543</f>
        <v>0</v>
      </c>
      <c r="S544" s="114" t="s">
        <v>934</v>
      </c>
      <c r="T544" s="115" t="s">
        <v>285</v>
      </c>
    </row>
    <row r="545" spans="1:49" ht="15.95" customHeight="1">
      <c r="A545" s="919" t="s">
        <v>935</v>
      </c>
      <c r="B545" s="920" t="s">
        <v>185</v>
      </c>
      <c r="C545" s="920">
        <v>1</v>
      </c>
      <c r="D545" s="1017" t="s">
        <v>47</v>
      </c>
      <c r="E545" s="654"/>
      <c r="F545" s="1017" t="s">
        <v>48</v>
      </c>
      <c r="G545" s="654" t="s">
        <v>49</v>
      </c>
      <c r="H545" s="1183" cm="1">
        <f t="array" aca="1" ref="H545" ca="1">IFERROR(
    INDIRECT(
        "RawData!" &amp;
        ADDRESS(
            2,
            MATCH(
                TRIM(MID(A545, SEARCH(". ", A545) + 2, LEN(A545))) &amp; ".Import_kWh",
                RawData!$1:$1,
                0
            ),
            4
        )
    ),
    0
)</f>
        <v>0</v>
      </c>
      <c r="I545" s="1183" cm="1">
        <f t="array" aca="1" ref="I545" ca="1">IFERROR(
    INDIRECT(
        "RawData!" &amp;
        ADDRESS(
            COUNTA(RawData!A:A),
            MATCH(
                TRIM(MID(A545, SEARCH(". ", A545) + 2, LEN(A545))) &amp; ".Import_kWh",
                RawData!$1:$1,
                0
            ),
            4
        )
    ),
    0
)</f>
        <v>0</v>
      </c>
      <c r="J545" s="680">
        <f ca="1">(I545-H545)*C545</f>
        <v>0</v>
      </c>
      <c r="K545" s="824" t="e">
        <f ca="1">J545*K$513/(J$514+J$517+J$526+J$540+J$545+J$560+J$562+J$563)</f>
        <v>#DIV/0!</v>
      </c>
      <c r="L545" s="581" t="e">
        <f ca="1">K545/J545</f>
        <v>#DIV/0!</v>
      </c>
      <c r="M545" s="872" t="e">
        <f ca="1">R547+R549+R551+R553+R557+R555</f>
        <v>#DIV/0!</v>
      </c>
      <c r="N545" s="922"/>
      <c r="O545" s="922"/>
      <c r="P545" s="920"/>
      <c r="Q545" s="923"/>
      <c r="R545" s="924"/>
      <c r="S545" s="69"/>
      <c r="T545" s="69"/>
      <c r="AE545" s="280"/>
      <c r="AF545" s="280"/>
    </row>
    <row r="546" spans="1:49" ht="15.95" customHeight="1">
      <c r="A546" s="555" t="s">
        <v>936</v>
      </c>
      <c r="B546" s="800" t="s">
        <v>382</v>
      </c>
      <c r="C546" s="1115">
        <v>1</v>
      </c>
      <c r="D546" s="1073" t="s">
        <v>47</v>
      </c>
      <c r="E546" s="1115"/>
      <c r="F546" s="1073" t="s">
        <v>48</v>
      </c>
      <c r="G546" s="1115"/>
      <c r="H546" s="665" cm="1">
        <f t="array" aca="1" ref="H546" ca="1">IFERROR(
    INDIRECT(
        "RawData!" &amp;
        ADDRESS(
            2,
            MATCH(
                TRIM(MID(A546, SEARCH(". ", A546) + 2, LEN(A546))) &amp; ".Import_kWh",
                RawData!$1:$1,
                0
            ),
            4
        )
    ),
    0
)</f>
        <v>0</v>
      </c>
      <c r="I546" s="665" cm="1">
        <f t="array" aca="1" ref="I546" ca="1">IFERROR(
    INDIRECT(
        "RawData!" &amp;
        ADDRESS(
            COUNTA(RawData!A:A),
            MATCH(
                TRIM(MID(A546, SEARCH(". ", A546) + 2, LEN(A546))) &amp; ".Import_kWh",
                RawData!$1:$1,
                0
            ),
            4
        )
    ),
    0
)</f>
        <v>0</v>
      </c>
      <c r="J546" s="666">
        <f ca="1">(I546-H546)*C546</f>
        <v>0</v>
      </c>
      <c r="K546" s="802">
        <f ca="1">J546</f>
        <v>0</v>
      </c>
      <c r="L546" s="840"/>
      <c r="M546" s="676"/>
      <c r="N546" s="687"/>
      <c r="O546" s="687"/>
      <c r="P546" s="800"/>
      <c r="Q546" s="917"/>
      <c r="R546" s="918"/>
      <c r="S546" s="114" t="s">
        <v>130</v>
      </c>
      <c r="T546" s="283" t="s">
        <v>257</v>
      </c>
      <c r="U546" s="280"/>
      <c r="V546" s="280"/>
      <c r="W546" s="280"/>
      <c r="X546" s="280"/>
      <c r="Y546" s="280"/>
      <c r="Z546" s="280"/>
      <c r="AA546" s="559"/>
      <c r="AB546" s="560"/>
      <c r="AC546" s="280"/>
      <c r="AD546" s="280"/>
      <c r="AL546" s="280"/>
      <c r="AM546" s="280"/>
      <c r="AN546" s="280"/>
      <c r="AO546" s="280"/>
      <c r="AP546" s="280"/>
      <c r="AQ546" s="280"/>
      <c r="AR546" s="280"/>
      <c r="AS546" s="280"/>
      <c r="AT546" s="280"/>
      <c r="AU546" s="279"/>
      <c r="AV546" s="280"/>
      <c r="AW546" s="280"/>
    </row>
    <row r="547" spans="1:49" ht="15.95" customHeight="1">
      <c r="A547" s="555" t="s">
        <v>937</v>
      </c>
      <c r="B547" s="1115"/>
      <c r="C547" s="1115"/>
      <c r="D547" s="1115"/>
      <c r="E547" s="1115"/>
      <c r="F547" s="1115"/>
      <c r="G547" s="1115"/>
      <c r="H547" s="594"/>
      <c r="I547" s="724"/>
      <c r="J547" s="800"/>
      <c r="K547" s="802"/>
      <c r="L547" s="950"/>
      <c r="M547" s="676"/>
      <c r="N547" s="687"/>
      <c r="O547" s="687"/>
      <c r="P547" s="800"/>
      <c r="Q547" s="917"/>
      <c r="R547" s="918">
        <f ca="1">K546</f>
        <v>0</v>
      </c>
      <c r="S547" s="69"/>
      <c r="T547" s="69"/>
    </row>
    <row r="548" spans="1:49" ht="15.95" customHeight="1">
      <c r="A548" s="555"/>
      <c r="B548" s="1115"/>
      <c r="C548" s="1115"/>
      <c r="D548" s="1115"/>
      <c r="E548" s="1115"/>
      <c r="F548" s="1115"/>
      <c r="G548" s="1115"/>
      <c r="H548" s="594"/>
      <c r="I548" s="594"/>
      <c r="J548" s="800"/>
      <c r="K548" s="802"/>
      <c r="L548" s="950"/>
      <c r="M548" s="676"/>
      <c r="N548" s="687"/>
      <c r="O548" s="687"/>
      <c r="P548" s="800"/>
      <c r="Q548" s="917"/>
      <c r="R548" s="918"/>
      <c r="S548" s="114" t="s">
        <v>223</v>
      </c>
      <c r="T548" s="115" t="s">
        <v>251</v>
      </c>
    </row>
    <row r="549" spans="1:49" ht="15.95" customHeight="1">
      <c r="A549" s="555" t="s">
        <v>938</v>
      </c>
      <c r="B549" s="800" t="s">
        <v>382</v>
      </c>
      <c r="C549" s="1115">
        <v>1</v>
      </c>
      <c r="D549" s="1073" t="s">
        <v>47</v>
      </c>
      <c r="E549" s="800"/>
      <c r="F549" s="1073" t="s">
        <v>48</v>
      </c>
      <c r="G549" s="595" t="s">
        <v>49</v>
      </c>
      <c r="H549" s="665" cm="1">
        <f t="array" aca="1" ref="H549" ca="1">IFERROR(
    INDIRECT(
        "RawData!" &amp;
        ADDRESS(
            2,
            MATCH(
                TRIM(MID(A549, SEARCH(". ", A549) + 2, LEN(A549))) &amp; ".Import_kWh",
                RawData!$1:$1,
                0
            ),
            4
        )
    ),
    0
)</f>
        <v>0</v>
      </c>
      <c r="I549" s="665" cm="1">
        <f t="array" aca="1" ref="I549" ca="1">IFERROR(
    INDIRECT(
        "RawData!" &amp;
        ADDRESS(
            COUNTA(RawData!A:A),
            MATCH(
                TRIM(MID(A549, SEARCH(". ", A549) + 2, LEN(A549))) &amp; ".Import_kWh",
                RawData!$1:$1,
                0
            ),
            4
        )
    ),
    0
)</f>
        <v>0</v>
      </c>
      <c r="J549" s="666">
        <f ca="1">(I549-H549)*C549</f>
        <v>0</v>
      </c>
      <c r="K549" s="802">
        <f ca="1">J549</f>
        <v>0</v>
      </c>
      <c r="L549" s="840" t="e">
        <f ca="1">K549/J549</f>
        <v>#DIV/0!</v>
      </c>
      <c r="M549" s="873"/>
      <c r="N549" s="687"/>
      <c r="O549" s="687"/>
      <c r="P549" s="794"/>
      <c r="Q549" s="917"/>
      <c r="R549" s="918">
        <f ca="1">K549</f>
        <v>0</v>
      </c>
      <c r="S549" s="69"/>
      <c r="T549" s="69"/>
    </row>
    <row r="550" spans="1:49" ht="15.95" customHeight="1">
      <c r="A550" s="555" t="s">
        <v>939</v>
      </c>
      <c r="B550" s="800"/>
      <c r="C550" s="1115"/>
      <c r="D550" s="1115"/>
      <c r="E550" s="1115"/>
      <c r="F550" s="1115"/>
      <c r="G550" s="1115"/>
      <c r="H550" s="594"/>
      <c r="I550" s="594"/>
      <c r="J550" s="673"/>
      <c r="K550" s="705"/>
      <c r="L550" s="840"/>
      <c r="M550" s="873"/>
      <c r="N550" s="687"/>
      <c r="O550" s="687"/>
      <c r="P550" s="800"/>
      <c r="Q550" s="917"/>
      <c r="R550" s="918"/>
      <c r="S550" s="114"/>
      <c r="T550" s="69"/>
    </row>
    <row r="551" spans="1:49" ht="15.95" customHeight="1">
      <c r="A551" s="555"/>
      <c r="B551" s="800"/>
      <c r="C551" s="1115"/>
      <c r="D551" s="1115"/>
      <c r="E551" s="1115"/>
      <c r="F551" s="1115"/>
      <c r="G551" s="1115"/>
      <c r="H551" s="594"/>
      <c r="I551" s="594"/>
      <c r="J551" s="673"/>
      <c r="K551" s="705"/>
      <c r="L551" s="840"/>
      <c r="M551" s="676"/>
      <c r="N551" s="687"/>
      <c r="O551" s="687"/>
      <c r="P551" s="800"/>
      <c r="Q551" s="917"/>
      <c r="R551" s="918"/>
      <c r="S551" s="69"/>
      <c r="T551" s="69"/>
    </row>
    <row r="552" spans="1:49" ht="15.95" customHeight="1">
      <c r="A552" s="555"/>
      <c r="B552" s="1115"/>
      <c r="C552" s="1115"/>
      <c r="D552" s="1115"/>
      <c r="E552" s="1115"/>
      <c r="F552" s="1115"/>
      <c r="G552" s="1115"/>
      <c r="H552" s="594"/>
      <c r="I552" s="594"/>
      <c r="J552" s="800"/>
      <c r="K552" s="973"/>
      <c r="L552" s="950"/>
      <c r="M552" s="676"/>
      <c r="N552" s="687"/>
      <c r="O552" s="687"/>
      <c r="P552" s="800"/>
      <c r="Q552" s="917"/>
      <c r="R552" s="918"/>
      <c r="S552" s="114" t="s">
        <v>426</v>
      </c>
      <c r="T552" s="283" t="s">
        <v>428</v>
      </c>
    </row>
    <row r="553" spans="1:49" ht="15.95" customHeight="1">
      <c r="A553" s="975" t="s">
        <v>1216</v>
      </c>
      <c r="B553" s="800"/>
      <c r="C553" s="1115">
        <v>1</v>
      </c>
      <c r="D553" s="1073" t="s">
        <v>47</v>
      </c>
      <c r="E553" s="800"/>
      <c r="F553" s="1073" t="s">
        <v>48</v>
      </c>
      <c r="G553" s="595" t="s">
        <v>615</v>
      </c>
      <c r="H553" s="665" cm="1">
        <f t="array" aca="1" ref="H553" ca="1">IFERROR(
    INDIRECT(
        "RawData!" &amp;
        ADDRESS(
            2,
            MATCH(
                TRIM(MID(A553, SEARCH(". ", A553) + 2, LEN(A553))) &amp; ".Import_kWh",
                RawData!$1:$1,
                0
            ),
            4
        )
    ),
    0
)</f>
        <v>0</v>
      </c>
      <c r="I553" s="665" cm="1">
        <f t="array" aca="1" ref="I553" ca="1">IFERROR(
    INDIRECT(
        "RawData!" &amp;
        ADDRESS(
            COUNTA(RawData!A:A),
            MATCH(
                TRIM(MID(A553, SEARCH(". ", A553) + 2, LEN(A553))) &amp; ".Import_kWh",
                RawData!$1:$1,
                0
            ),
            4
        )
    ),
    0
)</f>
        <v>0</v>
      </c>
      <c r="J553" s="666">
        <f ca="1">(I553-H553)*C553</f>
        <v>0</v>
      </c>
      <c r="K553" s="666">
        <f ca="1">J553</f>
        <v>0</v>
      </c>
      <c r="L553" s="840" t="e">
        <f ca="1">K553/J553</f>
        <v>#DIV/0!</v>
      </c>
      <c r="M553" s="1116"/>
      <c r="N553" s="687"/>
      <c r="O553" s="687"/>
      <c r="P553" s="794"/>
      <c r="Q553" s="917"/>
      <c r="R553" s="1117">
        <f ca="1">K553</f>
        <v>0</v>
      </c>
      <c r="S553" s="69"/>
      <c r="T553" s="561"/>
    </row>
    <row r="554" spans="1:49" ht="15.95" customHeight="1">
      <c r="A554" s="555" t="s">
        <v>940</v>
      </c>
      <c r="B554" s="800"/>
      <c r="C554" s="1115"/>
      <c r="D554" s="1115"/>
      <c r="E554" s="1115"/>
      <c r="F554" s="1115"/>
      <c r="G554" s="1115"/>
      <c r="H554" s="594"/>
      <c r="I554" s="594"/>
      <c r="J554" s="673"/>
      <c r="K554" s="673"/>
      <c r="L554" s="840"/>
      <c r="M554" s="1118"/>
      <c r="N554" s="687"/>
      <c r="O554" s="687"/>
      <c r="P554" s="794"/>
      <c r="Q554" s="917"/>
      <c r="R554" s="1117"/>
      <c r="S554" s="114" t="s">
        <v>426</v>
      </c>
      <c r="T554" s="283" t="s">
        <v>428</v>
      </c>
    </row>
    <row r="555" spans="1:49" ht="15.95" customHeight="1">
      <c r="A555" s="804" t="s">
        <v>1217</v>
      </c>
      <c r="B555" s="800"/>
      <c r="C555" s="1115">
        <v>1</v>
      </c>
      <c r="D555" s="1073" t="s">
        <v>47</v>
      </c>
      <c r="E555" s="800"/>
      <c r="F555" s="1073" t="s">
        <v>48</v>
      </c>
      <c r="G555" s="595" t="s">
        <v>615</v>
      </c>
      <c r="H555" s="665" cm="1">
        <f t="array" aca="1" ref="H555" ca="1">IFERROR(
    INDIRECT(
        "RawData!" &amp;
        ADDRESS(
            2,
            MATCH(
                TRIM(MID(A555, SEARCH(". ", A555) + 2, LEN(A555))) &amp; ".Import_kWh",
                RawData!$1:$1,
                0
            ),
            4
        )
    ),
    0
)</f>
        <v>0</v>
      </c>
      <c r="I555" s="665" cm="1">
        <f t="array" aca="1" ref="I555" ca="1">IFERROR(
    INDIRECT(
        "RawData!" &amp;
        ADDRESS(
            COUNTA(RawData!A:A),
            MATCH(
                TRIM(MID(A555, SEARCH(". ", A555) + 2, LEN(A555))) &amp; ".Import_kWh",
                RawData!$1:$1,
                0
            ),
            4
        )
    ),
    0
)</f>
        <v>0</v>
      </c>
      <c r="J555" s="666">
        <f ca="1">(I555-H555)*C555</f>
        <v>0</v>
      </c>
      <c r="K555" s="666">
        <f ca="1">J555</f>
        <v>0</v>
      </c>
      <c r="L555" s="840" t="e">
        <f ca="1">K555/J555</f>
        <v>#DIV/0!</v>
      </c>
      <c r="M555" s="953"/>
      <c r="N555" s="687"/>
      <c r="O555" s="687"/>
      <c r="P555" s="794"/>
      <c r="Q555" s="917"/>
      <c r="R555" s="1117">
        <f ca="1">K555</f>
        <v>0</v>
      </c>
      <c r="S555" s="114"/>
      <c r="T555" s="115"/>
    </row>
    <row r="556" spans="1:49" ht="15.95" customHeight="1">
      <c r="A556" s="804" t="s">
        <v>941</v>
      </c>
      <c r="B556" s="946"/>
      <c r="C556" s="946"/>
      <c r="D556" s="946"/>
      <c r="E556" s="946"/>
      <c r="F556" s="946"/>
      <c r="G556" s="946"/>
      <c r="H556" s="594"/>
      <c r="I556" s="594"/>
      <c r="J556" s="794"/>
      <c r="K556" s="472"/>
      <c r="L556" s="950"/>
      <c r="M556" s="1119"/>
      <c r="N556" s="617"/>
      <c r="O556" s="617"/>
      <c r="P556" s="617"/>
      <c r="Q556" s="617"/>
      <c r="R556" s="778"/>
      <c r="S556" s="114" t="s">
        <v>98</v>
      </c>
      <c r="T556" s="115" t="s">
        <v>253</v>
      </c>
    </row>
    <row r="557" spans="1:49" ht="15.95" customHeight="1">
      <c r="A557" s="555" t="s">
        <v>942</v>
      </c>
      <c r="B557" s="1115"/>
      <c r="C557" s="1115"/>
      <c r="D557" s="1115"/>
      <c r="E557" s="1115"/>
      <c r="F557" s="1115"/>
      <c r="G557" s="1115"/>
      <c r="H557" s="594"/>
      <c r="I557" s="594"/>
      <c r="J557" s="800"/>
      <c r="K557" s="802" t="e">
        <f ca="1">K545-(K546+K549+K551+K553+K555)</f>
        <v>#DIV/0!</v>
      </c>
      <c r="L557" s="950"/>
      <c r="M557" s="455">
        <v>23.65</v>
      </c>
      <c r="N557" s="693">
        <v>19</v>
      </c>
      <c r="O557" s="693">
        <v>22</v>
      </c>
      <c r="P557" s="800">
        <f>M557*O557</f>
        <v>520.29999999999995</v>
      </c>
      <c r="Q557" s="917">
        <f>P557/(P$557+P$559)</f>
        <v>1</v>
      </c>
      <c r="R557" s="918" t="e">
        <f ca="1">K557</f>
        <v>#DIV/0!</v>
      </c>
      <c r="S557" s="69"/>
      <c r="T557" s="69"/>
    </row>
    <row r="558" spans="1:49" ht="15.95" customHeight="1">
      <c r="A558" s="555"/>
      <c r="B558" s="1115"/>
      <c r="C558" s="1115"/>
      <c r="D558" s="1115"/>
      <c r="E558" s="1115"/>
      <c r="F558" s="1115"/>
      <c r="G558" s="1115"/>
      <c r="H558" s="594"/>
      <c r="I558" s="594"/>
      <c r="J558" s="800"/>
      <c r="K558" s="705"/>
      <c r="L558" s="950"/>
      <c r="M558" s="676"/>
      <c r="N558" s="687"/>
      <c r="O558" s="687"/>
      <c r="P558" s="800"/>
      <c r="Q558" s="917"/>
      <c r="R558" s="918"/>
      <c r="S558" s="69"/>
      <c r="T558" s="69"/>
    </row>
    <row r="559" spans="1:49" ht="15.95" customHeight="1">
      <c r="A559" s="804" t="s">
        <v>943</v>
      </c>
      <c r="B559" s="1115"/>
      <c r="C559" s="1115"/>
      <c r="D559" s="1115"/>
      <c r="E559" s="1115"/>
      <c r="F559" s="1115"/>
      <c r="G559" s="1115"/>
      <c r="H559" s="594"/>
      <c r="I559" s="594"/>
      <c r="J559" s="800"/>
      <c r="K559" s="705"/>
      <c r="L559" s="950"/>
      <c r="M559" s="676"/>
      <c r="N559" s="687"/>
      <c r="O559" s="687"/>
      <c r="P559" s="800"/>
      <c r="Q559" s="917"/>
      <c r="R559" s="918"/>
      <c r="S559" s="231" t="s">
        <v>69</v>
      </c>
      <c r="T559" s="69"/>
    </row>
    <row r="560" spans="1:49" ht="15.95" customHeight="1">
      <c r="A560" s="919" t="s">
        <v>1265</v>
      </c>
      <c r="B560" s="920" t="s">
        <v>101</v>
      </c>
      <c r="C560" s="920">
        <v>1</v>
      </c>
      <c r="D560" s="1017" t="s">
        <v>47</v>
      </c>
      <c r="E560" s="654"/>
      <c r="F560" s="1017" t="s">
        <v>48</v>
      </c>
      <c r="G560" s="654" t="s">
        <v>49</v>
      </c>
      <c r="H560" s="655" cm="1">
        <f t="array" aca="1" ref="H560" ca="1">IFERROR(
    INDIRECT(
        "RawData!" &amp;
        ADDRESS(
            2,
            MATCH(
                TRIM(MID(A560, SEARCH(". ", A560) + 2, LEN(A560))) &amp; ".Import_kWh",
                RawData!$1:$1,
                0
            ),
            4
        )
    ),
    0
)</f>
        <v>0</v>
      </c>
      <c r="I560" s="655" cm="1">
        <f t="array" aca="1" ref="I560" ca="1">IFERROR(
    INDIRECT(
        "RawData!" &amp;
        ADDRESS(
            COUNTA(RawData!A:A),
            MATCH(
                TRIM(MID(A560, SEARCH(". ", A560) + 2, LEN(A560))) &amp; ".Import_kWh",
                RawData!$1:$1,
                0
            ),
            4
        )
    ),
    0
)</f>
        <v>0</v>
      </c>
      <c r="J560" s="680">
        <f ca="1">(I560-H560)*C560</f>
        <v>0</v>
      </c>
      <c r="K560" s="824" t="e">
        <f ca="1">J560*K$513/(J$514+J$517+J$526+J$540+J$545+J$560+J$562+J$563)</f>
        <v>#DIV/0!</v>
      </c>
      <c r="L560" s="581" t="e">
        <f ca="1">K560/J560</f>
        <v>#DIV/0!</v>
      </c>
      <c r="M560" s="1120"/>
      <c r="N560" s="922"/>
      <c r="O560" s="922"/>
      <c r="P560" s="920"/>
      <c r="Q560" s="923"/>
      <c r="R560" s="924" t="e">
        <f ca="1">K560</f>
        <v>#DIV/0!</v>
      </c>
      <c r="S560" s="69"/>
      <c r="T560" s="69"/>
    </row>
    <row r="561" spans="1:20" ht="14.25" customHeight="1">
      <c r="A561" s="919" t="s">
        <v>944</v>
      </c>
      <c r="B561" s="920"/>
      <c r="C561" s="920"/>
      <c r="D561" s="920"/>
      <c r="E561" s="920"/>
      <c r="F561" s="920"/>
      <c r="G561" s="920"/>
      <c r="H561" s="1014"/>
      <c r="I561" s="1014"/>
      <c r="J561" s="853"/>
      <c r="K561" s="824"/>
      <c r="L561" s="581"/>
      <c r="M561" s="1120"/>
      <c r="N561" s="922"/>
      <c r="O561" s="922"/>
      <c r="P561" s="920"/>
      <c r="Q561" s="923"/>
      <c r="R561" s="924"/>
      <c r="S561" s="114" t="s">
        <v>85</v>
      </c>
      <c r="T561" s="283" t="s">
        <v>193</v>
      </c>
    </row>
    <row r="562" spans="1:20" ht="14.25" customHeight="1">
      <c r="A562" s="919" t="s">
        <v>1266</v>
      </c>
      <c r="B562" s="920" t="s">
        <v>72</v>
      </c>
      <c r="C562" s="920">
        <v>1</v>
      </c>
      <c r="D562" s="1017" t="s">
        <v>47</v>
      </c>
      <c r="E562" s="654"/>
      <c r="F562" s="1017" t="s">
        <v>48</v>
      </c>
      <c r="G562" s="654" t="s">
        <v>49</v>
      </c>
      <c r="H562" s="655" cm="1">
        <f t="array" aca="1" ref="H562" ca="1">IFERROR(
    INDIRECT(
        "RawData!" &amp;
        ADDRESS(
            2,
            MATCH(
                TRIM(MID(A562, SEARCH(". ", A562) + 2, LEN(A562))) &amp; ".Import_kWh",
                RawData!$1:$1,
                0
            ),
            4
        )
    ),
    0
)</f>
        <v>0</v>
      </c>
      <c r="I562" s="655" cm="1">
        <f t="array" aca="1" ref="I562" ca="1">IFERROR(
    INDIRECT(
        "RawData!" &amp;
        ADDRESS(
            COUNTA(RawData!A:A),
            MATCH(
                TRIM(MID(A562, SEARCH(". ", A562) + 2, LEN(A562))) &amp; ".Import_kWh",
                RawData!$1:$1,
                0
            ),
            4
        )
    ),
    0
)</f>
        <v>0</v>
      </c>
      <c r="J562" s="680">
        <f ca="1">(I562-H562)*C562</f>
        <v>0</v>
      </c>
      <c r="K562" s="824" t="e">
        <f ca="1">J562*K$513/(J$514+J$517+J$526+J$540+J$545+J$560+J$562+J$563)</f>
        <v>#DIV/0!</v>
      </c>
      <c r="L562" s="581" t="e">
        <f t="shared" ref="L562:L569" ca="1" si="97">K562/J562</f>
        <v>#DIV/0!</v>
      </c>
      <c r="M562" s="1120"/>
      <c r="N562" s="922"/>
      <c r="O562" s="922"/>
      <c r="P562" s="920"/>
      <c r="Q562" s="923"/>
      <c r="R562" s="924" t="e">
        <f ca="1">K562</f>
        <v>#DIV/0!</v>
      </c>
      <c r="S562" s="231" t="s">
        <v>69</v>
      </c>
      <c r="T562" s="115"/>
    </row>
    <row r="563" spans="1:20" ht="14.25" customHeight="1">
      <c r="A563" s="919" t="s">
        <v>1218</v>
      </c>
      <c r="B563" s="920" t="s">
        <v>185</v>
      </c>
      <c r="C563" s="920">
        <v>1</v>
      </c>
      <c r="D563" s="1017" t="s">
        <v>47</v>
      </c>
      <c r="E563" s="654"/>
      <c r="F563" s="1017" t="s">
        <v>48</v>
      </c>
      <c r="G563" s="654" t="s">
        <v>49</v>
      </c>
      <c r="H563" s="655" cm="1">
        <f t="array" aca="1" ref="H563" ca="1">IFERROR(
    INDIRECT(
        "RawData!" &amp;
        ADDRESS(
            2,
            MATCH(
                TRIM(MID(A563, SEARCH(". ", A563) + 2, LEN(A563))) &amp; ".Import_kWh",
                RawData!$1:$1,
                0
            ),
            4
        )
    ),
    0
)</f>
        <v>0</v>
      </c>
      <c r="I563" s="655" cm="1">
        <f t="array" aca="1" ref="I563" ca="1">IFERROR(
    INDIRECT(
        "RawData!" &amp;
        ADDRESS(
            COUNTA(RawData!A:A),
            MATCH(
                TRIM(MID(A563, SEARCH(". ", A563) + 2, LEN(A563))) &amp; ".Import_kWh",
                RawData!$1:$1,
                0
            ),
            4
        )
    ),
    0
)</f>
        <v>0</v>
      </c>
      <c r="J563" s="680">
        <f ca="1">(I563-H563)*C563</f>
        <v>0</v>
      </c>
      <c r="K563" s="824" t="e">
        <f ca="1">J563*K$513/(J$514+J$517+J$526+J$540+J$545+J$560+J$562+J$563)</f>
        <v>#DIV/0!</v>
      </c>
      <c r="L563" s="581" t="e">
        <f t="shared" ca="1" si="97"/>
        <v>#DIV/0!</v>
      </c>
      <c r="M563" s="1120"/>
      <c r="N563" s="922"/>
      <c r="O563" s="922"/>
      <c r="P563" s="920"/>
      <c r="Q563" s="923"/>
      <c r="R563" s="924" t="e">
        <f ca="1">K563</f>
        <v>#DIV/0!</v>
      </c>
    </row>
    <row r="564" spans="1:20" ht="14.25" customHeight="1">
      <c r="A564" s="910" t="s">
        <v>1219</v>
      </c>
      <c r="B564" s="911" t="s">
        <v>545</v>
      </c>
      <c r="C564" s="911">
        <v>1</v>
      </c>
      <c r="D564" s="785" t="s">
        <v>47</v>
      </c>
      <c r="E564" s="786"/>
      <c r="F564" s="785" t="s">
        <v>48</v>
      </c>
      <c r="G564" s="786" t="s">
        <v>49</v>
      </c>
      <c r="H564" s="766" cm="1">
        <f t="array" aca="1" ref="H564" ca="1">IFERROR(
    INDIRECT(
        "RawData!" &amp;
        ADDRESS(
            2,
            MATCH(
                TRIM(MID(A564, SEARCH(". ", A564) + 2, LEN(A564))) &amp; ".Import_kWh",
                RawData!$1:$1,
                0
            ),
            4
        )
    ),
    0
)</f>
        <v>0</v>
      </c>
      <c r="I564" s="766" cm="1">
        <f t="array" aca="1" ref="I564" ca="1">IFERROR(
    INDIRECT(
        "RawData!" &amp;
        ADDRESS(
            COUNTA(RawData!A:A),
            MATCH(
                TRIM(MID(A564, SEARCH(". ", A564) + 2, LEN(A564))) &amp; ".Import_kWh",
                RawData!$1:$1,
                0
            ),
            4
        )
    ),
    0
)</f>
        <v>0</v>
      </c>
      <c r="J564" s="646">
        <f ca="1">(I564-H564)*C564</f>
        <v>0</v>
      </c>
      <c r="K564" s="647" t="e">
        <f ca="1">J564*J$777/(J$5+J$65+J$72+J$81+J$89+J$138+J$212+J$285+J$306+J$373+J$388+J$396+J$397+J$450+J$463+J$471+J$513+J$564+J$603+J$646)</f>
        <v>#DIV/0!</v>
      </c>
      <c r="L564" s="912" t="e">
        <f t="shared" ca="1" si="97"/>
        <v>#DIV/0!</v>
      </c>
      <c r="M564" s="913" t="e">
        <f ca="1">SUM(R566:R601)</f>
        <v>#DIV/0!</v>
      </c>
      <c r="N564" s="914"/>
      <c r="O564" s="914"/>
      <c r="P564" s="1070">
        <f ca="1">J564+J603</f>
        <v>0</v>
      </c>
      <c r="Q564" s="915"/>
      <c r="R564" s="916"/>
    </row>
    <row r="565" spans="1:20" ht="14.25" customHeight="1">
      <c r="A565" s="919" t="s">
        <v>945</v>
      </c>
      <c r="B565" s="920" t="s">
        <v>64</v>
      </c>
      <c r="C565" s="920">
        <v>1</v>
      </c>
      <c r="D565" s="1017" t="s">
        <v>47</v>
      </c>
      <c r="E565" s="654"/>
      <c r="F565" s="1017" t="s">
        <v>48</v>
      </c>
      <c r="G565" s="654" t="s">
        <v>49</v>
      </c>
      <c r="H565" s="655" cm="1">
        <f t="array" aca="1" ref="H565" ca="1">IFERROR(
    INDIRECT(
        "RawData!" &amp;
        ADDRESS(
            2,
            MATCH(
                TRIM(MID(A565, SEARCH(". ", A565) + 2, LEN(A565))) &amp; ".Import_kWh",
                RawData!$1:$1,
                0
            ),
            4
        )
    ),
    0
)</f>
        <v>0</v>
      </c>
      <c r="I565" s="655" cm="1">
        <f t="array" aca="1" ref="I565" ca="1">IFERROR(
    INDIRECT(
        "RawData!" &amp;
        ADDRESS(
            COUNTA(RawData!A:A),
            MATCH(
                TRIM(MID(A565, SEARCH(". ", A565) + 2, LEN(A565))) &amp; ".Import_kWh",
                RawData!$1:$1,
                0
            ),
            4
        )
    ),
    0
)</f>
        <v>0</v>
      </c>
      <c r="J565" s="680">
        <f ca="1">(I565-H565)*C565</f>
        <v>0</v>
      </c>
      <c r="K565" s="824" t="e">
        <f ca="1">J565*K$564/(J$565+J$581+J$589+J$596+J$597+J$577+J$573)</f>
        <v>#DIV/0!</v>
      </c>
      <c r="L565" s="581" t="e">
        <f t="shared" ca="1" si="97"/>
        <v>#DIV/0!</v>
      </c>
      <c r="M565" s="872" t="e">
        <f ca="1">R566+R570+R571+R567+R568</f>
        <v>#DIV/0!</v>
      </c>
      <c r="N565" s="922"/>
      <c r="O565" s="922"/>
      <c r="P565" s="1121">
        <f ca="1">J565+J573+J577+J581+J589+J596+J597+J604+J610+J612+J615+J626+J631+J634+J639</f>
        <v>0</v>
      </c>
      <c r="Q565" s="923"/>
      <c r="R565" s="924"/>
      <c r="S565" s="114" t="s">
        <v>514</v>
      </c>
      <c r="T565" s="115" t="s">
        <v>519</v>
      </c>
    </row>
    <row r="566" spans="1:20" ht="14.25" customHeight="1">
      <c r="A566" s="555" t="s">
        <v>946</v>
      </c>
      <c r="B566" s="800"/>
      <c r="C566" s="800"/>
      <c r="D566" s="800"/>
      <c r="E566" s="800"/>
      <c r="F566" s="800"/>
      <c r="G566" s="800"/>
      <c r="H566" s="594"/>
      <c r="I566" s="594"/>
      <c r="J566" s="666">
        <f>379*O566</f>
        <v>3032</v>
      </c>
      <c r="K566" s="667" t="e">
        <f ca="1">K565-(K567+K569+K568)</f>
        <v>#DIV/0!</v>
      </c>
      <c r="L566" s="801" t="e">
        <f ca="1">K566/J566</f>
        <v>#DIV/0!</v>
      </c>
      <c r="M566" s="705">
        <v>90.1</v>
      </c>
      <c r="N566" s="687">
        <v>19</v>
      </c>
      <c r="O566" s="687">
        <v>8</v>
      </c>
      <c r="P566" s="800"/>
      <c r="Q566" s="917" t="e">
        <f ca="1">R566/K565</f>
        <v>#DIV/0!</v>
      </c>
      <c r="R566" s="918" t="e">
        <f ca="1">K566</f>
        <v>#DIV/0!</v>
      </c>
      <c r="S566" s="114" t="s">
        <v>514</v>
      </c>
      <c r="T566" s="283" t="s">
        <v>525</v>
      </c>
    </row>
    <row r="567" spans="1:20" ht="14.25" customHeight="1">
      <c r="A567" s="555" t="s">
        <v>1221</v>
      </c>
      <c r="B567" s="800" t="s">
        <v>185</v>
      </c>
      <c r="C567" s="800">
        <v>1</v>
      </c>
      <c r="D567" s="800" t="s">
        <v>645</v>
      </c>
      <c r="E567" s="774" t="s">
        <v>336</v>
      </c>
      <c r="F567" s="1073" t="s">
        <v>48</v>
      </c>
      <c r="G567" s="595" t="s">
        <v>49</v>
      </c>
      <c r="H567" s="665" cm="1">
        <f t="array" aca="1" ref="H567" ca="1">IFERROR(
    INDIRECT(
        "RawData!" &amp;
        ADDRESS(
            2,
            MATCH(
                TRIM(MID(A567, SEARCH(". ", A567) + 2, LEN(A567))) &amp; ".Import_kWh",
                RawData!$1:$1,
                0
            ),
            4
        )
    ),
    0
)</f>
        <v>0</v>
      </c>
      <c r="I567" s="665" cm="1">
        <f t="array" aca="1" ref="I567" ca="1">IFERROR(
    INDIRECT(
        "RawData!" &amp;
        ADDRESS(
            COUNTA(RawData!A:A),
            MATCH(
                TRIM(MID(A567, SEARCH(". ", A567) + 2, LEN(A567))) &amp; ".Import_kWh",
                RawData!$1:$1,
                0
            ),
            4
        )
    ),
    0
)</f>
        <v>0</v>
      </c>
      <c r="J567" s="666">
        <f ca="1">(I567-H567)*C567</f>
        <v>0</v>
      </c>
      <c r="K567" s="667">
        <f ca="1">J567</f>
        <v>0</v>
      </c>
      <c r="L567" s="840" t="e">
        <f ca="1">K567/J567</f>
        <v>#DIV/0!</v>
      </c>
      <c r="M567" s="705"/>
      <c r="N567" s="687"/>
      <c r="O567" s="687"/>
      <c r="P567" s="800"/>
      <c r="Q567" s="917"/>
      <c r="R567" s="918">
        <f ca="1">K567</f>
        <v>0</v>
      </c>
      <c r="S567" s="114" t="s">
        <v>492</v>
      </c>
      <c r="T567" s="283" t="s">
        <v>499</v>
      </c>
    </row>
    <row r="568" spans="1:20" ht="14.25" customHeight="1">
      <c r="A568" s="555" t="s">
        <v>1220</v>
      </c>
      <c r="B568" s="800" t="s">
        <v>382</v>
      </c>
      <c r="C568" s="800">
        <v>1</v>
      </c>
      <c r="D568" s="800" t="s">
        <v>645</v>
      </c>
      <c r="E568" s="774" t="s">
        <v>336</v>
      </c>
      <c r="F568" s="1073" t="s">
        <v>48</v>
      </c>
      <c r="G568" s="595" t="s">
        <v>49</v>
      </c>
      <c r="H568" s="665" cm="1">
        <f t="array" aca="1" ref="H568" ca="1">IFERROR(
    INDIRECT(
        "RawData!" &amp;
        ADDRESS(
            2,
            MATCH(
                TRIM(MID(A568, SEARCH(". ", A568) + 2, LEN(A568))) &amp; ".Import_kWh",
                RawData!$1:$1,
                0
            ),
            4
        )
    ),
    0
)</f>
        <v>0</v>
      </c>
      <c r="I568" s="665" cm="1">
        <f t="array" aca="1" ref="I568" ca="1">IFERROR(
    INDIRECT(
        "RawData!" &amp;
        ADDRESS(
            COUNTA(RawData!A:A),
            MATCH(
                TRIM(MID(A568, SEARCH(". ", A568) + 2, LEN(A568))) &amp; ".Import_kWh",
                RawData!$1:$1,
                0
            ),
            4
        )
    ),
    0
)</f>
        <v>0</v>
      </c>
      <c r="J568" s="666">
        <f ca="1">(I568-H568)*C568</f>
        <v>0</v>
      </c>
      <c r="K568" s="667">
        <f ca="1">J568</f>
        <v>0</v>
      </c>
      <c r="L568" s="840" t="e">
        <f ca="1">K568/J568</f>
        <v>#DIV/0!</v>
      </c>
      <c r="M568" s="705"/>
      <c r="N568" s="687"/>
      <c r="O568" s="687"/>
      <c r="P568" s="973">
        <f ca="1">P564-P565</f>
        <v>0</v>
      </c>
      <c r="Q568" s="917"/>
      <c r="R568" s="918">
        <f ca="1">K568</f>
        <v>0</v>
      </c>
    </row>
    <row r="569" spans="1:20" ht="14.25" customHeight="1">
      <c r="A569" s="555" t="s">
        <v>947</v>
      </c>
      <c r="B569" s="800" t="s">
        <v>101</v>
      </c>
      <c r="C569" s="800">
        <v>1</v>
      </c>
      <c r="D569" s="1073" t="s">
        <v>47</v>
      </c>
      <c r="E569" s="595"/>
      <c r="F569" s="1073" t="s">
        <v>48</v>
      </c>
      <c r="G569" s="595" t="s">
        <v>49</v>
      </c>
      <c r="H569" s="665" cm="1">
        <f t="array" aca="1" ref="H569" ca="1">IFERROR(
    INDIRECT(
        "RawData!" &amp;
        ADDRESS(
            2,
            MATCH(
                TRIM(MID(A569, SEARCH(". ", A569) + 2, LEN(A569))) &amp; ".Import_kWh",
                RawData!$1:$1,
                0
            ),
            4
        )
    ),
    0
)</f>
        <v>0</v>
      </c>
      <c r="I569" s="665" cm="1">
        <f t="array" aca="1" ref="I569" ca="1">IFERROR(
    INDIRECT(
        "RawData!" &amp;
        ADDRESS(
            COUNTA(RawData!A:A),
            MATCH(
                TRIM(MID(A569, SEARCH(". ", A569) + 2, LEN(A569))) &amp; ".Import_kWh",
                RawData!$1:$1,
                0
            ),
            4
        )
    ),
    0
)</f>
        <v>0</v>
      </c>
      <c r="J569" s="666">
        <f ca="1">(I569-H569)*C569</f>
        <v>0</v>
      </c>
      <c r="K569" s="667">
        <f ca="1">J569</f>
        <v>0</v>
      </c>
      <c r="L569" s="840" t="e">
        <f t="shared" ca="1" si="97"/>
        <v>#DIV/0!</v>
      </c>
      <c r="M569" s="873"/>
      <c r="N569" s="687"/>
      <c r="O569" s="687"/>
      <c r="P569" s="800"/>
      <c r="Q569" s="917"/>
      <c r="R569" s="918"/>
      <c r="S569" s="114" t="s">
        <v>492</v>
      </c>
      <c r="T569" s="115" t="s">
        <v>493</v>
      </c>
    </row>
    <row r="570" spans="1:20" ht="14.25" customHeight="1">
      <c r="A570" s="555" t="s">
        <v>948</v>
      </c>
      <c r="B570" s="800"/>
      <c r="C570" s="800"/>
      <c r="D570" s="800"/>
      <c r="E570" s="800"/>
      <c r="F570" s="800"/>
      <c r="G570" s="800"/>
      <c r="H570" s="724"/>
      <c r="I570" s="724"/>
      <c r="J570" s="666">
        <f>227*O570</f>
        <v>7945</v>
      </c>
      <c r="K570" s="667">
        <f ca="1">K569-K571</f>
        <v>0</v>
      </c>
      <c r="L570" s="801"/>
      <c r="M570" s="705">
        <v>70.55</v>
      </c>
      <c r="N570" s="687">
        <v>29</v>
      </c>
      <c r="O570" s="687">
        <v>35</v>
      </c>
      <c r="P570" s="800"/>
      <c r="Q570" s="917" t="e">
        <f ca="1">R570/K565</f>
        <v>#DIV/0!</v>
      </c>
      <c r="R570" s="918">
        <f ca="1">K570</f>
        <v>0</v>
      </c>
      <c r="S570" s="114"/>
      <c r="T570" s="115"/>
    </row>
    <row r="571" spans="1:20" ht="14.25" customHeight="1">
      <c r="A571" s="555" t="s">
        <v>1222</v>
      </c>
      <c r="B571" s="800"/>
      <c r="C571" s="800">
        <v>1</v>
      </c>
      <c r="D571" s="1073" t="s">
        <v>47</v>
      </c>
      <c r="E571" s="595"/>
      <c r="F571" s="1073" t="s">
        <v>48</v>
      </c>
      <c r="G571" s="595" t="s">
        <v>49</v>
      </c>
      <c r="H571" s="665" cm="1">
        <f t="array" aca="1" ref="H571" ca="1">IFERROR(
    INDIRECT(
        "RawData!" &amp;
        ADDRESS(
            2,
            MATCH(
                TRIM(MID(A571, SEARCH(". ", A571) + 2, LEN(A571))) &amp; ".Import_kWh",
                RawData!$1:$1,
                0
            ),
            4
        )
    ),
    0
)</f>
        <v>0</v>
      </c>
      <c r="I571" s="665" cm="1">
        <f t="array" aca="1" ref="I571" ca="1">IFERROR(
    INDIRECT(
        "RawData!" &amp;
        ADDRESS(
            COUNTA(RawData!A:A),
            MATCH(
                TRIM(MID(A571, SEARCH(". ", A571) + 2, LEN(A571))) &amp; ".Import_kWh",
                RawData!$1:$1,
                0
            ),
            4
        )
    ),
    0
)</f>
        <v>0</v>
      </c>
      <c r="J571" s="666">
        <f ca="1">(I571-H571)*C571</f>
        <v>0</v>
      </c>
      <c r="K571" s="667">
        <f ca="1">J571</f>
        <v>0</v>
      </c>
      <c r="L571" s="840" t="e">
        <f ca="1">K571/J571</f>
        <v>#DIV/0!</v>
      </c>
      <c r="M571" s="705"/>
      <c r="N571" s="687"/>
      <c r="O571" s="687"/>
      <c r="P571" s="800"/>
      <c r="Q571" s="917"/>
      <c r="R571" s="918">
        <f ca="1">K571</f>
        <v>0</v>
      </c>
      <c r="S571" s="114" t="s">
        <v>514</v>
      </c>
      <c r="T571" s="115" t="s">
        <v>519</v>
      </c>
    </row>
    <row r="572" spans="1:20" ht="14.25" customHeight="1">
      <c r="A572" s="555" t="s">
        <v>949</v>
      </c>
      <c r="B572" s="800"/>
      <c r="C572" s="1122"/>
      <c r="D572" s="1122"/>
      <c r="E572" s="1122"/>
      <c r="F572" s="1122"/>
      <c r="G572" s="1122"/>
      <c r="H572" s="594"/>
      <c r="I572" s="594"/>
      <c r="J572" s="675"/>
      <c r="K572" s="667"/>
      <c r="L572" s="801"/>
      <c r="M572" s="705"/>
      <c r="N572" s="687"/>
      <c r="O572" s="687"/>
      <c r="P572" s="800"/>
      <c r="Q572" s="917"/>
      <c r="R572" s="918"/>
    </row>
    <row r="573" spans="1:20" ht="14.25" customHeight="1">
      <c r="A573" s="919" t="s">
        <v>950</v>
      </c>
      <c r="B573" s="920" t="s">
        <v>64</v>
      </c>
      <c r="C573" s="920">
        <v>1</v>
      </c>
      <c r="D573" s="1017" t="s">
        <v>47</v>
      </c>
      <c r="E573" s="654"/>
      <c r="F573" s="1017" t="s">
        <v>48</v>
      </c>
      <c r="G573" s="654" t="s">
        <v>49</v>
      </c>
      <c r="H573" s="655" cm="1">
        <f t="array" aca="1" ref="H573" ca="1">IFERROR(
    INDIRECT(
        "RawData!" &amp;
        ADDRESS(
            2,
            MATCH(
                TRIM(MID(A573, SEARCH(". ", A573) + 2, LEN(A573))) &amp; ".Import_kWh",
                RawData!$1:$1,
                0
            ),
            4
        )
    ),
    0
)</f>
        <v>0</v>
      </c>
      <c r="I573" s="655" cm="1">
        <f t="array" aca="1" ref="I573" ca="1">IFERROR(
    INDIRECT(
        "RawData!" &amp;
        ADDRESS(
            COUNTA(RawData!A:A),
            MATCH(
                TRIM(MID(A573, SEARCH(". ", A573) + 2, LEN(A573))) &amp; ".Import_kWh",
                RawData!$1:$1,
                0
            ),
            4
        )
    ),
    0
)</f>
        <v>0</v>
      </c>
      <c r="J573" s="680">
        <f ca="1">(I573-H573)*C573</f>
        <v>0</v>
      </c>
      <c r="K573" s="824" t="e">
        <f ca="1">J573*K$564/(J$565+J$581+J$589+J$596+J$597+J$577+J$573)</f>
        <v>#DIV/0!</v>
      </c>
      <c r="L573" s="581" t="e">
        <f ca="1">K573/J573</f>
        <v>#DIV/0!</v>
      </c>
      <c r="M573" s="1123" t="e">
        <f ca="1">R574+R575</f>
        <v>#DIV/0!</v>
      </c>
      <c r="N573" s="922"/>
      <c r="O573" s="922"/>
      <c r="P573" s="920"/>
      <c r="Q573" s="923"/>
      <c r="R573" s="924"/>
    </row>
    <row r="574" spans="1:20" ht="14.25" customHeight="1">
      <c r="A574" s="555" t="s">
        <v>951</v>
      </c>
      <c r="B574" s="800"/>
      <c r="C574" s="800"/>
      <c r="D574" s="800"/>
      <c r="E574" s="800"/>
      <c r="F574" s="800"/>
      <c r="G574" s="800"/>
      <c r="H574" s="725"/>
      <c r="I574" s="725"/>
      <c r="J574" s="1109"/>
      <c r="K574" s="667" t="e">
        <f ca="1">K573-J576</f>
        <v>#DIV/0!</v>
      </c>
      <c r="L574" s="840"/>
      <c r="M574" s="674">
        <v>50.15</v>
      </c>
      <c r="N574" s="687">
        <v>0</v>
      </c>
      <c r="O574" s="687">
        <v>0</v>
      </c>
      <c r="P574" s="800">
        <f>M574*O574</f>
        <v>0</v>
      </c>
      <c r="Q574" s="917">
        <f>P574/(P$574+P$575)</f>
        <v>0</v>
      </c>
      <c r="R574" s="918" t="e">
        <f ca="1">K$573*Q574</f>
        <v>#DIV/0!</v>
      </c>
      <c r="S574" s="114" t="s">
        <v>485</v>
      </c>
      <c r="T574" s="115" t="s">
        <v>490</v>
      </c>
    </row>
    <row r="575" spans="1:20" ht="14.25" customHeight="1">
      <c r="A575" s="555" t="s">
        <v>952</v>
      </c>
      <c r="B575" s="800"/>
      <c r="C575" s="800"/>
      <c r="D575" s="800"/>
      <c r="E575" s="800"/>
      <c r="F575" s="800"/>
      <c r="G575" s="800"/>
      <c r="H575" s="725"/>
      <c r="I575" s="725"/>
      <c r="J575" s="1109"/>
      <c r="K575" s="667"/>
      <c r="L575" s="840"/>
      <c r="M575" s="674">
        <v>70</v>
      </c>
      <c r="N575" s="687">
        <v>20</v>
      </c>
      <c r="O575" s="687">
        <v>34</v>
      </c>
      <c r="P575" s="800">
        <f>M575*O575</f>
        <v>2380</v>
      </c>
      <c r="Q575" s="917">
        <f>P575/(P$574+P$575)</f>
        <v>1</v>
      </c>
      <c r="R575" s="918" t="e">
        <f ca="1">K574</f>
        <v>#DIV/0!</v>
      </c>
    </row>
    <row r="576" spans="1:20" ht="14.25" customHeight="1">
      <c r="A576" s="555" t="s">
        <v>1223</v>
      </c>
      <c r="B576" s="800" t="s">
        <v>382</v>
      </c>
      <c r="C576" s="800">
        <v>1</v>
      </c>
      <c r="D576" s="800"/>
      <c r="E576" s="774" t="s">
        <v>336</v>
      </c>
      <c r="F576" s="595" t="s">
        <v>48</v>
      </c>
      <c r="G576" s="595" t="s">
        <v>49</v>
      </c>
      <c r="H576" s="665" cm="1">
        <f t="array" aca="1" ref="H576" ca="1">IFERROR(
    INDIRECT(
        "RawData!" &amp;
        ADDRESS(
            2,
            MATCH(
                TRIM(MID(A576, SEARCH(". ", A576) + 2, LEN(A576))) &amp; ".Import_kWh",
                RawData!$1:$1,
                0
            ),
            4
        )
    ),
    0
)</f>
        <v>0</v>
      </c>
      <c r="I576" s="665" cm="1">
        <f t="array" aca="1" ref="I576" ca="1">IFERROR(
    INDIRECT(
        "RawData!" &amp;
        ADDRESS(
            COUNTA(RawData!A:A),
            MATCH(
                TRIM(MID(A576, SEARCH(". ", A576) + 2, LEN(A576))) &amp; ".Import_kWh",
                RawData!$1:$1,
                0
            ),
            4
        )
    ),
    0
)</f>
        <v>0</v>
      </c>
      <c r="J576" s="1109">
        <f ca="1">(I576-H576)*C576</f>
        <v>0</v>
      </c>
      <c r="K576" s="667">
        <f ca="1">J576</f>
        <v>0</v>
      </c>
      <c r="L576" s="840"/>
      <c r="M576" s="674"/>
      <c r="N576" s="687"/>
      <c r="O576" s="687"/>
      <c r="P576" s="800"/>
      <c r="Q576" s="917"/>
      <c r="R576" s="918">
        <f ca="1">K576</f>
        <v>0</v>
      </c>
      <c r="S576" s="114"/>
      <c r="T576" s="115"/>
    </row>
    <row r="577" spans="1:20" ht="14.25" customHeight="1">
      <c r="A577" s="919" t="s">
        <v>953</v>
      </c>
      <c r="B577" s="1124"/>
      <c r="C577" s="920">
        <v>1</v>
      </c>
      <c r="D577" s="1017" t="s">
        <v>47</v>
      </c>
      <c r="E577" s="654"/>
      <c r="F577" s="1017" t="s">
        <v>48</v>
      </c>
      <c r="G577" s="654" t="s">
        <v>49</v>
      </c>
      <c r="H577" s="655" cm="1">
        <f t="array" aca="1" ref="H577" ca="1">IFERROR(
    INDIRECT(
        "RawData!" &amp;
        ADDRESS(
            2,
            MATCH(
                TRIM(MID(A577, SEARCH(". ", A577) + 2, LEN(A577))) &amp; ".Import_kWh",
                RawData!$1:$1,
                0
            ),
            4
        )
    ),
    0
)</f>
        <v>0</v>
      </c>
      <c r="I577" s="655" cm="1">
        <f t="array" aca="1" ref="I577" ca="1">IFERROR(
    INDIRECT(
        "RawData!" &amp;
        ADDRESS(
            COUNTA(RawData!A:A),
            MATCH(
                TRIM(MID(A577, SEARCH(". ", A577) + 2, LEN(A577))) &amp; ".Import_kWh",
                RawData!$1:$1,
                0
            ),
            4
        )
    ),
    0
)</f>
        <v>0</v>
      </c>
      <c r="J577" s="680">
        <f ca="1">(I577-H577)*C577</f>
        <v>0</v>
      </c>
      <c r="K577" s="824" t="e">
        <f ca="1">J577*K$564/(J$565+J$581+J$589+J$596+J$597+J$577+J$573)</f>
        <v>#DIV/0!</v>
      </c>
      <c r="L577" s="581" t="e">
        <f ca="1">K577/J577</f>
        <v>#DIV/0!</v>
      </c>
      <c r="M577" s="872" t="e">
        <f ca="1">R578+R580+R579</f>
        <v>#DIV/0!</v>
      </c>
      <c r="N577" s="922"/>
      <c r="O577" s="922"/>
      <c r="P577" s="920"/>
      <c r="Q577" s="923"/>
      <c r="R577" s="924"/>
      <c r="S577" s="114"/>
      <c r="T577" s="283"/>
    </row>
    <row r="578" spans="1:20" ht="14.25" customHeight="1">
      <c r="A578" s="555" t="s">
        <v>954</v>
      </c>
      <c r="B578" s="903"/>
      <c r="C578" s="800"/>
      <c r="D578" s="800"/>
      <c r="E578" s="800"/>
      <c r="F578" s="800"/>
      <c r="G578" s="800"/>
      <c r="H578" s="594"/>
      <c r="I578" s="594"/>
      <c r="J578" s="673"/>
      <c r="K578" s="667" t="e">
        <f ca="1">K577-(K579+K580)</f>
        <v>#DIV/0!</v>
      </c>
      <c r="L578" s="801"/>
      <c r="M578" s="705">
        <v>130</v>
      </c>
      <c r="N578" s="687">
        <v>28</v>
      </c>
      <c r="O578" s="687">
        <v>43</v>
      </c>
      <c r="P578" s="973"/>
      <c r="Q578" s="917"/>
      <c r="R578" s="918" t="e">
        <f ca="1">K578</f>
        <v>#DIV/0!</v>
      </c>
      <c r="S578" s="114" t="s">
        <v>527</v>
      </c>
      <c r="T578" s="115" t="s">
        <v>528</v>
      </c>
    </row>
    <row r="579" spans="1:20" ht="14.25" customHeight="1">
      <c r="A579" s="555" t="s">
        <v>1224</v>
      </c>
      <c r="B579" s="800" t="s">
        <v>185</v>
      </c>
      <c r="C579" s="800">
        <v>1</v>
      </c>
      <c r="D579" s="800" t="s">
        <v>645</v>
      </c>
      <c r="E579" s="774" t="s">
        <v>336</v>
      </c>
      <c r="F579" s="595" t="s">
        <v>48</v>
      </c>
      <c r="G579" s="595" t="s">
        <v>49</v>
      </c>
      <c r="H579" s="665" cm="1">
        <f t="array" aca="1" ref="H579" ca="1">IFERROR(
    INDIRECT(
        "RawData!" &amp;
        ADDRESS(
            2,
            MATCH(
                TRIM(MID(A579, SEARCH(". ", A579) + 2, LEN(A579))) &amp; ".Import_kWh",
                RawData!$1:$1,
                0
            ),
            4
        )
    ),
    0
)</f>
        <v>0</v>
      </c>
      <c r="I579" s="665" cm="1">
        <f t="array" aca="1" ref="I579" ca="1">IFERROR(
    INDIRECT(
        "RawData!" &amp;
        ADDRESS(
            COUNTA(RawData!A:A),
            MATCH(
                TRIM(MID(A579, SEARCH(". ", A579) + 2, LEN(A579))) &amp; ".Import_kWh",
                RawData!$1:$1,
                0
            ),
            4
        )
    ),
    0
)</f>
        <v>0</v>
      </c>
      <c r="J579" s="666">
        <f ca="1">(I579-H579)*C579</f>
        <v>0</v>
      </c>
      <c r="K579" s="667">
        <f ca="1">J579</f>
        <v>0</v>
      </c>
      <c r="L579" s="840" t="e">
        <f ca="1">K579/J579</f>
        <v>#DIV/0!</v>
      </c>
      <c r="M579" s="1125"/>
      <c r="N579" s="687"/>
      <c r="O579" s="687"/>
      <c r="P579" s="954"/>
      <c r="Q579" s="917"/>
      <c r="R579" s="918">
        <f ca="1">K579</f>
        <v>0</v>
      </c>
      <c r="S579" s="114" t="s">
        <v>527</v>
      </c>
      <c r="T579" s="283" t="s">
        <v>535</v>
      </c>
    </row>
    <row r="580" spans="1:20" ht="14.25" customHeight="1">
      <c r="A580" s="555" t="s">
        <v>1225</v>
      </c>
      <c r="B580" s="903"/>
      <c r="C580" s="800">
        <v>1</v>
      </c>
      <c r="D580" s="1073" t="s">
        <v>47</v>
      </c>
      <c r="E580" s="595"/>
      <c r="F580" s="1073" t="s">
        <v>48</v>
      </c>
      <c r="G580" s="595" t="s">
        <v>49</v>
      </c>
      <c r="H580" s="665" cm="1">
        <f t="array" aca="1" ref="H580" ca="1">IFERROR(
    INDIRECT(
        "RawData!" &amp;
        ADDRESS(
            2,
            MATCH(
                TRIM(MID(A580, SEARCH(". ", A580) + 2, LEN(A580))) &amp; ".Import_kWh",
                RawData!$1:$1,
                0
            ),
            4
        )
    ),
    0
)</f>
        <v>0</v>
      </c>
      <c r="I580" s="665" cm="1">
        <f t="array" aca="1" ref="I580" ca="1">IFERROR(
    INDIRECT(
        "RawData!" &amp;
        ADDRESS(
            COUNTA(RawData!A:A),
            MATCH(
                TRIM(MID(A580, SEARCH(". ", A580) + 2, LEN(A580))) &amp; ".Import_kWh",
                RawData!$1:$1,
                0
            ),
            4
        )
    ),
    0
)</f>
        <v>0</v>
      </c>
      <c r="J580" s="666">
        <f ca="1">(I580-H580)*C580</f>
        <v>0</v>
      </c>
      <c r="K580" s="667">
        <f ca="1">J580</f>
        <v>0</v>
      </c>
      <c r="L580" s="840" t="e">
        <f ca="1">K580/J580</f>
        <v>#DIV/0!</v>
      </c>
      <c r="M580" s="705"/>
      <c r="N580" s="687"/>
      <c r="O580" s="687"/>
      <c r="P580" s="973"/>
      <c r="Q580" s="917"/>
      <c r="R580" s="918">
        <f ca="1">K580</f>
        <v>0</v>
      </c>
      <c r="S580" s="114" t="s">
        <v>527</v>
      </c>
      <c r="T580" s="115" t="s">
        <v>528</v>
      </c>
    </row>
    <row r="581" spans="1:20" ht="14.25" customHeight="1">
      <c r="A581" s="919" t="s">
        <v>955</v>
      </c>
      <c r="B581" s="920" t="s">
        <v>64</v>
      </c>
      <c r="C581" s="920">
        <v>1</v>
      </c>
      <c r="D581" s="1017" t="s">
        <v>47</v>
      </c>
      <c r="E581" s="654"/>
      <c r="F581" s="1017" t="s">
        <v>48</v>
      </c>
      <c r="G581" s="654" t="s">
        <v>49</v>
      </c>
      <c r="H581" s="655" cm="1">
        <f t="array" aca="1" ref="H581" ca="1">IFERROR(
    INDIRECT(
        "RawData!" &amp;
        ADDRESS(
            2,
            MATCH(
                TRIM(MID(A581, SEARCH(". ", A581) + 2, LEN(A581))) &amp; ".Import_kWh",
                RawData!$1:$1,
                0
            ),
            4
        )
    ),
    0
)</f>
        <v>0</v>
      </c>
      <c r="I581" s="655" cm="1">
        <f t="array" aca="1" ref="I581" ca="1">IFERROR(
    INDIRECT(
        "RawData!" &amp;
        ADDRESS(
            COUNTA(RawData!A:A),
            MATCH(
                TRIM(MID(A581, SEARCH(". ", A581) + 2, LEN(A581))) &amp; ".Import_kWh",
                RawData!$1:$1,
                0
            ),
            4
        )
    ),
    0
)</f>
        <v>0</v>
      </c>
      <c r="J581" s="680">
        <f ca="1">(I581-H581)*C581</f>
        <v>0</v>
      </c>
      <c r="K581" s="824" t="e">
        <f ca="1">J581*K$564/(J$565+J$581+J$589+J$596+J$597+J$577+J$573)</f>
        <v>#DIV/0!</v>
      </c>
      <c r="L581" s="581" t="e">
        <f ca="1">K581/J581</f>
        <v>#DIV/0!</v>
      </c>
      <c r="M581" s="872" t="e">
        <f ca="1">R582+R583+R584+R585+R587</f>
        <v>#DIV/0!</v>
      </c>
      <c r="N581" s="922"/>
      <c r="O581" s="922"/>
      <c r="P581" s="920"/>
      <c r="Q581" s="923"/>
      <c r="R581" s="924"/>
      <c r="S581" s="114"/>
      <c r="T581" s="283"/>
    </row>
    <row r="582" spans="1:20" ht="14.25" customHeight="1">
      <c r="A582" s="555" t="s">
        <v>956</v>
      </c>
      <c r="B582" s="800"/>
      <c r="C582" s="800"/>
      <c r="D582" s="800"/>
      <c r="E582" s="800"/>
      <c r="F582" s="800"/>
      <c r="G582" s="800"/>
      <c r="H582" s="594"/>
      <c r="I582" s="594"/>
      <c r="J582" s="562"/>
      <c r="K582" s="667" t="e">
        <f ca="1">K581-(K583+K585+K584)</f>
        <v>#DIV/0!</v>
      </c>
      <c r="L582" s="801"/>
      <c r="M582" s="705">
        <v>77.150000000000006</v>
      </c>
      <c r="N582" s="687"/>
      <c r="O582" s="687"/>
      <c r="P582" s="800">
        <f>290*O582</f>
        <v>0</v>
      </c>
      <c r="Q582" s="917"/>
      <c r="R582" s="918" t="e">
        <f ca="1">K582</f>
        <v>#DIV/0!</v>
      </c>
      <c r="S582" s="114" t="s">
        <v>514</v>
      </c>
      <c r="T582" s="115" t="s">
        <v>517</v>
      </c>
    </row>
    <row r="583" spans="1:20" ht="14.25" customHeight="1">
      <c r="A583" s="555" t="s">
        <v>1226</v>
      </c>
      <c r="B583" s="800" t="s">
        <v>185</v>
      </c>
      <c r="C583" s="800">
        <v>1</v>
      </c>
      <c r="D583" s="800" t="s">
        <v>645</v>
      </c>
      <c r="E583" s="774" t="s">
        <v>336</v>
      </c>
      <c r="F583" s="1073" t="s">
        <v>48</v>
      </c>
      <c r="G583" s="595" t="s">
        <v>49</v>
      </c>
      <c r="H583" s="665" cm="1">
        <f t="array" aca="1" ref="H583" ca="1">IFERROR(
    INDIRECT(
        "RawData!" &amp;
        ADDRESS(
            2,
            MATCH(
                TRIM(MID(A583, SEARCH(". ", A583) + 2, LEN(A583))) &amp; ".Import_kWh",
                RawData!$1:$1,
                0
            ),
            4
        )
    ),
    0
)</f>
        <v>0</v>
      </c>
      <c r="I583" s="665" cm="1">
        <f t="array" aca="1" ref="I583" ca="1">IFERROR(
    INDIRECT(
        "RawData!" &amp;
        ADDRESS(
            COUNTA(RawData!A:A),
            MATCH(
                TRIM(MID(A583, SEARCH(". ", A583) + 2, LEN(A583))) &amp; ".Import_kWh",
                RawData!$1:$1,
                0
            ),
            4
        )
    ),
    0
)</f>
        <v>0</v>
      </c>
      <c r="J583" s="666">
        <f ca="1">(I583-H583)*C583</f>
        <v>0</v>
      </c>
      <c r="K583" s="667">
        <f ca="1">J583</f>
        <v>0</v>
      </c>
      <c r="L583" s="840" t="e">
        <f ca="1">K583/J583</f>
        <v>#DIV/0!</v>
      </c>
      <c r="M583" s="705"/>
      <c r="N583" s="687"/>
      <c r="O583" s="687"/>
      <c r="P583" s="800"/>
      <c r="Q583" s="917"/>
      <c r="R583" s="918">
        <f ca="1">K583</f>
        <v>0</v>
      </c>
      <c r="S583" s="114" t="s">
        <v>514</v>
      </c>
      <c r="T583" s="283" t="s">
        <v>522</v>
      </c>
    </row>
    <row r="584" spans="1:20" ht="14.25" customHeight="1">
      <c r="A584" s="555" t="s">
        <v>1227</v>
      </c>
      <c r="B584" s="800" t="s">
        <v>382</v>
      </c>
      <c r="C584" s="800">
        <v>1</v>
      </c>
      <c r="D584" s="800" t="s">
        <v>645</v>
      </c>
      <c r="E584" s="774" t="s">
        <v>336</v>
      </c>
      <c r="F584" s="1073" t="s">
        <v>48</v>
      </c>
      <c r="G584" s="595" t="s">
        <v>49</v>
      </c>
      <c r="H584" s="665" cm="1">
        <f t="array" aca="1" ref="H584" ca="1">IFERROR(
    INDIRECT(
        "RawData!" &amp;
        ADDRESS(
            2,
            MATCH(
                TRIM(MID(A584, SEARCH(". ", A584) + 2, LEN(A584))) &amp; ".Import_kWh",
                RawData!$1:$1,
                0
            ),
            4
        )
    ),
    0
)</f>
        <v>0</v>
      </c>
      <c r="I584" s="665" cm="1">
        <f t="array" aca="1" ref="I584" ca="1">IFERROR(
    INDIRECT(
        "RawData!" &amp;
        ADDRESS(
            COUNTA(RawData!A:A),
            MATCH(
                TRIM(MID(A584, SEARCH(". ", A584) + 2, LEN(A584))) &amp; ".Import_kWh",
                RawData!$1:$1,
                0
            ),
            4
        )
    ),
    0
)</f>
        <v>0</v>
      </c>
      <c r="J584" s="666">
        <f ca="1">(I584-H584)*C584</f>
        <v>0</v>
      </c>
      <c r="K584" s="667">
        <f ca="1">J584</f>
        <v>0</v>
      </c>
      <c r="L584" s="840" t="e">
        <f ca="1">K584/J584</f>
        <v>#DIV/0!</v>
      </c>
      <c r="M584" s="705"/>
      <c r="N584" s="687"/>
      <c r="O584" s="687"/>
      <c r="P584" s="800"/>
      <c r="Q584" s="917"/>
      <c r="R584" s="918">
        <f ca="1">K584</f>
        <v>0</v>
      </c>
      <c r="S584" s="114" t="s">
        <v>468</v>
      </c>
      <c r="T584" s="283" t="s">
        <v>502</v>
      </c>
    </row>
    <row r="585" spans="1:20" ht="14.25" customHeight="1">
      <c r="A585" s="555" t="s">
        <v>1228</v>
      </c>
      <c r="B585" s="800" t="s">
        <v>101</v>
      </c>
      <c r="C585" s="800">
        <v>1</v>
      </c>
      <c r="D585" s="1073" t="s">
        <v>47</v>
      </c>
      <c r="E585" s="595"/>
      <c r="F585" s="1073" t="s">
        <v>48</v>
      </c>
      <c r="G585" s="595" t="s">
        <v>49</v>
      </c>
      <c r="H585" s="665" cm="1">
        <f t="array" aca="1" ref="H585" ca="1">IFERROR(
    INDIRECT(
        "RawData!" &amp;
        ADDRESS(
            2,
            MATCH(
                TRIM(MID(A585, SEARCH(". ", A585) + 2, LEN(A585))) &amp; ".Import_kWh",
                RawData!$1:$1,
                0
            ),
            4
        )
    ),
    0
)</f>
        <v>0</v>
      </c>
      <c r="I585" s="665" cm="1">
        <f t="array" aca="1" ref="I585" ca="1">IFERROR(
    INDIRECT(
        "RawData!" &amp;
        ADDRESS(
            COUNTA(RawData!A:A),
            MATCH(
                TRIM(MID(A585, SEARCH(". ", A585) + 2, LEN(A585))) &amp; ".Import_kWh",
                RawData!$1:$1,
                0
            ),
            4
        )
    ),
    0
)</f>
        <v>0</v>
      </c>
      <c r="J585" s="666">
        <f ca="1">(I585-H585)*C585</f>
        <v>0</v>
      </c>
      <c r="K585" s="667">
        <f ca="1">J585</f>
        <v>0</v>
      </c>
      <c r="L585" s="840" t="e">
        <f ca="1">K585/J585</f>
        <v>#DIV/0!</v>
      </c>
      <c r="M585" s="705">
        <v>53.23</v>
      </c>
      <c r="N585" s="687"/>
      <c r="O585" s="687"/>
      <c r="P585" s="800"/>
      <c r="Q585" s="917"/>
      <c r="R585" s="918">
        <f ca="1">K586</f>
        <v>0</v>
      </c>
      <c r="S585" s="52" t="s">
        <v>957</v>
      </c>
      <c r="T585" s="52" t="s">
        <v>469</v>
      </c>
    </row>
    <row r="586" spans="1:20" ht="14.25" customHeight="1">
      <c r="A586" s="555"/>
      <c r="B586" s="800"/>
      <c r="C586" s="800"/>
      <c r="D586" s="800"/>
      <c r="E586" s="800"/>
      <c r="F586" s="800"/>
      <c r="G586" s="800"/>
      <c r="H586" s="665" cm="1">
        <f t="array" aca="1" ref="H586" ca="1">IFERROR(
    INDIRECT(
        "RawData!" &amp;
        ADDRESS(
            2,
            MATCH(
                TRIM(MID(A586, SEARCH(". ", A586) + 2, LEN(A586))) &amp; ".Import_kWh",
                RawData!$1:$1,
                0
            ),
            4
        )
    ),
    0
)</f>
        <v>0</v>
      </c>
      <c r="I586" s="665" cm="1">
        <f t="array" aca="1" ref="I586" ca="1">IFERROR(
    INDIRECT(
        "RawData!" &amp;
        ADDRESS(
            COUNTA(RawData!A:A),
            MATCH(
                TRIM(MID(A586, SEARCH(". ", A586) + 2, LEN(A586))) &amp; ".Import_kWh",
                RawData!$1:$1,
                0
            ),
            4
        )
    ),
    0
)</f>
        <v>0</v>
      </c>
      <c r="J586" s="673"/>
      <c r="K586" s="667">
        <f ca="1">K585-K587</f>
        <v>0</v>
      </c>
      <c r="L586" s="801"/>
      <c r="M586" s="1126"/>
      <c r="N586" s="687"/>
      <c r="O586" s="687"/>
      <c r="P586" s="800"/>
      <c r="Q586" s="917"/>
      <c r="R586" s="918"/>
    </row>
    <row r="587" spans="1:20" ht="14.25" customHeight="1">
      <c r="A587" s="555" t="s">
        <v>1229</v>
      </c>
      <c r="B587" s="800"/>
      <c r="C587" s="800">
        <v>1</v>
      </c>
      <c r="D587" s="1073" t="s">
        <v>47</v>
      </c>
      <c r="E587" s="595"/>
      <c r="F587" s="1073" t="s">
        <v>48</v>
      </c>
      <c r="G587" s="595" t="s">
        <v>49</v>
      </c>
      <c r="H587" s="665" cm="1">
        <f t="array" aca="1" ref="H587" ca="1">IFERROR(
    INDIRECT(
        "RawData!" &amp;
        ADDRESS(
            2,
            MATCH(
                TRIM(MID(A587, SEARCH(". ", A587) + 2, LEN(A587))) &amp; ".Import_kWh",
                RawData!$1:$1,
                0
            ),
            4
        )
    ),
    0
)</f>
        <v>0</v>
      </c>
      <c r="I587" s="665" cm="1">
        <f t="array" aca="1" ref="I587" ca="1">IFERROR(
    INDIRECT(
        "RawData!" &amp;
        ADDRESS(
            COUNTA(RawData!A:A),
            MATCH(
                TRIM(MID(A587, SEARCH(". ", A587) + 2, LEN(A587))) &amp; ".Import_kWh",
                RawData!$1:$1,
                0
            ),
            4
        )
    ),
    0
)</f>
        <v>0</v>
      </c>
      <c r="J587" s="666">
        <f ca="1">(I587-H587)*C587</f>
        <v>0</v>
      </c>
      <c r="K587" s="667">
        <f ca="1">J587</f>
        <v>0</v>
      </c>
      <c r="L587" s="840" t="e">
        <f ca="1">K587/J587</f>
        <v>#DIV/0!</v>
      </c>
      <c r="M587" s="1126"/>
      <c r="N587" s="687"/>
      <c r="O587" s="687"/>
      <c r="P587" s="800"/>
      <c r="Q587" s="917"/>
      <c r="R587" s="918">
        <f ca="1">K587</f>
        <v>0</v>
      </c>
      <c r="S587" s="114" t="s">
        <v>514</v>
      </c>
      <c r="T587" s="115" t="s">
        <v>517</v>
      </c>
    </row>
    <row r="588" spans="1:20" ht="14.25" customHeight="1">
      <c r="A588" s="555" t="s">
        <v>958</v>
      </c>
      <c r="B588" s="800"/>
      <c r="C588" s="1122"/>
      <c r="D588" s="1122"/>
      <c r="E588" s="1122"/>
      <c r="F588" s="1122"/>
      <c r="G588" s="1122"/>
      <c r="H588" s="594"/>
      <c r="I588" s="594"/>
      <c r="J588" s="673"/>
      <c r="K588" s="667"/>
      <c r="L588" s="801"/>
      <c r="M588" s="1126"/>
      <c r="N588" s="687"/>
      <c r="O588" s="687"/>
      <c r="P588" s="800"/>
      <c r="Q588" s="917"/>
      <c r="R588" s="918"/>
      <c r="S588" s="114"/>
      <c r="T588" s="115"/>
    </row>
    <row r="589" spans="1:20" ht="14.25" customHeight="1">
      <c r="A589" s="919" t="s">
        <v>959</v>
      </c>
      <c r="B589" s="920" t="s">
        <v>64</v>
      </c>
      <c r="C589" s="920">
        <v>1</v>
      </c>
      <c r="D589" s="1017" t="s">
        <v>47</v>
      </c>
      <c r="E589" s="654"/>
      <c r="F589" s="1017" t="s">
        <v>48</v>
      </c>
      <c r="G589" s="654" t="s">
        <v>49</v>
      </c>
      <c r="H589" s="655" cm="1">
        <f t="array" aca="1" ref="H589" ca="1">IFERROR(
    INDIRECT(
        "RawData!" &amp;
        ADDRESS(
            2,
            MATCH(
                TRIM(MID(A589, SEARCH(". ", A589) + 2, LEN(A589))) &amp; ".Import_kWh",
                RawData!$1:$1,
                0
            ),
            4
        )
    ),
    0
)</f>
        <v>0</v>
      </c>
      <c r="I589" s="655" cm="1">
        <f t="array" aca="1" ref="I589" ca="1">IFERROR(
    INDIRECT(
        "RawData!" &amp;
        ADDRESS(
            COUNTA(RawData!A:A),
            MATCH(
                TRIM(MID(A589, SEARCH(". ", A589) + 2, LEN(A589))) &amp; ".Import_kWh",
                RawData!$1:$1,
                0
            ),
            4
        )
    ),
    0
)</f>
        <v>0</v>
      </c>
      <c r="J589" s="680">
        <f ca="1">(I589-H589)*C589</f>
        <v>0</v>
      </c>
      <c r="K589" s="824" t="e">
        <f ca="1">J589*K$564/(J$565+J$581+J$589+J$596+J$597+J$577+J$573)</f>
        <v>#DIV/0!</v>
      </c>
      <c r="L589" s="581" t="e">
        <f ca="1">K589/J589</f>
        <v>#DIV/0!</v>
      </c>
      <c r="M589" s="872" t="e">
        <f ca="1">R590+R591+R593+R594+R595</f>
        <v>#DIV/0!</v>
      </c>
      <c r="N589" s="922"/>
      <c r="O589" s="922"/>
      <c r="P589" s="920"/>
      <c r="Q589" s="923"/>
      <c r="R589" s="924"/>
      <c r="S589" s="114"/>
      <c r="T589" s="283"/>
    </row>
    <row r="590" spans="1:20" ht="14.25" customHeight="1">
      <c r="A590" s="555" t="s">
        <v>960</v>
      </c>
      <c r="B590" s="903"/>
      <c r="C590" s="1049"/>
      <c r="D590" s="1049"/>
      <c r="E590" s="1049"/>
      <c r="F590" s="1049"/>
      <c r="G590" s="1049"/>
      <c r="H590" s="749"/>
      <c r="I590" s="749"/>
      <c r="J590" s="750"/>
      <c r="K590" s="667" t="e">
        <f ca="1">K589-(K592+K595+K591)</f>
        <v>#DIV/0!</v>
      </c>
      <c r="L590" s="801"/>
      <c r="M590" s="705">
        <v>77.150000000000006</v>
      </c>
      <c r="N590" s="687"/>
      <c r="O590" s="687"/>
      <c r="P590" s="800"/>
      <c r="Q590" s="917"/>
      <c r="R590" s="918" t="e">
        <f ca="1">K590</f>
        <v>#DIV/0!</v>
      </c>
      <c r="S590" s="114" t="s">
        <v>514</v>
      </c>
      <c r="T590" s="115" t="s">
        <v>515</v>
      </c>
    </row>
    <row r="591" spans="1:20" ht="14.25" customHeight="1">
      <c r="A591" s="555" t="s">
        <v>1230</v>
      </c>
      <c r="B591" s="800" t="s">
        <v>185</v>
      </c>
      <c r="C591" s="800">
        <v>1</v>
      </c>
      <c r="D591" s="800" t="s">
        <v>645</v>
      </c>
      <c r="E591" s="774" t="s">
        <v>336</v>
      </c>
      <c r="F591" s="1073" t="s">
        <v>48</v>
      </c>
      <c r="G591" s="595" t="s">
        <v>49</v>
      </c>
      <c r="H591" s="665" cm="1">
        <f t="array" aca="1" ref="H591" ca="1">IFERROR(
    INDIRECT(
        "RawData!" &amp;
        ADDRESS(
            2,
            MATCH(
                TRIM(MID(A591, SEARCH(". ", A591) + 2, LEN(A591))) &amp; ".Import_kWh",
                RawData!$1:$1,
                0
            ),
            4
        )
    ),
    0
)</f>
        <v>0</v>
      </c>
      <c r="I591" s="665" cm="1">
        <f t="array" aca="1" ref="I591" ca="1">IFERROR(
    INDIRECT(
        "RawData!" &amp;
        ADDRESS(
            COUNTA(RawData!A:A),
            MATCH(
                TRIM(MID(A591, SEARCH(". ", A591) + 2, LEN(A591))) &amp; ".Import_kWh",
                RawData!$1:$1,
                0
            ),
            4
        )
    ),
    0
)</f>
        <v>0</v>
      </c>
      <c r="J591" s="666">
        <f ca="1">(I591-H591)*C591</f>
        <v>0</v>
      </c>
      <c r="K591" s="667">
        <f ca="1">J591</f>
        <v>0</v>
      </c>
      <c r="L591" s="840" t="e">
        <f t="shared" ref="L591:L597" ca="1" si="98">K591/J591</f>
        <v>#DIV/0!</v>
      </c>
      <c r="M591" s="705"/>
      <c r="N591" s="687"/>
      <c r="O591" s="687"/>
      <c r="P591" s="800"/>
      <c r="Q591" s="917"/>
      <c r="R591" s="918">
        <f ca="1">K591</f>
        <v>0</v>
      </c>
      <c r="S591" s="114" t="s">
        <v>514</v>
      </c>
      <c r="T591" s="283" t="s">
        <v>520</v>
      </c>
    </row>
    <row r="592" spans="1:20" ht="14.25" customHeight="1">
      <c r="A592" s="555" t="s">
        <v>1232</v>
      </c>
      <c r="B592" s="800" t="s">
        <v>101</v>
      </c>
      <c r="C592" s="800">
        <v>1</v>
      </c>
      <c r="D592" s="1073" t="s">
        <v>47</v>
      </c>
      <c r="E592" s="595"/>
      <c r="F592" s="1073" t="s">
        <v>48</v>
      </c>
      <c r="G592" s="595" t="s">
        <v>49</v>
      </c>
      <c r="H592" s="665" cm="1">
        <f t="array" aca="1" ref="H592" ca="1">IFERROR(
    INDIRECT(
        "RawData!" &amp;
        ADDRESS(
            2,
            MATCH(
                TRIM(MID(A592, SEARCH(". ", A592) + 2, LEN(A592))) &amp; ".Import_kWh",
                RawData!$1:$1,
                0
            ),
            4
        )
    ),
    0
)</f>
        <v>0</v>
      </c>
      <c r="I592" s="665" cm="1">
        <f t="array" aca="1" ref="I592" ca="1">IFERROR(
    INDIRECT(
        "RawData!" &amp;
        ADDRESS(
            COUNTA(RawData!A:A),
            MATCH(
                TRIM(MID(A592, SEARCH(". ", A592) + 2, LEN(A592))) &amp; ".Import_kWh",
                RawData!$1:$1,
                0
            ),
            4
        )
    ),
    0
)</f>
        <v>0</v>
      </c>
      <c r="J592" s="666">
        <f ca="1">(I592-H592)*C592</f>
        <v>0</v>
      </c>
      <c r="K592" s="667">
        <f ca="1">J592</f>
        <v>0</v>
      </c>
      <c r="L592" s="840" t="e">
        <f t="shared" ca="1" si="98"/>
        <v>#DIV/0!</v>
      </c>
      <c r="M592" s="705">
        <v>53.23</v>
      </c>
      <c r="N592" s="687">
        <v>32</v>
      </c>
      <c r="O592" s="687">
        <v>40</v>
      </c>
      <c r="P592" s="800"/>
      <c r="Q592" s="917"/>
      <c r="R592" s="918"/>
      <c r="S592" s="114" t="s">
        <v>485</v>
      </c>
      <c r="T592" s="115" t="s">
        <v>495</v>
      </c>
    </row>
    <row r="593" spans="1:20" ht="14.25" customHeight="1">
      <c r="A593" s="1186" t="s">
        <v>1231</v>
      </c>
      <c r="B593" s="800"/>
      <c r="C593" s="800">
        <v>1</v>
      </c>
      <c r="D593" s="1073" t="s">
        <v>47</v>
      </c>
      <c r="E593" s="595"/>
      <c r="F593" s="1073" t="s">
        <v>48</v>
      </c>
      <c r="G593" s="595" t="s">
        <v>49</v>
      </c>
      <c r="H593" s="665" cm="1">
        <f t="array" aca="1" ref="H593" ca="1">IFERROR(
    INDIRECT(
        "RawData!" &amp;
        ADDRESS(
            2,
            MATCH(
                TRIM(MID(A593, SEARCH(". ", A593) + 2, LEN(A593))) &amp; ".Import_kWh",
                RawData!$1:$1,
                0
            ),
            4
        )
    ),
    0
)</f>
        <v>0</v>
      </c>
      <c r="I593" s="665" cm="1">
        <f t="array" aca="1" ref="I593" ca="1">IFERROR(
    INDIRECT(
        "RawData!" &amp;
        ADDRESS(
            COUNTA(RawData!A:A),
            MATCH(
                TRIM(MID(A593, SEARCH(". ", A593) + 2, LEN(A593))) &amp; ".Import_kWh",
                RawData!$1:$1,
                0
            ),
            4
        )
    ),
    0
)</f>
        <v>0</v>
      </c>
      <c r="J593" s="666">
        <f ca="1">(I593-H593)*C593</f>
        <v>0</v>
      </c>
      <c r="K593" s="667">
        <f ca="1">J593</f>
        <v>0</v>
      </c>
      <c r="L593" s="840"/>
      <c r="M593" s="705"/>
      <c r="N593" s="687"/>
      <c r="O593" s="687"/>
      <c r="P593" s="800"/>
      <c r="Q593" s="917"/>
      <c r="R593" s="918">
        <f ca="1">K593</f>
        <v>0</v>
      </c>
      <c r="S593" s="114" t="s">
        <v>485</v>
      </c>
      <c r="T593" s="283" t="s">
        <v>961</v>
      </c>
    </row>
    <row r="594" spans="1:20" ht="14.25" customHeight="1">
      <c r="A594" s="555" t="s">
        <v>962</v>
      </c>
      <c r="B594" s="800"/>
      <c r="C594" s="800"/>
      <c r="D594" s="1073"/>
      <c r="E594" s="595"/>
      <c r="F594" s="595"/>
      <c r="G594" s="595"/>
      <c r="H594" s="594"/>
      <c r="I594" s="594"/>
      <c r="J594" s="673"/>
      <c r="K594" s="667">
        <f ca="1">K592-K593</f>
        <v>0</v>
      </c>
      <c r="L594" s="840"/>
      <c r="M594" s="705"/>
      <c r="N594" s="687"/>
      <c r="O594" s="687"/>
      <c r="P594" s="954"/>
      <c r="Q594" s="917"/>
      <c r="R594" s="918">
        <f ca="1">K594</f>
        <v>0</v>
      </c>
      <c r="S594" s="114" t="s">
        <v>485</v>
      </c>
      <c r="T594" s="115" t="s">
        <v>495</v>
      </c>
    </row>
    <row r="595" spans="1:20" ht="14.25" customHeight="1">
      <c r="A595" s="555" t="s">
        <v>1233</v>
      </c>
      <c r="B595" s="800"/>
      <c r="C595" s="800">
        <v>1</v>
      </c>
      <c r="D595" s="1073" t="s">
        <v>47</v>
      </c>
      <c r="E595" s="595"/>
      <c r="F595" s="1073" t="s">
        <v>48</v>
      </c>
      <c r="G595" s="595" t="s">
        <v>49</v>
      </c>
      <c r="H595" s="665" cm="1">
        <f t="array" aca="1" ref="H595" ca="1">IFERROR(
    INDIRECT(
        "RawData!" &amp;
        ADDRESS(
            2,
            MATCH(
                TRIM(MID(A595, SEARCH(". ", A595) + 2, LEN(A595))) &amp; ".Import_kWh",
                RawData!$1:$1,
                0
            ),
            4
        )
    ),
    0
)</f>
        <v>0</v>
      </c>
      <c r="I595" s="665" cm="1">
        <f t="array" aca="1" ref="I595" ca="1">IFERROR(
    INDIRECT(
        "RawData!" &amp;
        ADDRESS(
            COUNTA(RawData!A:A),
            MATCH(
                TRIM(MID(A595, SEARCH(". ", A595) + 2, LEN(A595))) &amp; ".Import_kWh",
                RawData!$1:$1,
                0
            ),
            4
        )
    ),
    0
)</f>
        <v>0</v>
      </c>
      <c r="J595" s="666">
        <f ca="1">(I595-H595)*C595</f>
        <v>0</v>
      </c>
      <c r="K595" s="667">
        <f ca="1">J595</f>
        <v>0</v>
      </c>
      <c r="L595" s="840" t="e">
        <f t="shared" ca="1" si="98"/>
        <v>#DIV/0!</v>
      </c>
      <c r="M595" s="1126"/>
      <c r="N595" s="687"/>
      <c r="O595" s="687"/>
      <c r="P595" s="800"/>
      <c r="Q595" s="917"/>
      <c r="R595" s="918">
        <f ca="1">K595</f>
        <v>0</v>
      </c>
      <c r="S595" s="114" t="s">
        <v>514</v>
      </c>
      <c r="T595" s="115" t="s">
        <v>515</v>
      </c>
    </row>
    <row r="596" spans="1:20" ht="14.25" customHeight="1">
      <c r="A596" s="919" t="s">
        <v>1234</v>
      </c>
      <c r="B596" s="920" t="s">
        <v>512</v>
      </c>
      <c r="C596" s="920">
        <v>1</v>
      </c>
      <c r="D596" s="1017" t="s">
        <v>47</v>
      </c>
      <c r="E596" s="654"/>
      <c r="F596" s="1017" t="s">
        <v>48</v>
      </c>
      <c r="G596" s="654" t="s">
        <v>49</v>
      </c>
      <c r="H596" s="655" cm="1">
        <f t="array" aca="1" ref="H596" ca="1">IFERROR(
    INDIRECT(
        "RawData!" &amp;
        ADDRESS(
            2,
            MATCH(
                TRIM(MID(A596, SEARCH(". ", A596) + 2, LEN(A596))) &amp; ".Import_kWh",
                RawData!$1:$1,
                0
            ),
            4
        )
    ),
    0
)</f>
        <v>0</v>
      </c>
      <c r="I596" s="655" cm="1">
        <f t="array" aca="1" ref="I596" ca="1">IFERROR(
    INDIRECT(
        "RawData!" &amp;
        ADDRESS(
            COUNTA(RawData!A:A),
            MATCH(
                TRIM(MID(A596, SEARCH(". ", A596) + 2, LEN(A596))) &amp; ".Import_kWh",
                RawData!$1:$1,
                0
            ),
            4
        )
    ),
    0
)</f>
        <v>0</v>
      </c>
      <c r="J596" s="680">
        <f ca="1">(I596-H596)*C596</f>
        <v>0</v>
      </c>
      <c r="K596" s="824" t="e">
        <f ca="1">J596*K$564/(J$565+J$581+J$589+J$596+J$597+J$577+J$573)</f>
        <v>#DIV/0!</v>
      </c>
      <c r="L596" s="581" t="e">
        <f t="shared" ca="1" si="98"/>
        <v>#DIV/0!</v>
      </c>
      <c r="M596" s="1127"/>
      <c r="N596" s="922"/>
      <c r="O596" s="922"/>
      <c r="P596" s="920"/>
      <c r="Q596" s="923"/>
      <c r="R596" s="924" t="e">
        <f ca="1">K596</f>
        <v>#DIV/0!</v>
      </c>
      <c r="S596" s="114" t="s">
        <v>117</v>
      </c>
      <c r="T596" s="115" t="s">
        <v>337</v>
      </c>
    </row>
    <row r="597" spans="1:20" ht="14.25" customHeight="1">
      <c r="A597" s="919" t="s">
        <v>963</v>
      </c>
      <c r="B597" s="920"/>
      <c r="C597" s="920">
        <v>1</v>
      </c>
      <c r="D597" s="1017" t="s">
        <v>47</v>
      </c>
      <c r="E597" s="654"/>
      <c r="F597" s="1017" t="s">
        <v>48</v>
      </c>
      <c r="G597" s="654" t="s">
        <v>49</v>
      </c>
      <c r="H597" s="655" cm="1">
        <f t="array" aca="1" ref="H597" ca="1">IFERROR(
    INDIRECT(
        "RawData!" &amp;
        ADDRESS(
            2,
            MATCH(
                TRIM(MID(A597, SEARCH(". ", A597) + 2, LEN(A597))) &amp; ".Import_kWh",
                RawData!$1:$1,
                0
            ),
            4
        )
    ),
    0
)</f>
        <v>0</v>
      </c>
      <c r="I597" s="655" cm="1">
        <f t="array" aca="1" ref="I597" ca="1">IFERROR(
    INDIRECT(
        "RawData!" &amp;
        ADDRESS(
            COUNTA(RawData!A:A),
            MATCH(
                TRIM(MID(A597, SEARCH(". ", A597) + 2, LEN(A597))) &amp; ".Import_kWh",
                RawData!$1:$1,
                0
            ),
            4
        )
    ),
    0
)</f>
        <v>0</v>
      </c>
      <c r="J597" s="680">
        <f ca="1">(I597-H597)*C597</f>
        <v>0</v>
      </c>
      <c r="K597" s="824" t="e">
        <f ca="1">J597*K$564/(J$565+J$581+J$589+J$596+J$597+J$577+J$573)</f>
        <v>#DIV/0!</v>
      </c>
      <c r="L597" s="581" t="e">
        <f t="shared" ca="1" si="98"/>
        <v>#DIV/0!</v>
      </c>
      <c r="M597" s="872" t="e">
        <f ca="1">R598+R600</f>
        <v>#DIV/0!</v>
      </c>
      <c r="N597" s="922"/>
      <c r="O597" s="922"/>
      <c r="P597" s="920"/>
      <c r="Q597" s="923"/>
      <c r="R597" s="924"/>
      <c r="S597" s="114"/>
      <c r="T597" s="115"/>
    </row>
    <row r="598" spans="1:20" ht="14.25" customHeight="1">
      <c r="A598" s="555" t="s">
        <v>964</v>
      </c>
      <c r="B598" s="800"/>
      <c r="C598" s="800"/>
      <c r="D598" s="800"/>
      <c r="E598" s="800"/>
      <c r="F598" s="800"/>
      <c r="G598" s="800"/>
      <c r="H598" s="594"/>
      <c r="I598" s="594"/>
      <c r="J598" s="673">
        <f>341*O598</f>
        <v>8866</v>
      </c>
      <c r="K598" s="667" t="e">
        <f ca="1">K597-K600</f>
        <v>#DIV/0!</v>
      </c>
      <c r="L598" s="840"/>
      <c r="M598" s="705">
        <v>70.55</v>
      </c>
      <c r="N598" s="687">
        <v>9</v>
      </c>
      <c r="O598" s="687">
        <v>26</v>
      </c>
      <c r="P598" s="954" t="e">
        <f ca="1">K598/O598</f>
        <v>#DIV/0!</v>
      </c>
      <c r="Q598" s="917"/>
      <c r="R598" s="918" t="e">
        <f ca="1">K598</f>
        <v>#DIV/0!</v>
      </c>
      <c r="S598" s="114" t="s">
        <v>485</v>
      </c>
      <c r="T598" s="115" t="s">
        <v>496</v>
      </c>
    </row>
    <row r="599" spans="1:20" ht="14.25" customHeight="1">
      <c r="A599" s="804" t="s">
        <v>965</v>
      </c>
      <c r="B599" s="888"/>
      <c r="C599" s="888"/>
      <c r="D599" s="888"/>
      <c r="E599" s="888"/>
      <c r="F599" s="888"/>
      <c r="G599" s="888"/>
      <c r="H599" s="737"/>
      <c r="I599" s="737"/>
      <c r="J599" s="698"/>
      <c r="K599" s="743"/>
      <c r="L599" s="967"/>
      <c r="M599" s="701"/>
      <c r="N599" s="702"/>
      <c r="O599" s="702"/>
      <c r="P599" s="888"/>
      <c r="Q599" s="1107"/>
      <c r="R599" s="1108"/>
    </row>
    <row r="600" spans="1:20" ht="14.25" customHeight="1">
      <c r="A600" s="555" t="s">
        <v>966</v>
      </c>
      <c r="B600" s="800"/>
      <c r="C600" s="800">
        <v>1</v>
      </c>
      <c r="D600" s="1073" t="s">
        <v>47</v>
      </c>
      <c r="E600" s="595"/>
      <c r="F600" s="1073" t="s">
        <v>48</v>
      </c>
      <c r="G600" s="595" t="s">
        <v>49</v>
      </c>
      <c r="H600" s="665" cm="1">
        <f t="array" aca="1" ref="H600" ca="1">IFERROR(
    INDIRECT(
        "RawData!" &amp;
        ADDRESS(
            2,
            MATCH(
                TRIM(MID(A600, SEARCH(". ", A600) + 2, LEN(A600))) &amp; ".Import_kWh",
                RawData!$1:$1,
                0
            ),
            4
        )
    ),
    0
)</f>
        <v>0</v>
      </c>
      <c r="I600" s="665" cm="1">
        <f t="array" aca="1" ref="I600" ca="1">IFERROR(
    INDIRECT(
        "RawData!" &amp;
        ADDRESS(
            COUNTA(RawData!A:A),
            MATCH(
                TRIM(MID(A600, SEARCH(". ", A600) + 2, LEN(A600))) &amp; ".Import_kWh",
                RawData!$1:$1,
                0
            ),
            4
        )
    ),
    0
)</f>
        <v>0</v>
      </c>
      <c r="J600" s="666">
        <f ca="1">(I600-H600)*C600</f>
        <v>0</v>
      </c>
      <c r="K600" s="667">
        <f ca="1">J600</f>
        <v>0</v>
      </c>
      <c r="L600" s="840"/>
      <c r="M600" s="1128">
        <v>2</v>
      </c>
      <c r="N600" s="687"/>
      <c r="O600" s="687"/>
      <c r="P600" s="973"/>
      <c r="Q600" s="917"/>
      <c r="R600" s="918">
        <f ca="1">K600</f>
        <v>0</v>
      </c>
      <c r="S600" s="114" t="s">
        <v>426</v>
      </c>
      <c r="T600" s="115" t="s">
        <v>436</v>
      </c>
    </row>
    <row r="601" spans="1:20" ht="14.25" customHeight="1">
      <c r="A601" s="555" t="s">
        <v>967</v>
      </c>
      <c r="B601" s="800"/>
      <c r="C601" s="800"/>
      <c r="D601" s="800"/>
      <c r="E601" s="800"/>
      <c r="F601" s="800"/>
      <c r="G601" s="800"/>
      <c r="H601" s="594"/>
      <c r="I601" s="594"/>
      <c r="J601" s="673"/>
      <c r="K601" s="568"/>
      <c r="L601" s="840"/>
      <c r="M601" s="1128"/>
      <c r="N601" s="687"/>
      <c r="O601" s="687"/>
      <c r="P601" s="973">
        <f>571*110</f>
        <v>62810</v>
      </c>
      <c r="Q601" s="917"/>
      <c r="R601" s="918"/>
    </row>
    <row r="602" spans="1:20" ht="14.25" customHeight="1">
      <c r="A602" s="555" t="s">
        <v>968</v>
      </c>
      <c r="B602" s="800"/>
      <c r="C602" s="800">
        <v>1</v>
      </c>
      <c r="D602" s="800"/>
      <c r="E602" s="800"/>
      <c r="F602" s="800"/>
      <c r="G602" s="800"/>
      <c r="H602" s="724"/>
      <c r="I602" s="724"/>
      <c r="J602" s="666"/>
      <c r="K602" s="667"/>
      <c r="L602" s="840"/>
      <c r="M602" s="1128"/>
      <c r="N602" s="687"/>
      <c r="O602" s="687"/>
      <c r="P602" s="973"/>
      <c r="Q602" s="917"/>
      <c r="R602" s="918"/>
    </row>
    <row r="603" spans="1:20" ht="14.25" customHeight="1">
      <c r="A603" s="910" t="s">
        <v>1235</v>
      </c>
      <c r="B603" s="911" t="s">
        <v>545</v>
      </c>
      <c r="C603" s="911">
        <v>1</v>
      </c>
      <c r="D603" s="785" t="s">
        <v>47</v>
      </c>
      <c r="E603" s="786"/>
      <c r="F603" s="785" t="s">
        <v>48</v>
      </c>
      <c r="G603" s="786" t="s">
        <v>49</v>
      </c>
      <c r="H603" s="766" cm="1">
        <f t="array" aca="1" ref="H603" ca="1">IFERROR(
    INDIRECT(
        "RawData!" &amp;
        ADDRESS(
            2,
            MATCH(
                TRIM(MID(A603, SEARCH(". ", A603) + 2, LEN(A603))) &amp; ".Import_kWh",
                RawData!$1:$1,
                0
            ),
            4
        )
    ),
    0
)</f>
        <v>0</v>
      </c>
      <c r="I603" s="766" cm="1">
        <f t="array" aca="1" ref="I603" ca="1">IFERROR(
    INDIRECT(
        "RawData!" &amp;
        ADDRESS(
            COUNTA(RawData!A:A),
            MATCH(
                TRIM(MID(A603, SEARCH(". ", A603) + 2, LEN(A603))) &amp; ".Import_kWh",
                RawData!$1:$1,
                0
            ),
            4
        )
    ),
    0
)</f>
        <v>0</v>
      </c>
      <c r="J603" s="646">
        <f ca="1">(I603-H603)*C603</f>
        <v>0</v>
      </c>
      <c r="K603" s="647" t="e">
        <f ca="1">J603*J$777/(J$5+J$65+J$72+J$81+J$89+J$138+J$212+J$285+J$306+J$373+J$388+J$396+J$397+J$450+J$463+J$471+J$513+J$564+J$603+J$646)</f>
        <v>#DIV/0!</v>
      </c>
      <c r="L603" s="912" t="e">
        <f ca="1">K603/J603</f>
        <v>#DIV/0!</v>
      </c>
      <c r="M603" s="913" t="e">
        <f ca="1">R605+R608+R610+R622+R627+R628+R631+R635+R636+R637+R640+R641+R643+R644+R616+R617+R618+R623+R624+R619+R620+R621</f>
        <v>#DIV/0!</v>
      </c>
      <c r="N603" s="914"/>
      <c r="O603" s="914"/>
      <c r="P603" s="911"/>
      <c r="Q603" s="915"/>
      <c r="R603" s="916"/>
      <c r="S603" s="114"/>
      <c r="T603" s="115"/>
    </row>
    <row r="604" spans="1:20" ht="14.25" customHeight="1">
      <c r="A604" s="919" t="s">
        <v>969</v>
      </c>
      <c r="B604" s="920" t="s">
        <v>64</v>
      </c>
      <c r="C604" s="920">
        <v>1</v>
      </c>
      <c r="D604" s="1017" t="s">
        <v>47</v>
      </c>
      <c r="E604" s="654"/>
      <c r="F604" s="1017" t="s">
        <v>48</v>
      </c>
      <c r="G604" s="654" t="s">
        <v>49</v>
      </c>
      <c r="H604" s="655" cm="1">
        <f t="array" aca="1" ref="H604" ca="1">IFERROR(
    INDIRECT(
        "RawData!" &amp;
        ADDRESS(
            2,
            MATCH(
                TRIM(MID(A604, SEARCH(". ", A604) + 2, LEN(A604))) &amp; ".Import_kWh",
                RawData!$1:$1,
                0
            ),
            4
        )
    ),
    0
)</f>
        <v>0</v>
      </c>
      <c r="I604" s="655" cm="1">
        <f t="array" aca="1" ref="I604" ca="1">IFERROR(
    INDIRECT(
        "RawData!" &amp;
        ADDRESS(
            COUNTA(RawData!A:A),
            MATCH(
                TRIM(MID(A604, SEARCH(". ", A604) + 2, LEN(A604))) &amp; ".Import_kWh",
                RawData!$1:$1,
                0
            ),
            4
        )
    ),
    0
)</f>
        <v>0</v>
      </c>
      <c r="J604" s="656">
        <f ca="1">(I604-H604)*C604</f>
        <v>0</v>
      </c>
      <c r="K604" s="824" t="e">
        <f ca="1">J604*K$603/(J$604+J$610+J$612+J$615+J$626+J$631+J$634+J$639)</f>
        <v>#DIV/0!</v>
      </c>
      <c r="L604" s="581" t="e">
        <f ca="1">K604/J604</f>
        <v>#DIV/0!</v>
      </c>
      <c r="M604" s="682" t="e">
        <f ca="1">R605+R608</f>
        <v>#DIV/0!</v>
      </c>
      <c r="N604" s="922"/>
      <c r="O604" s="922"/>
      <c r="P604" s="920"/>
      <c r="Q604" s="923"/>
      <c r="R604" s="924"/>
      <c r="S604" s="114"/>
      <c r="T604" s="115"/>
    </row>
    <row r="605" spans="1:20" ht="14.25" customHeight="1">
      <c r="A605" s="555" t="s">
        <v>970</v>
      </c>
      <c r="B605" s="1129"/>
      <c r="C605" s="1049"/>
      <c r="D605" s="1049"/>
      <c r="E605" s="1049"/>
      <c r="F605" s="1049"/>
      <c r="G605" s="1049"/>
      <c r="H605" s="1130"/>
      <c r="I605" s="1130"/>
      <c r="J605" s="750">
        <f>I605/6</f>
        <v>0</v>
      </c>
      <c r="K605" s="778" t="e">
        <f ca="1">K604-K607</f>
        <v>#DIV/0!</v>
      </c>
      <c r="L605" s="801"/>
      <c r="M605" s="705">
        <v>45.05</v>
      </c>
      <c r="N605" s="687">
        <v>38</v>
      </c>
      <c r="O605" s="687">
        <v>40</v>
      </c>
      <c r="P605" s="800">
        <f>M605*O605</f>
        <v>1802</v>
      </c>
      <c r="Q605" s="917">
        <f>P605/(P$605+P$608)</f>
        <v>0.55265901981230448</v>
      </c>
      <c r="R605" s="918" t="e">
        <f ca="1">K605</f>
        <v>#DIV/0!</v>
      </c>
      <c r="S605" s="114" t="s">
        <v>476</v>
      </c>
      <c r="T605" s="115" t="s">
        <v>481</v>
      </c>
    </row>
    <row r="606" spans="1:20" ht="14.25" customHeight="1">
      <c r="A606" s="804" t="s">
        <v>1154</v>
      </c>
      <c r="B606" s="1131"/>
      <c r="C606" s="888"/>
      <c r="D606" s="888"/>
      <c r="E606" s="888"/>
      <c r="F606" s="888"/>
      <c r="G606" s="888"/>
      <c r="H606" s="1045"/>
      <c r="I606" s="1045"/>
      <c r="J606" s="698"/>
      <c r="K606" s="963"/>
      <c r="L606" s="1132"/>
      <c r="M606" s="701"/>
      <c r="N606" s="702"/>
      <c r="O606" s="702"/>
      <c r="P606" s="888"/>
      <c r="Q606" s="1107"/>
      <c r="R606" s="1108"/>
      <c r="S606" s="114"/>
      <c r="T606" s="115"/>
    </row>
    <row r="607" spans="1:20" ht="14.25" customHeight="1">
      <c r="A607" s="555" t="s">
        <v>971</v>
      </c>
      <c r="B607" s="800" t="s">
        <v>101</v>
      </c>
      <c r="C607" s="800">
        <v>1</v>
      </c>
      <c r="D607" s="1073" t="s">
        <v>47</v>
      </c>
      <c r="E607" s="595"/>
      <c r="F607" s="1073" t="s">
        <v>48</v>
      </c>
      <c r="G607" s="595" t="s">
        <v>49</v>
      </c>
      <c r="H607" s="665" cm="1">
        <f t="array" aca="1" ref="H607" ca="1">IFERROR(
    INDIRECT(
        "RawData!" &amp;
        ADDRESS(
            2,
            MATCH(
                TRIM(MID(A607, SEARCH(". ", A607) + 2, LEN(A607))) &amp; ".Import_kWh",
                RawData!$1:$1,
                0
            ),
            4
        )
    ),
    0
)</f>
        <v>0</v>
      </c>
      <c r="I607" s="665" cm="1">
        <f t="array" aca="1" ref="I607" ca="1">IFERROR(
    INDIRECT(
        "RawData!" &amp;
        ADDRESS(
            COUNTA(RawData!A:A),
            MATCH(
                TRIM(MID(A607, SEARCH(". ", A607) + 2, LEN(A607))) &amp; ".Import_kWh",
                RawData!$1:$1,
                0
            ),
            4
        )
    ),
    0
)</f>
        <v>0</v>
      </c>
      <c r="J607" s="666">
        <f ca="1">(I607-H607)*C607</f>
        <v>0</v>
      </c>
      <c r="K607" s="778">
        <f ca="1">J607</f>
        <v>0</v>
      </c>
      <c r="L607" s="568"/>
      <c r="M607" s="873"/>
      <c r="N607" s="687"/>
      <c r="O607" s="687"/>
      <c r="P607" s="800"/>
      <c r="Q607" s="917"/>
      <c r="R607" s="918"/>
      <c r="S607" s="114"/>
      <c r="T607" s="115"/>
    </row>
    <row r="608" spans="1:20" ht="14.25" customHeight="1">
      <c r="A608" s="555" t="s">
        <v>972</v>
      </c>
      <c r="B608" s="800"/>
      <c r="C608" s="800"/>
      <c r="D608" s="800"/>
      <c r="E608" s="800"/>
      <c r="F608" s="800"/>
      <c r="G608" s="800"/>
      <c r="H608" s="594"/>
      <c r="I608" s="594"/>
      <c r="J608" s="675">
        <f>I608/6</f>
        <v>0</v>
      </c>
      <c r="K608" s="667"/>
      <c r="L608" s="801"/>
      <c r="M608" s="705">
        <v>37.4</v>
      </c>
      <c r="N608" s="687">
        <v>37</v>
      </c>
      <c r="O608" s="687">
        <v>39</v>
      </c>
      <c r="P608" s="800">
        <f>M608*O608</f>
        <v>1458.6</v>
      </c>
      <c r="Q608" s="917">
        <f>P608/(P$605+P$608)</f>
        <v>0.44734098018769552</v>
      </c>
      <c r="R608" s="918">
        <f ca="1">K607</f>
        <v>0</v>
      </c>
      <c r="S608" s="114" t="s">
        <v>476</v>
      </c>
      <c r="T608" s="115" t="s">
        <v>483</v>
      </c>
    </row>
    <row r="609" spans="1:20" ht="14.25" customHeight="1">
      <c r="A609" s="804" t="s">
        <v>1155</v>
      </c>
      <c r="B609" s="888"/>
      <c r="C609" s="888"/>
      <c r="D609" s="888"/>
      <c r="E609" s="888"/>
      <c r="F609" s="888"/>
      <c r="G609" s="888"/>
      <c r="H609" s="737"/>
      <c r="I609" s="737"/>
      <c r="J609" s="845"/>
      <c r="K609" s="743"/>
      <c r="L609" s="1132"/>
      <c r="M609" s="701"/>
      <c r="N609" s="702"/>
      <c r="O609" s="702"/>
      <c r="P609" s="888"/>
      <c r="Q609" s="1107"/>
      <c r="R609" s="1108"/>
    </row>
    <row r="610" spans="1:20" ht="14.25" customHeight="1">
      <c r="A610" s="919" t="s">
        <v>1267</v>
      </c>
      <c r="B610" s="920"/>
      <c r="C610" s="920">
        <v>1</v>
      </c>
      <c r="D610" s="1017" t="s">
        <v>47</v>
      </c>
      <c r="E610" s="654"/>
      <c r="F610" s="1017" t="s">
        <v>48</v>
      </c>
      <c r="G610" s="654" t="s">
        <v>49</v>
      </c>
      <c r="H610" s="655" cm="1">
        <f t="array" aca="1" ref="H610" ca="1">IFERROR(
    INDIRECT(
        "RawData!" &amp;
        ADDRESS(
            2,
            MATCH(
                TRIM(MID(A610, SEARCH(". ", A610) + 2, LEN(A610))) &amp; ".Import_kWh",
                RawData!$1:$1,
                0
            ),
            4
        )
    ),
    0
)</f>
        <v>0</v>
      </c>
      <c r="I610" s="655" cm="1">
        <f t="array" aca="1" ref="I610" ca="1">IFERROR(
    INDIRECT(
        "RawData!" &amp;
        ADDRESS(
            COUNTA(RawData!A:A),
            MATCH(
                TRIM(MID(A610, SEARCH(". ", A610) + 2, LEN(A610))) &amp; ".Import_kWh",
                RawData!$1:$1,
                0
            ),
            4
        )
    ),
    0
)</f>
        <v>0</v>
      </c>
      <c r="J610" s="680">
        <f ca="1">(I610-H610)*C610</f>
        <v>0</v>
      </c>
      <c r="K610" s="824" t="e">
        <f ca="1">J610*K$603/(J$604+J$610+J$612+J$615+J$626+J$631+J$634+J$639)</f>
        <v>#DIV/0!</v>
      </c>
      <c r="L610" s="581" t="e">
        <f ca="1">K610/J610</f>
        <v>#DIV/0!</v>
      </c>
      <c r="M610" s="872" t="e">
        <f ca="1">R610</f>
        <v>#DIV/0!</v>
      </c>
      <c r="N610" s="922"/>
      <c r="O610" s="922"/>
      <c r="P610" s="1068"/>
      <c r="Q610" s="923"/>
      <c r="R610" s="924" t="e">
        <f ca="1">K610</f>
        <v>#DIV/0!</v>
      </c>
      <c r="S610" s="114" t="s">
        <v>426</v>
      </c>
      <c r="T610" s="115" t="s">
        <v>436</v>
      </c>
    </row>
    <row r="611" spans="1:20" ht="14.25" customHeight="1">
      <c r="A611" s="555"/>
      <c r="B611" s="800"/>
      <c r="C611" s="800"/>
      <c r="D611" s="800"/>
      <c r="E611" s="800"/>
      <c r="F611" s="800"/>
      <c r="G611" s="800"/>
      <c r="H611" s="594"/>
      <c r="I611" s="594"/>
      <c r="J611" s="673"/>
      <c r="K611" s="778"/>
      <c r="L611" s="840"/>
      <c r="M611" s="705"/>
      <c r="N611" s="687"/>
      <c r="O611" s="687"/>
      <c r="P611" s="800"/>
      <c r="Q611" s="917"/>
      <c r="R611" s="918"/>
      <c r="S611" s="114"/>
      <c r="T611" s="115"/>
    </row>
    <row r="612" spans="1:20" ht="14.25" customHeight="1">
      <c r="A612" s="1103" t="s">
        <v>973</v>
      </c>
      <c r="B612" s="920"/>
      <c r="C612" s="920"/>
      <c r="D612" s="1017"/>
      <c r="E612" s="654"/>
      <c r="F612" s="1017"/>
      <c r="G612" s="654"/>
      <c r="H612" s="862"/>
      <c r="I612" s="862"/>
      <c r="J612" s="853"/>
      <c r="K612" s="824"/>
      <c r="L612" s="581"/>
      <c r="M612" s="1120"/>
      <c r="N612" s="922"/>
      <c r="O612" s="922"/>
      <c r="P612" s="920"/>
      <c r="Q612" s="923"/>
      <c r="R612" s="924"/>
    </row>
    <row r="613" spans="1:20" ht="14.25" customHeight="1">
      <c r="A613" s="555"/>
      <c r="B613" s="800"/>
      <c r="C613" s="1049"/>
      <c r="D613" s="1049"/>
      <c r="E613" s="1049"/>
      <c r="F613" s="1049"/>
      <c r="G613" s="1049"/>
      <c r="H613" s="749"/>
      <c r="I613" s="749"/>
      <c r="J613" s="750"/>
      <c r="K613" s="667"/>
      <c r="L613" s="801"/>
      <c r="M613" s="705"/>
      <c r="N613" s="687"/>
      <c r="O613" s="687"/>
      <c r="P613" s="800"/>
      <c r="Q613" s="917"/>
      <c r="R613" s="918"/>
    </row>
    <row r="614" spans="1:20" ht="14.25" customHeight="1">
      <c r="A614" s="555"/>
      <c r="B614" s="903"/>
      <c r="C614" s="800"/>
      <c r="D614" s="800"/>
      <c r="E614" s="800"/>
      <c r="F614" s="800"/>
      <c r="G614" s="800"/>
      <c r="H614" s="594"/>
      <c r="I614" s="594"/>
      <c r="J614" s="673"/>
      <c r="K614" s="667"/>
      <c r="L614" s="801"/>
      <c r="M614" s="705"/>
      <c r="N614" s="687"/>
      <c r="O614" s="687"/>
      <c r="P614" s="800"/>
      <c r="Q614" s="917"/>
      <c r="R614" s="918"/>
      <c r="S614" s="114"/>
      <c r="T614" s="283"/>
    </row>
    <row r="615" spans="1:20" ht="14.25" customHeight="1">
      <c r="A615" s="919" t="s">
        <v>1236</v>
      </c>
      <c r="B615" s="920"/>
      <c r="C615" s="920">
        <v>1</v>
      </c>
      <c r="D615" s="1017" t="s">
        <v>47</v>
      </c>
      <c r="E615" s="654"/>
      <c r="F615" s="1017" t="s">
        <v>48</v>
      </c>
      <c r="G615" s="654" t="s">
        <v>49</v>
      </c>
      <c r="H615" s="655" cm="1">
        <f t="array" aca="1" ref="H615" ca="1">IFERROR(
    INDIRECT(
        "RawData!" &amp;
        ADDRESS(
            2,
            MATCH(
                TRIM(MID(A615, SEARCH(". ", A615) + 2, LEN(A615))) &amp; ".Import_kWh",
                RawData!$1:$1,
                0
            ),
            4
        )
    ),
    0
)</f>
        <v>0</v>
      </c>
      <c r="I615" s="655" cm="1">
        <f t="array" aca="1" ref="I615" ca="1">IFERROR(
    INDIRECT(
        "RawData!" &amp;
        ADDRESS(
            COUNTA(RawData!A:A),
            MATCH(
                TRIM(MID(A615, SEARCH(". ", A615) + 2, LEN(A615))) &amp; ".Import_kWh",
                RawData!$1:$1,
                0
            ),
            4
        )
    ),
    0
)</f>
        <v>0</v>
      </c>
      <c r="J615" s="680">
        <f ca="1">(I615-H615)*C615</f>
        <v>0</v>
      </c>
      <c r="K615" s="824" t="e">
        <f ca="1">J615*K$603/(J$604+J$610+J$612+J$615+J$626+J$631+J$634+J$639)</f>
        <v>#DIV/0!</v>
      </c>
      <c r="L615" s="581" t="e">
        <f ca="1">K615/J615</f>
        <v>#DIV/0!</v>
      </c>
      <c r="M615" s="872" t="e">
        <f ca="1">R616+R617+R618+R623+R624+R619+R620+R621</f>
        <v>#DIV/0!</v>
      </c>
      <c r="N615" s="922"/>
      <c r="O615" s="922"/>
      <c r="P615" s="920"/>
      <c r="Q615" s="923"/>
      <c r="R615" s="924"/>
      <c r="S615" s="114"/>
      <c r="T615" s="283"/>
    </row>
    <row r="616" spans="1:20" ht="14.25" customHeight="1">
      <c r="A616" s="804" t="s">
        <v>974</v>
      </c>
      <c r="B616" s="888" t="s">
        <v>185</v>
      </c>
      <c r="C616" s="888">
        <v>50</v>
      </c>
      <c r="D616" s="888"/>
      <c r="E616" s="906"/>
      <c r="F616" s="696"/>
      <c r="G616" s="696"/>
      <c r="H616" s="886" cm="1">
        <f t="array" aca="1" ref="H616" ca="1">IFERROR(
    INDIRECT(
        "RawData!" &amp;
        ADDRESS(
            2,
            MATCH(
                TRIM(MID(A616, SEARCH(". ", A616) + 2, LEN(A616))) &amp; ".Import_kWh",
                RawData!$1:$1,
                0
            ),
            4
        )
    ),
    0
)</f>
        <v>0</v>
      </c>
      <c r="I616" s="886" cm="1">
        <f t="array" aca="1" ref="I616" ca="1">IFERROR(
    INDIRECT(
        "RawData!" &amp;
        ADDRESS(
            COUNTA(RawData!A:A),
            MATCH(
                TRIM(MID(A616, SEARCH(". ", A616) + 2, LEN(A616))) &amp; ".Import_kWh",
                RawData!$1:$1,
                0
            ),
            4
        )
    ),
    0
)</f>
        <v>0</v>
      </c>
      <c r="J616" s="698">
        <f ca="1">(I616-H616)*C616</f>
        <v>0</v>
      </c>
      <c r="K616" s="743">
        <f ca="1">J616</f>
        <v>0</v>
      </c>
      <c r="L616" s="1132"/>
      <c r="M616" s="701"/>
      <c r="N616" s="702"/>
      <c r="O616" s="702"/>
      <c r="P616" s="888"/>
      <c r="Q616" s="1107"/>
      <c r="R616" s="1108">
        <f ca="1">K616</f>
        <v>0</v>
      </c>
      <c r="S616" s="114" t="s">
        <v>345</v>
      </c>
      <c r="T616" s="283" t="s">
        <v>371</v>
      </c>
    </row>
    <row r="617" spans="1:20" ht="15.95" customHeight="1">
      <c r="A617" s="804" t="s">
        <v>975</v>
      </c>
      <c r="B617" s="888" t="s">
        <v>185</v>
      </c>
      <c r="C617" s="888">
        <v>50</v>
      </c>
      <c r="D617" s="888"/>
      <c r="E617" s="888"/>
      <c r="F617" s="888"/>
      <c r="G617" s="888"/>
      <c r="H617" s="886" cm="1">
        <f t="array" aca="1" ref="H617" ca="1">IFERROR(
    INDIRECT(
        "RawData!" &amp;
        ADDRESS(
            2,
            MATCH(
                TRIM(MID(A617, SEARCH(". ", A617) + 2, LEN(A617))) &amp; ".Import_kWh",
                RawData!$1:$1,
                0
            ),
            4
        )
    ),
    0
)</f>
        <v>0</v>
      </c>
      <c r="I617" s="886" cm="1">
        <f t="array" aca="1" ref="I617" ca="1">IFERROR(
    INDIRECT(
        "RawData!" &amp;
        ADDRESS(
            COUNTA(RawData!A:A),
            MATCH(
                TRIM(MID(A617, SEARCH(". ", A617) + 2, LEN(A617))) &amp; ".Import_kWh",
                RawData!$1:$1,
                0
            ),
            4
        )
    ),
    0
)</f>
        <v>0</v>
      </c>
      <c r="J617" s="698">
        <f ca="1">(I617-H617)*C617</f>
        <v>0</v>
      </c>
      <c r="K617" s="743">
        <f ca="1">J617</f>
        <v>0</v>
      </c>
      <c r="L617" s="1132"/>
      <c r="M617" s="701"/>
      <c r="N617" s="887"/>
      <c r="O617" s="887"/>
      <c r="P617" s="888"/>
      <c r="Q617" s="571"/>
      <c r="R617" s="704">
        <f ca="1">K617</f>
        <v>0</v>
      </c>
      <c r="S617" s="114" t="s">
        <v>345</v>
      </c>
      <c r="T617" s="283" t="s">
        <v>354</v>
      </c>
    </row>
    <row r="618" spans="1:20" ht="15.95" customHeight="1">
      <c r="A618" s="555" t="s">
        <v>976</v>
      </c>
      <c r="B618" s="800"/>
      <c r="C618" s="800"/>
      <c r="D618" s="800"/>
      <c r="E618" s="800"/>
      <c r="F618" s="800"/>
      <c r="G618" s="800"/>
      <c r="H618" s="594"/>
      <c r="I618" s="594"/>
      <c r="J618" s="666" t="e">
        <f ca="1">K615-(K616+K617+K622)</f>
        <v>#DIV/0!</v>
      </c>
      <c r="K618" s="667" t="e">
        <f ca="1">J618</f>
        <v>#DIV/0!</v>
      </c>
      <c r="L618" s="801"/>
      <c r="M618" s="705">
        <v>16</v>
      </c>
      <c r="N618" s="687">
        <v>30</v>
      </c>
      <c r="O618" s="687">
        <v>32</v>
      </c>
      <c r="P618" s="800">
        <f>M618*O618</f>
        <v>512</v>
      </c>
      <c r="Q618" s="917">
        <f>P618/(P$618+P$619+P$620+P$621)</f>
        <v>0.25936132274274598</v>
      </c>
      <c r="R618" s="918" t="e">
        <f ca="1">K$618*Q618</f>
        <v>#DIV/0!</v>
      </c>
      <c r="S618" s="114" t="s">
        <v>345</v>
      </c>
      <c r="T618" s="115" t="s">
        <v>977</v>
      </c>
    </row>
    <row r="619" spans="1:20" ht="14.25" customHeight="1">
      <c r="A619" s="555" t="s">
        <v>978</v>
      </c>
      <c r="B619" s="800"/>
      <c r="C619" s="800"/>
      <c r="D619" s="800"/>
      <c r="E619" s="800"/>
      <c r="F619" s="800"/>
      <c r="G619" s="800"/>
      <c r="H619" s="594"/>
      <c r="I619" s="594"/>
      <c r="J619" s="666"/>
      <c r="K619" s="667"/>
      <c r="L619" s="801"/>
      <c r="M619" s="705">
        <v>16</v>
      </c>
      <c r="N619" s="687">
        <v>31</v>
      </c>
      <c r="O619" s="687">
        <v>33</v>
      </c>
      <c r="P619" s="800">
        <f>M619*O619</f>
        <v>528</v>
      </c>
      <c r="Q619" s="917">
        <f>P619/(P$618+P$619+P$620+P$621)</f>
        <v>0.26746636407845681</v>
      </c>
      <c r="R619" s="918" t="e">
        <f ca="1">K$618*Q619</f>
        <v>#DIV/0!</v>
      </c>
      <c r="S619" s="114" t="s">
        <v>345</v>
      </c>
      <c r="T619" s="115" t="s">
        <v>977</v>
      </c>
    </row>
    <row r="620" spans="1:20" ht="15.95" customHeight="1">
      <c r="A620" s="555" t="s">
        <v>979</v>
      </c>
      <c r="B620" s="595"/>
      <c r="C620" s="595"/>
      <c r="D620" s="595"/>
      <c r="E620" s="595"/>
      <c r="F620" s="595"/>
      <c r="G620" s="595"/>
      <c r="H620" s="594"/>
      <c r="I620" s="594"/>
      <c r="J620" s="675"/>
      <c r="K620" s="568"/>
      <c r="L620" s="1133"/>
      <c r="M620" s="570">
        <f>12+(9.6/2)</f>
        <v>16.8</v>
      </c>
      <c r="N620" s="669">
        <v>28</v>
      </c>
      <c r="O620" s="669">
        <v>24</v>
      </c>
      <c r="P620" s="800">
        <f>M620*O620</f>
        <v>403.20000000000005</v>
      </c>
      <c r="Q620" s="917">
        <f>P620/(P$618+P$619+P$620+P$621)</f>
        <v>0.2042470416599125</v>
      </c>
      <c r="R620" s="918" t="e">
        <f ca="1">K$618*Q620</f>
        <v>#DIV/0!</v>
      </c>
      <c r="S620" s="114" t="s">
        <v>345</v>
      </c>
      <c r="T620" s="115" t="s">
        <v>391</v>
      </c>
    </row>
    <row r="621" spans="1:20" ht="15.95" customHeight="1">
      <c r="A621" s="555" t="s">
        <v>980</v>
      </c>
      <c r="B621" s="595"/>
      <c r="C621" s="595"/>
      <c r="D621" s="595"/>
      <c r="E621" s="595"/>
      <c r="F621" s="595"/>
      <c r="G621" s="595"/>
      <c r="H621" s="594"/>
      <c r="I621" s="594"/>
      <c r="J621" s="675"/>
      <c r="K621" s="568"/>
      <c r="L621" s="1133"/>
      <c r="M621" s="570">
        <f>14.16+(9.6/2)</f>
        <v>18.96</v>
      </c>
      <c r="N621" s="669">
        <v>24</v>
      </c>
      <c r="O621" s="669">
        <v>28</v>
      </c>
      <c r="P621" s="800">
        <f>M621*O621</f>
        <v>530.88</v>
      </c>
      <c r="Q621" s="917">
        <f>P621/(P$618+P$619+P$620+P$621)</f>
        <v>0.26892527151888473</v>
      </c>
      <c r="R621" s="918" t="e">
        <f ca="1">K$618*Q621</f>
        <v>#DIV/0!</v>
      </c>
      <c r="S621" s="114" t="s">
        <v>345</v>
      </c>
      <c r="T621" s="115" t="s">
        <v>391</v>
      </c>
    </row>
    <row r="622" spans="1:20" ht="15.95" customHeight="1">
      <c r="A622" s="555" t="s">
        <v>1237</v>
      </c>
      <c r="B622" s="800"/>
      <c r="C622" s="800">
        <v>1</v>
      </c>
      <c r="D622" s="1073" t="s">
        <v>47</v>
      </c>
      <c r="E622" s="595"/>
      <c r="F622" s="1073" t="s">
        <v>48</v>
      </c>
      <c r="G622" s="595" t="s">
        <v>49</v>
      </c>
      <c r="H622" s="665" cm="1">
        <f t="array" aca="1" ref="H622" ca="1">IFERROR(
    INDIRECT(
        "RawData!" &amp;
        ADDRESS(
            2,
            MATCH(
                TRIM(MID(A622, SEARCH(". ", A622) + 2, LEN(A622))) &amp; ".Import_kWh",
                RawData!$1:$1,
                0
            ),
            4
        )
    ),
    0
)</f>
        <v>0</v>
      </c>
      <c r="I622" s="665" cm="1">
        <f t="array" aca="1" ref="I622" ca="1">IFERROR(
    INDIRECT(
        "RawData!" &amp;
        ADDRESS(
            COUNTA(RawData!A:A),
            MATCH(
                TRIM(MID(A622, SEARCH(". ", A622) + 2, LEN(A622))) &amp; ".Import_kWh",
                RawData!$1:$1,
                0
            ),
            4
        )
    ),
    0
)</f>
        <v>0</v>
      </c>
      <c r="J622" s="666">
        <f ca="1">(I622-H622)*C622</f>
        <v>0</v>
      </c>
      <c r="K622" s="667">
        <f ca="1">J622</f>
        <v>0</v>
      </c>
      <c r="L622" s="801"/>
      <c r="M622" s="705">
        <f ca="1">R623+R624</f>
        <v>0</v>
      </c>
      <c r="N622" s="687"/>
      <c r="O622" s="687"/>
      <c r="P622" s="800"/>
      <c r="Q622" s="917"/>
      <c r="R622" s="918"/>
      <c r="S622" s="114"/>
      <c r="T622" s="115"/>
    </row>
    <row r="623" spans="1:20" ht="14.25" customHeight="1">
      <c r="A623" s="555" t="s">
        <v>981</v>
      </c>
      <c r="B623" s="671"/>
      <c r="C623" s="595"/>
      <c r="D623" s="595"/>
      <c r="E623" s="595"/>
      <c r="F623" s="595"/>
      <c r="G623" s="595"/>
      <c r="H623" s="594"/>
      <c r="I623" s="594"/>
      <c r="J623" s="673"/>
      <c r="K623" s="568">
        <f ca="1">R623/O623</f>
        <v>0</v>
      </c>
      <c r="L623" s="840"/>
      <c r="M623" s="570">
        <f>12+0.8</f>
        <v>12.8</v>
      </c>
      <c r="N623" s="669">
        <v>31</v>
      </c>
      <c r="O623" s="669">
        <v>33</v>
      </c>
      <c r="P623" s="800">
        <f>M623*O623</f>
        <v>422.40000000000003</v>
      </c>
      <c r="Q623" s="563">
        <f>P623/(P$623+P$624)</f>
        <v>0.45012787723785164</v>
      </c>
      <c r="R623" s="569">
        <f ca="1">K$622*Q623</f>
        <v>0</v>
      </c>
      <c r="S623" s="114" t="s">
        <v>401</v>
      </c>
      <c r="T623" s="115" t="s">
        <v>402</v>
      </c>
    </row>
    <row r="624" spans="1:20" ht="14.25" customHeight="1">
      <c r="A624" s="555" t="s">
        <v>982</v>
      </c>
      <c r="B624" s="671"/>
      <c r="C624" s="595"/>
      <c r="D624" s="595"/>
      <c r="E624" s="595"/>
      <c r="F624" s="595"/>
      <c r="G624" s="595"/>
      <c r="H624" s="594"/>
      <c r="I624" s="594"/>
      <c r="J624" s="673"/>
      <c r="K624" s="568">
        <f ca="1">R624/O624</f>
        <v>0</v>
      </c>
      <c r="L624" s="840"/>
      <c r="M624" s="570">
        <f>16.4+0.8</f>
        <v>17.2</v>
      </c>
      <c r="N624" s="669">
        <v>26</v>
      </c>
      <c r="O624" s="669">
        <v>30</v>
      </c>
      <c r="P624" s="800">
        <f>M624*O624</f>
        <v>516</v>
      </c>
      <c r="Q624" s="563">
        <f>P624/(P$623+P$624)</f>
        <v>0.54987212276214825</v>
      </c>
      <c r="R624" s="569">
        <f ca="1">K$622*Q624</f>
        <v>0</v>
      </c>
      <c r="S624" s="114" t="s">
        <v>401</v>
      </c>
      <c r="T624" s="115" t="s">
        <v>402</v>
      </c>
    </row>
    <row r="625" spans="1:61" ht="14.25" customHeight="1">
      <c r="A625" s="555"/>
      <c r="B625" s="800"/>
      <c r="C625" s="800"/>
      <c r="D625" s="1073"/>
      <c r="E625" s="595"/>
      <c r="F625" s="1073"/>
      <c r="G625" s="595"/>
      <c r="H625" s="724"/>
      <c r="I625" s="724"/>
      <c r="J625" s="666"/>
      <c r="K625" s="667"/>
      <c r="L625" s="801"/>
      <c r="M625" s="705"/>
      <c r="N625" s="687"/>
      <c r="O625" s="687"/>
      <c r="P625" s="800"/>
      <c r="Q625" s="917"/>
      <c r="R625" s="918"/>
      <c r="S625" s="114"/>
      <c r="T625" s="115"/>
    </row>
    <row r="626" spans="1:61" ht="14.25" customHeight="1">
      <c r="A626" s="919" t="s">
        <v>983</v>
      </c>
      <c r="B626" s="920" t="s">
        <v>64</v>
      </c>
      <c r="C626" s="920">
        <v>1</v>
      </c>
      <c r="D626" s="1017" t="s">
        <v>47</v>
      </c>
      <c r="E626" s="654"/>
      <c r="F626" s="1017" t="s">
        <v>48</v>
      </c>
      <c r="G626" s="654" t="s">
        <v>49</v>
      </c>
      <c r="H626" s="655" cm="1">
        <f t="array" aca="1" ref="H626" ca="1">IFERROR(
    INDIRECT(
        "RawData!" &amp;
        ADDRESS(
            2,
            MATCH(
                TRIM(MID(A626, SEARCH(". ", A626) + 2, LEN(A626))) &amp; ".Import_kWh",
                RawData!$1:$1,
                0
            ),
            4
        )
    ),
    0
)</f>
        <v>0</v>
      </c>
      <c r="I626" s="655" cm="1">
        <f t="array" aca="1" ref="I626" ca="1">IFERROR(
    INDIRECT(
        "RawData!" &amp;
        ADDRESS(
            COUNTA(RawData!A:A),
            MATCH(
                TRIM(MID(A626, SEARCH(". ", A626) + 2, LEN(A626))) &amp; ".Import_kWh",
                RawData!$1:$1,
                0
            ),
            4
        )
    ),
    0
)</f>
        <v>0</v>
      </c>
      <c r="J626" s="680">
        <f ca="1">(I626-H626)*C626</f>
        <v>0</v>
      </c>
      <c r="K626" s="824" t="e">
        <f ca="1">J626*K$603/(J$604+J$610+J$612+J$615+J$626+J$631+J$634+J$639)</f>
        <v>#DIV/0!</v>
      </c>
      <c r="L626" s="581" t="e">
        <f ca="1">K626/J626</f>
        <v>#DIV/0!</v>
      </c>
      <c r="M626" s="872" t="e">
        <f ca="1">R627+R628</f>
        <v>#DIV/0!</v>
      </c>
      <c r="N626" s="922"/>
      <c r="O626" s="922"/>
      <c r="P626" s="920"/>
      <c r="Q626" s="923"/>
      <c r="R626" s="924"/>
      <c r="S626" s="114"/>
      <c r="T626" s="115"/>
    </row>
    <row r="627" spans="1:61" ht="14.25" customHeight="1">
      <c r="A627" s="555" t="s">
        <v>984</v>
      </c>
      <c r="B627" s="800"/>
      <c r="C627" s="800"/>
      <c r="D627" s="800"/>
      <c r="E627" s="800"/>
      <c r="F627" s="800"/>
      <c r="G627" s="800"/>
      <c r="H627" s="594"/>
      <c r="I627" s="594"/>
      <c r="J627" s="673"/>
      <c r="K627" s="667" t="e">
        <f ca="1">K626-J628</f>
        <v>#DIV/0!</v>
      </c>
      <c r="L627" s="801"/>
      <c r="M627" s="705">
        <v>35</v>
      </c>
      <c r="N627" s="687">
        <v>1</v>
      </c>
      <c r="O627" s="687">
        <v>1</v>
      </c>
      <c r="P627" s="800"/>
      <c r="Q627" s="917"/>
      <c r="R627" s="918" t="e">
        <f ca="1">K627</f>
        <v>#DIV/0!</v>
      </c>
      <c r="S627" s="114" t="s">
        <v>476</v>
      </c>
      <c r="T627" s="115" t="s">
        <v>479</v>
      </c>
    </row>
    <row r="628" spans="1:61" ht="14.25" customHeight="1">
      <c r="A628" s="555" t="s">
        <v>985</v>
      </c>
      <c r="B628" s="800" t="s">
        <v>101</v>
      </c>
      <c r="C628" s="800">
        <v>1</v>
      </c>
      <c r="D628" s="1073" t="s">
        <v>47</v>
      </c>
      <c r="E628" s="595"/>
      <c r="F628" s="1073" t="s">
        <v>48</v>
      </c>
      <c r="G628" s="595" t="s">
        <v>49</v>
      </c>
      <c r="H628" s="665" cm="1">
        <f t="array" aca="1" ref="H628" ca="1">IFERROR(
    INDIRECT(
        "RawData!" &amp;
        ADDRESS(
            2,
            MATCH(
                TRIM(MID(A628, SEARCH(". ", A628) + 2, LEN(A628))) &amp; ".Import_kWh",
                RawData!$1:$1,
                0
            ),
            4
        )
    ),
    0
)</f>
        <v>0</v>
      </c>
      <c r="I628" s="665" cm="1">
        <f t="array" aca="1" ref="I628" ca="1">IFERROR(
    INDIRECT(
        "RawData!" &amp;
        ADDRESS(
            COUNTA(RawData!A:A),
            MATCH(
                TRIM(MID(A628, SEARCH(". ", A628) + 2, LEN(A628))) &amp; ".Import_kWh",
                RawData!$1:$1,
                0
            ),
            4
        )
    ),
    0
)</f>
        <v>0</v>
      </c>
      <c r="J628" s="666">
        <f ca="1">(I628-H628)*C628</f>
        <v>0</v>
      </c>
      <c r="K628" s="667">
        <f ca="1">J628</f>
        <v>0</v>
      </c>
      <c r="L628" s="801"/>
      <c r="M628" s="705"/>
      <c r="N628" s="687"/>
      <c r="O628" s="687"/>
      <c r="P628" s="800"/>
      <c r="Q628" s="917"/>
      <c r="R628" s="918">
        <f ca="1">K628</f>
        <v>0</v>
      </c>
      <c r="S628" s="114" t="s">
        <v>476</v>
      </c>
      <c r="T628" s="115" t="s">
        <v>477</v>
      </c>
    </row>
    <row r="629" spans="1:61" ht="14.25" customHeight="1">
      <c r="A629" s="555" t="s">
        <v>986</v>
      </c>
      <c r="B629" s="800"/>
      <c r="C629" s="800"/>
      <c r="D629" s="800"/>
      <c r="E629" s="800"/>
      <c r="F629" s="800"/>
      <c r="G629" s="800"/>
      <c r="H629" s="594"/>
      <c r="I629" s="594"/>
      <c r="J629" s="673"/>
      <c r="K629" s="568"/>
      <c r="L629" s="801"/>
      <c r="M629" s="705">
        <v>35</v>
      </c>
      <c r="N629" s="687">
        <v>0</v>
      </c>
      <c r="O629" s="687">
        <v>0</v>
      </c>
      <c r="P629" s="800"/>
      <c r="Q629" s="917"/>
      <c r="R629" s="918"/>
      <c r="S629" s="114"/>
      <c r="T629" s="115"/>
    </row>
    <row r="630" spans="1:61" ht="14.25" customHeight="1">
      <c r="A630" s="555"/>
      <c r="B630" s="800"/>
      <c r="C630" s="800"/>
      <c r="D630" s="800"/>
      <c r="E630" s="800"/>
      <c r="F630" s="800"/>
      <c r="G630" s="800"/>
      <c r="H630" s="594"/>
      <c r="I630" s="594"/>
      <c r="J630" s="673"/>
      <c r="K630" s="568"/>
      <c r="L630" s="801"/>
      <c r="M630" s="705"/>
      <c r="N630" s="687"/>
      <c r="O630" s="687"/>
      <c r="P630" s="800"/>
      <c r="Q630" s="917"/>
      <c r="R630" s="918"/>
    </row>
    <row r="631" spans="1:61" ht="14.25" customHeight="1">
      <c r="A631" s="919" t="s">
        <v>987</v>
      </c>
      <c r="B631" s="920" t="s">
        <v>72</v>
      </c>
      <c r="C631" s="920">
        <v>1</v>
      </c>
      <c r="D631" s="1017" t="s">
        <v>47</v>
      </c>
      <c r="E631" s="654"/>
      <c r="F631" s="1017" t="s">
        <v>48</v>
      </c>
      <c r="G631" s="654" t="s">
        <v>49</v>
      </c>
      <c r="H631" s="655" cm="1">
        <f t="array" aca="1" ref="H631" ca="1">IFERROR(
    INDIRECT(
        "RawData!" &amp;
        ADDRESS(
            2,
            MATCH(
                TRIM(MID(A631, SEARCH(". ", A631) + 2, LEN(A631))) &amp; ".Import_kWh",
                RawData!$1:$1,
                0
            ),
            4
        )
    ),
    0
)</f>
        <v>0</v>
      </c>
      <c r="I631" s="655" cm="1">
        <f t="array" aca="1" ref="I631" ca="1">IFERROR(
    INDIRECT(
        "RawData!" &amp;
        ADDRESS(
            COUNTA(RawData!A:A),
            MATCH(
                TRIM(MID(A631, SEARCH(". ", A631) + 2, LEN(A631))) &amp; ".Import_kWh",
                RawData!$1:$1,
                0
            ),
            4
        )
    ),
    0
)</f>
        <v>0</v>
      </c>
      <c r="J631" s="680">
        <f ca="1">(I631-H631)*C631</f>
        <v>0</v>
      </c>
      <c r="K631" s="824" t="e">
        <f ca="1">J631*K$603/(J$604+J$610+J$612+J$615+J$626+J$631+J$634+J$639)</f>
        <v>#DIV/0!</v>
      </c>
      <c r="L631" s="581" t="e">
        <f ca="1">K631/J631</f>
        <v>#DIV/0!</v>
      </c>
      <c r="M631" s="872" t="e">
        <f ca="1">R631</f>
        <v>#DIV/0!</v>
      </c>
      <c r="N631" s="922"/>
      <c r="O631" s="922"/>
      <c r="P631" s="920"/>
      <c r="Q631" s="923"/>
      <c r="R631" s="924" t="e">
        <f ca="1">K631</f>
        <v>#DIV/0!</v>
      </c>
      <c r="S631" s="52" t="s">
        <v>426</v>
      </c>
      <c r="T631" s="52" t="s">
        <v>436</v>
      </c>
    </row>
    <row r="632" spans="1:61" ht="14.25" customHeight="1">
      <c r="A632" s="555" t="s">
        <v>967</v>
      </c>
      <c r="B632" s="800"/>
      <c r="C632" s="800"/>
      <c r="D632" s="800"/>
      <c r="E632" s="800"/>
      <c r="F632" s="800"/>
      <c r="G632" s="800"/>
      <c r="H632" s="594"/>
      <c r="I632" s="594"/>
      <c r="J632" s="673"/>
      <c r="K632" s="667"/>
      <c r="L632" s="801"/>
      <c r="M632" s="802"/>
      <c r="N632" s="687"/>
      <c r="O632" s="687"/>
      <c r="P632" s="800"/>
      <c r="Q632" s="917"/>
      <c r="R632" s="918"/>
    </row>
    <row r="633" spans="1:61" s="449" customFormat="1" ht="14.25" customHeight="1">
      <c r="A633" s="555"/>
      <c r="B633" s="800"/>
      <c r="C633" s="800"/>
      <c r="D633" s="800"/>
      <c r="E633" s="800"/>
      <c r="F633" s="800"/>
      <c r="G633" s="800"/>
      <c r="H633" s="594"/>
      <c r="I633" s="594"/>
      <c r="J633" s="673"/>
      <c r="K633" s="667"/>
      <c r="L633" s="801"/>
      <c r="M633" s="802"/>
      <c r="N633" s="687"/>
      <c r="O633" s="687"/>
      <c r="P633" s="800"/>
      <c r="Q633" s="917"/>
      <c r="R633" s="918"/>
      <c r="S633" s="114"/>
      <c r="T633" s="115"/>
      <c r="U633" s="7"/>
      <c r="V633" s="7"/>
      <c r="W633" s="7"/>
      <c r="X633" s="7"/>
      <c r="Y633" s="7"/>
      <c r="Z633" s="7"/>
      <c r="AB633" s="22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  <c r="AN633" s="7"/>
      <c r="AO633" s="7"/>
      <c r="AP633" s="7"/>
      <c r="AQ633" s="7"/>
      <c r="AR633" s="7"/>
      <c r="AS633" s="7"/>
      <c r="AT633" s="7"/>
      <c r="AU633" s="49"/>
      <c r="AV633" s="7"/>
      <c r="AW633" s="7"/>
      <c r="BA633" s="67"/>
      <c r="BB633" s="67"/>
      <c r="BC633" s="67"/>
      <c r="BD633" s="67"/>
      <c r="BE633" s="68"/>
      <c r="BF633" s="68"/>
      <c r="BG633" s="68"/>
      <c r="BH633" s="68"/>
      <c r="BI633" s="68"/>
    </row>
    <row r="634" spans="1:61" s="449" customFormat="1" ht="14.25" customHeight="1">
      <c r="A634" s="1090" t="s">
        <v>988</v>
      </c>
      <c r="B634" s="940" t="s">
        <v>64</v>
      </c>
      <c r="C634" s="940">
        <v>1</v>
      </c>
      <c r="D634" s="1017" t="s">
        <v>47</v>
      </c>
      <c r="E634" s="654"/>
      <c r="F634" s="1017" t="s">
        <v>48</v>
      </c>
      <c r="G634" s="654" t="s">
        <v>49</v>
      </c>
      <c r="H634" s="655" cm="1">
        <f t="array" aca="1" ref="H634" ca="1">IFERROR(
    INDIRECT(
        "RawData!" &amp;
        ADDRESS(
            2,
            MATCH(
                TRIM(MID(A634, SEARCH(". ", A634) + 2, LEN(A634))) &amp; ".Import_kWh",
                RawData!$1:$1,
                0
            ),
            4
        )
    ),
    0
)</f>
        <v>0</v>
      </c>
      <c r="I634" s="655" cm="1">
        <f t="array" aca="1" ref="I634" ca="1">IFERROR(
    INDIRECT(
        "RawData!" &amp;
        ADDRESS(
            COUNTA(RawData!A:A),
            MATCH(
                TRIM(MID(A634, SEARCH(". ", A634) + 2, LEN(A634))) &amp; ".Import_kWh",
                RawData!$1:$1,
                0
            ),
            4
        )
    ),
    0
)</f>
        <v>0</v>
      </c>
      <c r="J634" s="680">
        <f ca="1">(I634-H634)*C634</f>
        <v>0</v>
      </c>
      <c r="K634" s="824" t="e">
        <f ca="1">J634*K$603/(J$604+J$610+J$612+J$615+J$626+J$631+J$634+J$639)</f>
        <v>#DIV/0!</v>
      </c>
      <c r="L634" s="581" t="e">
        <f ca="1">K634/J634</f>
        <v>#DIV/0!</v>
      </c>
      <c r="M634" s="1134" t="e">
        <f ca="1">R635+R637+R636</f>
        <v>#DIV/0!</v>
      </c>
      <c r="N634" s="1094"/>
      <c r="O634" s="1094"/>
      <c r="P634" s="940"/>
      <c r="Q634" s="1095"/>
      <c r="R634" s="1096"/>
      <c r="S634" s="114"/>
      <c r="T634" s="283"/>
      <c r="U634" s="7"/>
      <c r="V634" s="7"/>
      <c r="W634" s="7"/>
      <c r="X634" s="7"/>
      <c r="Y634" s="7"/>
      <c r="Z634" s="7"/>
      <c r="AB634" s="22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  <c r="AN634" s="7"/>
      <c r="AO634" s="7"/>
      <c r="AP634" s="7"/>
      <c r="AQ634" s="7"/>
      <c r="AR634" s="7"/>
      <c r="AS634" s="7"/>
      <c r="AT634" s="7"/>
      <c r="AU634" s="49"/>
      <c r="AV634" s="7"/>
      <c r="AW634" s="7"/>
      <c r="BA634" s="67"/>
      <c r="BB634" s="67"/>
      <c r="BC634" s="67"/>
      <c r="BD634" s="67"/>
      <c r="BE634" s="68"/>
      <c r="BF634" s="68"/>
      <c r="BG634" s="68"/>
      <c r="BH634" s="68"/>
      <c r="BI634" s="68"/>
    </row>
    <row r="635" spans="1:61" s="449" customFormat="1" ht="14.25" customHeight="1">
      <c r="A635" s="555" t="s">
        <v>989</v>
      </c>
      <c r="B635" s="800"/>
      <c r="C635" s="800"/>
      <c r="D635" s="800"/>
      <c r="E635" s="800"/>
      <c r="F635" s="800"/>
      <c r="G635" s="800"/>
      <c r="H635" s="594"/>
      <c r="I635" s="594"/>
      <c r="J635" s="673"/>
      <c r="K635" s="667" t="e">
        <f ca="1">K634-(K636+K637)</f>
        <v>#DIV/0!</v>
      </c>
      <c r="L635" s="801"/>
      <c r="M635" s="1135"/>
      <c r="N635" s="687">
        <v>15</v>
      </c>
      <c r="O635" s="687">
        <v>6</v>
      </c>
      <c r="P635" s="800"/>
      <c r="Q635" s="917"/>
      <c r="R635" s="918" t="e">
        <f ca="1">K635</f>
        <v>#DIV/0!</v>
      </c>
      <c r="S635" s="114" t="s">
        <v>527</v>
      </c>
      <c r="T635" s="115" t="s">
        <v>531</v>
      </c>
      <c r="U635" s="7"/>
      <c r="V635" s="7"/>
      <c r="W635" s="7"/>
      <c r="X635" s="7"/>
      <c r="Y635" s="7"/>
      <c r="Z635" s="7"/>
      <c r="AB635" s="22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  <c r="AN635" s="7"/>
      <c r="AO635" s="7"/>
      <c r="AP635" s="7"/>
      <c r="AQ635" s="7"/>
      <c r="AR635" s="7"/>
      <c r="AS635" s="7"/>
      <c r="AT635" s="7"/>
      <c r="AU635" s="49"/>
      <c r="AV635" s="7"/>
      <c r="AW635" s="7"/>
      <c r="BA635" s="67"/>
      <c r="BB635" s="67"/>
      <c r="BC635" s="67"/>
      <c r="BD635" s="67"/>
      <c r="BE635" s="68"/>
      <c r="BF635" s="68"/>
      <c r="BG635" s="68"/>
      <c r="BH635" s="68"/>
      <c r="BI635" s="68"/>
    </row>
    <row r="636" spans="1:61" s="449" customFormat="1" ht="14.25" customHeight="1">
      <c r="A636" s="555" t="s">
        <v>1238</v>
      </c>
      <c r="B636" s="800" t="s">
        <v>72</v>
      </c>
      <c r="C636" s="800">
        <v>1</v>
      </c>
      <c r="D636" s="800" t="s">
        <v>645</v>
      </c>
      <c r="E636" s="774" t="s">
        <v>336</v>
      </c>
      <c r="F636" s="1073" t="s">
        <v>48</v>
      </c>
      <c r="G636" s="595" t="s">
        <v>49</v>
      </c>
      <c r="H636" s="665" cm="1">
        <f t="array" aca="1" ref="H636" ca="1">IFERROR(
    INDIRECT(
        "RawData!" &amp;
        ADDRESS(
            2,
            MATCH(
                TRIM(MID(A636, SEARCH(". ", A636) + 2, LEN(A636))) &amp; ".Import_kWh",
                RawData!$1:$1,
                0
            ),
            4
        )
    ),
    0
)</f>
        <v>0</v>
      </c>
      <c r="I636" s="665" cm="1">
        <f t="array" aca="1" ref="I636" ca="1">IFERROR(
    INDIRECT(
        "RawData!" &amp;
        ADDRESS(
            COUNTA(RawData!A:A),
            MATCH(
                TRIM(MID(A636, SEARCH(". ", A636) + 2, LEN(A636))) &amp; ".Import_kWh",
                RawData!$1:$1,
                0
            ),
            4
        )
    ),
    0
)</f>
        <v>0</v>
      </c>
      <c r="J636" s="666">
        <f ca="1">(I636-H636)*C636</f>
        <v>0</v>
      </c>
      <c r="K636" s="667">
        <f ca="1">J636</f>
        <v>0</v>
      </c>
      <c r="L636" s="801"/>
      <c r="M636" s="1135"/>
      <c r="N636" s="687"/>
      <c r="O636" s="687"/>
      <c r="P636" s="800"/>
      <c r="Q636" s="917"/>
      <c r="R636" s="918">
        <f ca="1">K636</f>
        <v>0</v>
      </c>
      <c r="S636" s="114" t="s">
        <v>527</v>
      </c>
      <c r="T636" s="283" t="s">
        <v>539</v>
      </c>
      <c r="U636" s="7"/>
      <c r="V636" s="7"/>
      <c r="W636" s="7"/>
      <c r="X636" s="7"/>
      <c r="Y636" s="7"/>
      <c r="Z636" s="7"/>
      <c r="AB636" s="22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7"/>
      <c r="AN636" s="7"/>
      <c r="AO636" s="7"/>
      <c r="AP636" s="7"/>
      <c r="AQ636" s="7"/>
      <c r="AR636" s="7"/>
      <c r="AS636" s="7"/>
      <c r="AT636" s="7"/>
      <c r="AU636" s="49"/>
      <c r="AV636" s="7"/>
      <c r="AW636" s="7"/>
      <c r="BA636" s="67"/>
      <c r="BB636" s="67"/>
      <c r="BC636" s="67"/>
      <c r="BD636" s="67"/>
      <c r="BE636" s="68"/>
      <c r="BF636" s="68"/>
      <c r="BG636" s="68"/>
      <c r="BH636" s="68"/>
      <c r="BI636" s="68"/>
    </row>
    <row r="637" spans="1:61" s="449" customFormat="1" ht="14.25" customHeight="1">
      <c r="A637" s="555" t="s">
        <v>1271</v>
      </c>
      <c r="B637" s="800" t="s">
        <v>72</v>
      </c>
      <c r="C637" s="800">
        <v>1</v>
      </c>
      <c r="D637" s="1073" t="s">
        <v>47</v>
      </c>
      <c r="E637" s="595"/>
      <c r="F637" s="1073" t="s">
        <v>48</v>
      </c>
      <c r="G637" s="595" t="s">
        <v>49</v>
      </c>
      <c r="H637" s="665" cm="1">
        <f t="array" aca="1" ref="H637" ca="1">IFERROR(
    INDIRECT(
        "RawData!" &amp;
        ADDRESS(
            2,
            MATCH(
                TRIM(MID(A637, SEARCH(". ", A637) + 2, LEN(A637))) &amp; ".Import_kWh",
                RawData!$1:$1,
                0
            ),
            4
        )
    ),
    0
)</f>
        <v>0</v>
      </c>
      <c r="I637" s="665" cm="1">
        <f t="array" aca="1" ref="I637" ca="1">IFERROR(
    INDIRECT(
        "RawData!" &amp;
        ADDRESS(
            COUNTA(RawData!A:A),
            MATCH(
                TRIM(MID(A637, SEARCH(". ", A637) + 2, LEN(A637))) &amp; ".Import_kWh",
                RawData!$1:$1,
                0
            ),
            4
        )
    ),
    0
)</f>
        <v>0</v>
      </c>
      <c r="J637" s="666">
        <f ca="1">(I637-H637)*C637</f>
        <v>0</v>
      </c>
      <c r="K637" s="667">
        <f ca="1">J637</f>
        <v>0</v>
      </c>
      <c r="L637" s="801"/>
      <c r="M637" s="705"/>
      <c r="N637" s="687"/>
      <c r="O637" s="687"/>
      <c r="P637" s="954"/>
      <c r="Q637" s="917"/>
      <c r="R637" s="918">
        <f ca="1">K637</f>
        <v>0</v>
      </c>
      <c r="S637" s="114" t="s">
        <v>527</v>
      </c>
      <c r="T637" s="115" t="s">
        <v>533</v>
      </c>
      <c r="U637" s="7"/>
      <c r="V637" s="7"/>
      <c r="W637" s="7"/>
      <c r="X637" s="7"/>
      <c r="Y637" s="7"/>
      <c r="Z637" s="7"/>
      <c r="AB637" s="22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  <c r="AN637" s="7"/>
      <c r="AO637" s="7"/>
      <c r="AP637" s="7"/>
      <c r="AQ637" s="7"/>
      <c r="AR637" s="7"/>
      <c r="AS637" s="7"/>
      <c r="AT637" s="7"/>
      <c r="AU637" s="49"/>
      <c r="AV637" s="7"/>
      <c r="AW637" s="7"/>
      <c r="BA637" s="67"/>
      <c r="BB637" s="67"/>
      <c r="BC637" s="67"/>
      <c r="BD637" s="67"/>
      <c r="BE637" s="68"/>
      <c r="BF637" s="68"/>
      <c r="BG637" s="68"/>
      <c r="BH637" s="68"/>
      <c r="BI637" s="68"/>
    </row>
    <row r="638" spans="1:61" s="449" customFormat="1" ht="14.25" customHeight="1">
      <c r="A638" s="555" t="s">
        <v>990</v>
      </c>
      <c r="B638" s="800"/>
      <c r="C638" s="800"/>
      <c r="D638" s="800"/>
      <c r="E638" s="800"/>
      <c r="F638" s="800"/>
      <c r="G638" s="800"/>
      <c r="H638" s="724"/>
      <c r="I638" s="724"/>
      <c r="J638" s="666"/>
      <c r="K638" s="667"/>
      <c r="L638" s="801"/>
      <c r="M638" s="705"/>
      <c r="N638" s="687"/>
      <c r="O638" s="687"/>
      <c r="P638" s="800"/>
      <c r="Q638" s="917"/>
      <c r="R638" s="918"/>
      <c r="S638" s="52"/>
      <c r="T638" s="52"/>
      <c r="U638" s="7"/>
      <c r="V638" s="7"/>
      <c r="W638" s="7"/>
      <c r="X638" s="7"/>
      <c r="Y638" s="7"/>
      <c r="Z638" s="7"/>
      <c r="AB638" s="22"/>
      <c r="AC638" s="7"/>
      <c r="AD638" s="7"/>
      <c r="AE638" s="7"/>
      <c r="AF638" s="7"/>
      <c r="AG638" s="7"/>
      <c r="AH638" s="7"/>
      <c r="AI638" s="7"/>
      <c r="AJ638" s="7"/>
      <c r="AK638" s="7"/>
      <c r="AL638" s="7"/>
      <c r="AM638" s="7"/>
      <c r="AN638" s="7"/>
      <c r="AO638" s="7"/>
      <c r="AP638" s="7"/>
      <c r="AQ638" s="7"/>
      <c r="AR638" s="7"/>
      <c r="AS638" s="7"/>
      <c r="AT638" s="7"/>
      <c r="AU638" s="49"/>
      <c r="AV638" s="7"/>
      <c r="AW638" s="7"/>
      <c r="BA638" s="67"/>
      <c r="BB638" s="67"/>
      <c r="BC638" s="67"/>
      <c r="BD638" s="67"/>
      <c r="BE638" s="68"/>
      <c r="BF638" s="68"/>
      <c r="BG638" s="68"/>
      <c r="BH638" s="68"/>
      <c r="BI638" s="68"/>
    </row>
    <row r="639" spans="1:61" s="449" customFormat="1" ht="14.25" customHeight="1">
      <c r="A639" s="1090" t="s">
        <v>991</v>
      </c>
      <c r="B639" s="940" t="s">
        <v>64</v>
      </c>
      <c r="C639" s="940">
        <v>1</v>
      </c>
      <c r="D639" s="1017" t="s">
        <v>47</v>
      </c>
      <c r="E639" s="654"/>
      <c r="F639" s="1017" t="s">
        <v>48</v>
      </c>
      <c r="G639" s="654" t="s">
        <v>49</v>
      </c>
      <c r="H639" s="655" cm="1">
        <f t="array" aca="1" ref="H639" ca="1">IFERROR(
    INDIRECT(
        "RawData!" &amp;
        ADDRESS(
            2,
            MATCH(
                TRIM(MID(A639, SEARCH(". ", A639) + 2, LEN(A639))) &amp; ".Import_kWh",
                RawData!$1:$1,
                0
            ),
            4
        )
    ),
    0
)</f>
        <v>0</v>
      </c>
      <c r="I639" s="655" cm="1">
        <f t="array" aca="1" ref="I639" ca="1">IFERROR(
    INDIRECT(
        "RawData!" &amp;
        ADDRESS(
            COUNTA(RawData!A:A),
            MATCH(
                TRIM(MID(A639, SEARCH(". ", A639) + 2, LEN(A639))) &amp; ".Import_kWh",
                RawData!$1:$1,
                0
            ),
            4
        )
    ),
    0
)</f>
        <v>0</v>
      </c>
      <c r="J639" s="680">
        <f ca="1">(I639-H639)*C639</f>
        <v>0</v>
      </c>
      <c r="K639" s="824" t="e">
        <f ca="1">J639*K$603/(J$604+J$610+J$612+J$615+J$626+J$631+J$634+J$639)</f>
        <v>#DIV/0!</v>
      </c>
      <c r="L639" s="581" t="e">
        <f ca="1">K639/J639</f>
        <v>#DIV/0!</v>
      </c>
      <c r="M639" s="1134" t="e">
        <f ca="1">R640+R643+R641+R644</f>
        <v>#DIV/0!</v>
      </c>
      <c r="N639" s="1094"/>
      <c r="O639" s="1094"/>
      <c r="P639" s="940"/>
      <c r="Q639" s="1095"/>
      <c r="R639" s="1096"/>
      <c r="S639" s="114"/>
      <c r="T639" s="283"/>
      <c r="U639" s="7"/>
      <c r="V639" s="7"/>
      <c r="W639" s="7"/>
      <c r="X639" s="7"/>
      <c r="Y639" s="7"/>
      <c r="Z639" s="7"/>
      <c r="AB639" s="22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  <c r="AN639" s="7"/>
      <c r="AO639" s="7"/>
      <c r="AP639" s="7"/>
      <c r="AQ639" s="7"/>
      <c r="AR639" s="7"/>
      <c r="AS639" s="7"/>
      <c r="AT639" s="7"/>
      <c r="AU639" s="49"/>
      <c r="AV639" s="7"/>
      <c r="AW639" s="7"/>
      <c r="BA639" s="67"/>
      <c r="BB639" s="67"/>
      <c r="BC639" s="67"/>
      <c r="BD639" s="67"/>
      <c r="BE639" s="68"/>
      <c r="BF639" s="68"/>
      <c r="BG639" s="68"/>
      <c r="BH639" s="68"/>
      <c r="BI639" s="68"/>
    </row>
    <row r="640" spans="1:61" s="449" customFormat="1" ht="14.25" customHeight="1">
      <c r="A640" s="555" t="s">
        <v>992</v>
      </c>
      <c r="B640" s="800"/>
      <c r="C640" s="800"/>
      <c r="D640" s="800"/>
      <c r="E640" s="800"/>
      <c r="F640" s="800"/>
      <c r="G640" s="800"/>
      <c r="H640" s="594"/>
      <c r="I640" s="594"/>
      <c r="J640" s="673"/>
      <c r="K640" s="667" t="e">
        <f ca="1">K639-(K641+K642)</f>
        <v>#DIV/0!</v>
      </c>
      <c r="L640" s="801"/>
      <c r="M640" s="705">
        <f>800*O640</f>
        <v>28800</v>
      </c>
      <c r="N640" s="687">
        <v>25</v>
      </c>
      <c r="O640" s="687">
        <v>36</v>
      </c>
      <c r="P640" s="800"/>
      <c r="Q640" s="917"/>
      <c r="R640" s="918" t="e">
        <f ca="1">K640</f>
        <v>#DIV/0!</v>
      </c>
      <c r="S640" s="114" t="s">
        <v>527</v>
      </c>
      <c r="T640" s="115" t="s">
        <v>533</v>
      </c>
      <c r="U640" s="7"/>
      <c r="V640" s="7"/>
      <c r="W640" s="7"/>
      <c r="X640" s="7"/>
      <c r="Y640" s="7"/>
      <c r="Z640" s="7"/>
      <c r="AB640" s="22"/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  <c r="AN640" s="7"/>
      <c r="AO640" s="7"/>
      <c r="AP640" s="7"/>
      <c r="AQ640" s="7"/>
      <c r="AR640" s="7"/>
      <c r="AS640" s="7"/>
      <c r="AT640" s="7"/>
      <c r="AU640" s="49"/>
      <c r="AV640" s="7"/>
      <c r="AW640" s="7"/>
      <c r="BA640" s="67"/>
      <c r="BB640" s="67"/>
      <c r="BC640" s="67"/>
      <c r="BD640" s="67"/>
      <c r="BE640" s="68"/>
      <c r="BF640" s="68"/>
      <c r="BG640" s="68"/>
      <c r="BH640" s="68"/>
      <c r="BI640" s="68"/>
    </row>
    <row r="641" spans="1:61" s="449" customFormat="1" ht="14.25" customHeight="1">
      <c r="A641" s="555" t="s">
        <v>1239</v>
      </c>
      <c r="B641" s="800" t="s">
        <v>72</v>
      </c>
      <c r="C641" s="800">
        <v>1</v>
      </c>
      <c r="D641" s="800" t="s">
        <v>645</v>
      </c>
      <c r="E641" s="774" t="s">
        <v>336</v>
      </c>
      <c r="F641" s="1073" t="s">
        <v>48</v>
      </c>
      <c r="G641" s="595" t="s">
        <v>49</v>
      </c>
      <c r="H641" s="665" cm="1">
        <f t="array" aca="1" ref="H641" ca="1">IFERROR(
    INDIRECT(
        "RawData!" &amp;
        ADDRESS(
            2,
            MATCH(
                TRIM(MID(A641, SEARCH(". ", A641) + 2, LEN(A641))) &amp; ".Import_kWh",
                RawData!$1:$1,
                0
            ),
            4
        )
    ),
    0
)</f>
        <v>0</v>
      </c>
      <c r="I641" s="665" cm="1">
        <f t="array" aca="1" ref="I641" ca="1">IFERROR(
    INDIRECT(
        "RawData!" &amp;
        ADDRESS(
            COUNTA(RawData!A:A),
            MATCH(
                TRIM(MID(A641, SEARCH(". ", A641) + 2, LEN(A641))) &amp; ".Import_kWh",
                RawData!$1:$1,
                0
            ),
            4
        )
    ),
    0
)</f>
        <v>0</v>
      </c>
      <c r="J641" s="666">
        <f ca="1">(I641-H641)*C641</f>
        <v>0</v>
      </c>
      <c r="K641" s="667">
        <f ca="1">J641</f>
        <v>0</v>
      </c>
      <c r="L641" s="840" t="e">
        <f ca="1">K641/J641</f>
        <v>#DIV/0!</v>
      </c>
      <c r="M641" s="705"/>
      <c r="N641" s="687"/>
      <c r="O641" s="687"/>
      <c r="P641" s="800"/>
      <c r="Q641" s="917"/>
      <c r="R641" s="918">
        <f ca="1">K641</f>
        <v>0</v>
      </c>
      <c r="S641" s="114" t="s">
        <v>527</v>
      </c>
      <c r="T641" s="283" t="s">
        <v>540</v>
      </c>
      <c r="U641" s="7"/>
      <c r="V641" s="7"/>
      <c r="W641" s="7"/>
      <c r="X641" s="7"/>
      <c r="Y641" s="7"/>
      <c r="Z641" s="7"/>
      <c r="AB641" s="22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  <c r="AN641" s="7"/>
      <c r="AO641" s="7"/>
      <c r="AP641" s="7"/>
      <c r="AQ641" s="7"/>
      <c r="AR641" s="7"/>
      <c r="AS641" s="7"/>
      <c r="AT641" s="7"/>
      <c r="AU641" s="49"/>
      <c r="AV641" s="7"/>
      <c r="AW641" s="7"/>
      <c r="BA641" s="67"/>
      <c r="BB641" s="67"/>
      <c r="BC641" s="67"/>
      <c r="BD641" s="67"/>
      <c r="BE641" s="68"/>
      <c r="BF641" s="68"/>
      <c r="BG641" s="68"/>
      <c r="BH641" s="68"/>
      <c r="BI641" s="68"/>
    </row>
    <row r="642" spans="1:61" s="449" customFormat="1" ht="14.25" customHeight="1">
      <c r="A642" s="555" t="s">
        <v>993</v>
      </c>
      <c r="B642" s="800" t="s">
        <v>185</v>
      </c>
      <c r="C642" s="800">
        <v>1</v>
      </c>
      <c r="D642" s="1073" t="s">
        <v>47</v>
      </c>
      <c r="E642" s="595"/>
      <c r="F642" s="1073" t="s">
        <v>48</v>
      </c>
      <c r="G642" s="595" t="s">
        <v>49</v>
      </c>
      <c r="H642" s="665" cm="1">
        <f t="array" aca="1" ref="H642" ca="1">IFERROR(
    INDIRECT(
        "RawData!" &amp;
        ADDRESS(
            2,
            MATCH(
                TRIM(MID(A642, SEARCH(". ", A642) + 2, LEN(A642))) &amp; ".Import_kWh",
                RawData!$1:$1,
                0
            ),
            4
        )
    ),
    0
)</f>
        <v>0</v>
      </c>
      <c r="I642" s="665" cm="1">
        <f t="array" aca="1" ref="I642" ca="1">IFERROR(
    INDIRECT(
        "RawData!" &amp;
        ADDRESS(
            COUNTA(RawData!A:A),
            MATCH(
                TRIM(MID(A642, SEARCH(". ", A642) + 2, LEN(A642))) &amp; ".Import_kWh",
                RawData!$1:$1,
                0
            ),
            4
        )
    ),
    0
)</f>
        <v>0</v>
      </c>
      <c r="J642" s="666">
        <f ca="1">(I642-H642)*C642</f>
        <v>0</v>
      </c>
      <c r="K642" s="667">
        <f ca="1">J642</f>
        <v>0</v>
      </c>
      <c r="L642" s="840" t="e">
        <f ca="1">K642/J642</f>
        <v>#DIV/0!</v>
      </c>
      <c r="M642" s="705"/>
      <c r="N642" s="687"/>
      <c r="O642" s="687"/>
      <c r="P642" s="800"/>
      <c r="Q642" s="917"/>
      <c r="R642" s="918"/>
      <c r="S642" s="114"/>
      <c r="T642" s="115"/>
      <c r="U642" s="7"/>
      <c r="V642" s="7"/>
      <c r="W642" s="7"/>
      <c r="X642" s="7"/>
      <c r="Y642" s="7"/>
      <c r="Z642" s="7"/>
      <c r="AB642" s="22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  <c r="AN642" s="7"/>
      <c r="AO642" s="7"/>
      <c r="AP642" s="7"/>
      <c r="AQ642" s="7"/>
      <c r="AR642" s="7"/>
      <c r="AS642" s="7"/>
      <c r="AT642" s="7"/>
      <c r="AU642" s="49"/>
      <c r="AV642" s="7"/>
      <c r="AW642" s="7"/>
      <c r="BA642" s="67"/>
      <c r="BB642" s="67"/>
      <c r="BC642" s="67"/>
      <c r="BD642" s="67"/>
      <c r="BE642" s="68"/>
      <c r="BF642" s="68"/>
      <c r="BG642" s="68"/>
      <c r="BH642" s="68"/>
      <c r="BI642" s="68"/>
    </row>
    <row r="643" spans="1:61" s="449" customFormat="1" ht="14.25" customHeight="1">
      <c r="A643" s="555" t="s">
        <v>994</v>
      </c>
      <c r="B643" s="800"/>
      <c r="C643" s="800"/>
      <c r="D643" s="800"/>
      <c r="E643" s="800"/>
      <c r="F643" s="800"/>
      <c r="G643" s="800"/>
      <c r="H643" s="594"/>
      <c r="I643" s="594"/>
      <c r="J643" s="673"/>
      <c r="K643" s="667">
        <f ca="1">K642-K644</f>
        <v>0</v>
      </c>
      <c r="L643" s="801"/>
      <c r="M643" s="705"/>
      <c r="N643" s="687">
        <v>0</v>
      </c>
      <c r="O643" s="687">
        <v>18</v>
      </c>
      <c r="P643" s="800"/>
      <c r="Q643" s="917"/>
      <c r="R643" s="918">
        <f ca="1">K643</f>
        <v>0</v>
      </c>
      <c r="S643" s="114" t="s">
        <v>485</v>
      </c>
      <c r="T643" s="115" t="s">
        <v>486</v>
      </c>
      <c r="U643" s="7"/>
      <c r="V643" s="7"/>
      <c r="W643" s="7"/>
      <c r="X643" s="7"/>
      <c r="Y643" s="7"/>
      <c r="Z643" s="7"/>
      <c r="AB643" s="22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/>
      <c r="AN643" s="7"/>
      <c r="AO643" s="7"/>
      <c r="AP643" s="7"/>
      <c r="AQ643" s="7"/>
      <c r="AR643" s="7"/>
      <c r="AS643" s="7"/>
      <c r="AT643" s="7"/>
      <c r="AU643" s="49"/>
      <c r="AV643" s="7"/>
      <c r="AW643" s="7"/>
      <c r="BA643" s="67"/>
      <c r="BB643" s="67"/>
      <c r="BC643" s="67"/>
      <c r="BD643" s="67"/>
      <c r="BE643" s="68"/>
      <c r="BF643" s="68"/>
      <c r="BG643" s="68"/>
      <c r="BH643" s="68"/>
      <c r="BI643" s="68"/>
    </row>
    <row r="644" spans="1:61" ht="15.95" customHeight="1">
      <c r="A644" s="555" t="s">
        <v>995</v>
      </c>
      <c r="B644" s="800" t="s">
        <v>382</v>
      </c>
      <c r="C644" s="800">
        <v>1</v>
      </c>
      <c r="D644" s="800" t="s">
        <v>645</v>
      </c>
      <c r="E644" s="774" t="s">
        <v>336</v>
      </c>
      <c r="F644" s="1073" t="s">
        <v>48</v>
      </c>
      <c r="G644" s="595" t="s">
        <v>49</v>
      </c>
      <c r="H644" s="665" cm="1">
        <f t="array" aca="1" ref="H644" ca="1">IFERROR(
    INDIRECT(
        "RawData!" &amp;
        ADDRESS(
            2,
            MATCH(
                TRIM(MID(A644, SEARCH(". ", A644) + 2, LEN(A644))) &amp; ".Import_kWh",
                RawData!$1:$1,
                0
            ),
            4
        )
    ),
    0
)</f>
        <v>0</v>
      </c>
      <c r="I644" s="665" cm="1">
        <f t="array" aca="1" ref="I644" ca="1">IFERROR(
    INDIRECT(
        "RawData!" &amp;
        ADDRESS(
            COUNTA(RawData!A:A),
            MATCH(
                TRIM(MID(A644, SEARCH(". ", A644) + 2, LEN(A644))) &amp; ".Import_kWh",
                RawData!$1:$1,
                0
            ),
            4
        )
    ),
    0
)</f>
        <v>0</v>
      </c>
      <c r="J644" s="666">
        <f ca="1">(I644-H644)*C644</f>
        <v>0</v>
      </c>
      <c r="K644" s="667">
        <f ca="1">J644</f>
        <v>0</v>
      </c>
      <c r="L644" s="840" t="e">
        <f ca="1">K644/J644</f>
        <v>#DIV/0!</v>
      </c>
      <c r="M644" s="705"/>
      <c r="N644" s="687"/>
      <c r="O644" s="687"/>
      <c r="P644" s="800"/>
      <c r="Q644" s="917"/>
      <c r="R644" s="918">
        <f ca="1">K644</f>
        <v>0</v>
      </c>
    </row>
    <row r="645" spans="1:61" ht="15.95" customHeight="1">
      <c r="A645" s="1136" t="s">
        <v>996</v>
      </c>
      <c r="B645" s="800"/>
      <c r="C645" s="800"/>
      <c r="D645" s="800"/>
      <c r="E645" s="1089"/>
      <c r="F645" s="595"/>
      <c r="G645" s="595"/>
      <c r="H645" s="594"/>
      <c r="I645" s="594"/>
      <c r="J645" s="666"/>
      <c r="K645" s="667"/>
      <c r="L645" s="840"/>
      <c r="M645" s="705"/>
      <c r="N645" s="687"/>
      <c r="O645" s="687"/>
      <c r="P645" s="800"/>
      <c r="Q645" s="917"/>
      <c r="R645" s="918"/>
      <c r="S645" s="114"/>
      <c r="T645" s="115"/>
    </row>
    <row r="646" spans="1:61" ht="15.95" customHeight="1">
      <c r="A646" s="910" t="s">
        <v>997</v>
      </c>
      <c r="B646" s="911" t="s">
        <v>545</v>
      </c>
      <c r="C646" s="643">
        <v>1</v>
      </c>
      <c r="D646" s="785" t="s">
        <v>47</v>
      </c>
      <c r="E646" s="786"/>
      <c r="F646" s="785" t="s">
        <v>48</v>
      </c>
      <c r="G646" s="786" t="s">
        <v>49</v>
      </c>
      <c r="H646" s="766" cm="1">
        <f t="array" aca="1" ref="H646" ca="1">IFERROR(
    INDIRECT(
        "RawData!" &amp;
        ADDRESS(
            2,
            MATCH(
                TRIM(MID(A646, SEARCH(". ", A646) + 2, LEN(A646))) &amp; ".Import_kWh",
                RawData!$1:$1,
                0
            ),
            4
        )
    ),
    0
)</f>
        <v>0</v>
      </c>
      <c r="I646" s="766" cm="1">
        <f t="array" aca="1" ref="I646" ca="1">IFERROR(
    INDIRECT(
        "RawData!" &amp;
        ADDRESS(
            COUNTA(RawData!A:A),
            MATCH(
                TRIM(MID(A646, SEARCH(". ", A646) + 2, LEN(A646))) &amp; ".Import_kWh",
                RawData!$1:$1,
                0
            ),
            4
        )
    ),
    0
)</f>
        <v>0</v>
      </c>
      <c r="J646" s="646">
        <f ca="1">(I646-H646)*C646</f>
        <v>0</v>
      </c>
      <c r="K646" s="647" t="e">
        <f ca="1">J646*J$777/(J$5+J$65+J$72+J$81+J$89+J$138+J$212+J$285+J$306+J$373+J$388+J$396+J$397+J$450+J$463+J$471+J$513+J$564+J$603+J$646)</f>
        <v>#DIV/0!</v>
      </c>
      <c r="L646" s="912" t="e">
        <f ca="1">K646/J646</f>
        <v>#DIV/0!</v>
      </c>
      <c r="M646" s="649" t="e">
        <f ca="1">SUM(R647:R765)</f>
        <v>#DIV/0!</v>
      </c>
      <c r="N646" s="650"/>
      <c r="O646" s="650"/>
      <c r="P646" s="564"/>
      <c r="Q646" s="565"/>
      <c r="R646" s="566"/>
      <c r="S646" s="114"/>
      <c r="T646" s="115"/>
    </row>
    <row r="647" spans="1:61" ht="15.95" customHeight="1">
      <c r="A647" s="1090" t="s">
        <v>998</v>
      </c>
      <c r="B647" s="940" t="s">
        <v>64</v>
      </c>
      <c r="C647" s="940">
        <v>1</v>
      </c>
      <c r="D647" s="1017" t="s">
        <v>47</v>
      </c>
      <c r="E647" s="654"/>
      <c r="F647" s="1017" t="s">
        <v>48</v>
      </c>
      <c r="G647" s="654" t="s">
        <v>49</v>
      </c>
      <c r="H647" s="655" cm="1">
        <f t="array" aca="1" ref="H647" ca="1">IFERROR(
    INDIRECT(
        "RawData!" &amp;
        ADDRESS(
            2,
            MATCH(
                TRIM(MID(A647, SEARCH(". ", A647) + 2, LEN(A647))) &amp; ".Import_kWh",
                RawData!$1:$1,
                0
            ),
            4
        )
    ),
    0
)</f>
        <v>0</v>
      </c>
      <c r="I647" s="655" cm="1">
        <f t="array" aca="1" ref="I647" ca="1">IFERROR(
    INDIRECT(
        "RawData!" &amp;
        ADDRESS(
            COUNTA(RawData!A:A),
            MATCH(
                TRIM(MID(A647, SEARCH(". ", A647) + 2, LEN(A647))) &amp; ".Import_kWh",
                RawData!$1:$1,
                0
            ),
            4
        )
    ),
    0
)</f>
        <v>0</v>
      </c>
      <c r="J647" s="656">
        <f ca="1">(I647-H647)*C647</f>
        <v>0</v>
      </c>
      <c r="K647" s="657" t="e">
        <f ca="1">J647*K$646/(J$647+J$668+J$685+J$708+J$709+J$710+J$711+J$730+J$731+J$747+J$748+J$750+J$752+J$754+J$756+J$760+J$763+J$765)</f>
        <v>#DIV/0!</v>
      </c>
      <c r="L647" s="581" t="e">
        <f ca="1">K647/J647</f>
        <v>#DIV/0!</v>
      </c>
      <c r="M647" s="1137" t="e">
        <f ca="1">R650+R653+R654+R655+R656+R649+R658+R660</f>
        <v>#DIV/0!</v>
      </c>
      <c r="N647" s="1138"/>
      <c r="O647" s="1138"/>
      <c r="P647" s="940"/>
      <c r="Q647" s="567"/>
      <c r="R647" s="1139"/>
      <c r="S647" s="114"/>
      <c r="T647" s="115"/>
    </row>
    <row r="648" spans="1:61" ht="15.95" customHeight="1">
      <c r="A648" s="555" t="s">
        <v>999</v>
      </c>
      <c r="B648" s="595"/>
      <c r="C648" s="595">
        <v>1</v>
      </c>
      <c r="D648" s="671"/>
      <c r="E648" s="671"/>
      <c r="F648" s="671"/>
      <c r="G648" s="671"/>
      <c r="H648" s="665" cm="1">
        <f t="array" aca="1" ref="H648" ca="1">IFERROR(
    INDIRECT(
        "RawData!" &amp;
        ADDRESS(
            2,
            MATCH(
                TRIM(MID(A648, SEARCH(". ", A648) + 2, LEN(A648))) &amp; ".Import_kWh",
                RawData!$1:$1,
                0
            ),
            4
        )
    ),
    0
)</f>
        <v>0</v>
      </c>
      <c r="I648" s="665" cm="1">
        <f t="array" aca="1" ref="I648" ca="1">IFERROR(
    INDIRECT(
        "RawData!" &amp;
        ADDRESS(
            COUNTA(RawData!A:A),
            MATCH(
                TRIM(MID(A648, SEARCH(". ", A648) + 2, LEN(A648))) &amp; ".Import_kWh",
                RawData!$1:$1,
                0
            ),
            4
        )
    ),
    0
)</f>
        <v>0</v>
      </c>
      <c r="J648" s="666">
        <f ca="1">(I648-H648)*C648</f>
        <v>0</v>
      </c>
      <c r="K648" s="667">
        <f ca="1">J648</f>
        <v>0</v>
      </c>
      <c r="L648" s="840" t="e">
        <f ca="1">K648/J648</f>
        <v>#DIV/0!</v>
      </c>
      <c r="M648" s="570"/>
      <c r="N648" s="669"/>
      <c r="O648" s="669"/>
      <c r="P648" s="800"/>
      <c r="Q648" s="563"/>
      <c r="R648" s="569"/>
      <c r="S648" s="114"/>
      <c r="T648" s="115"/>
    </row>
    <row r="649" spans="1:61" ht="15.95" customHeight="1">
      <c r="A649" s="1140" t="s">
        <v>1000</v>
      </c>
      <c r="B649" s="595"/>
      <c r="C649" s="671"/>
      <c r="D649" s="671"/>
      <c r="E649" s="671"/>
      <c r="F649" s="671"/>
      <c r="G649" s="671"/>
      <c r="H649" s="594"/>
      <c r="I649" s="594"/>
      <c r="J649" s="673"/>
      <c r="K649" s="568"/>
      <c r="L649" s="840"/>
      <c r="M649" s="570">
        <f>0.8+12+2.4</f>
        <v>15.200000000000001</v>
      </c>
      <c r="N649" s="669"/>
      <c r="O649" s="669"/>
      <c r="P649" s="954">
        <v>1</v>
      </c>
      <c r="Q649" s="563">
        <f>P649/(P$649+P$650)</f>
        <v>0.5</v>
      </c>
      <c r="R649" s="569">
        <f ca="1">K$648*Q649</f>
        <v>0</v>
      </c>
      <c r="S649" s="114" t="s">
        <v>401</v>
      </c>
      <c r="T649" s="115" t="s">
        <v>1001</v>
      </c>
    </row>
    <row r="650" spans="1:61" ht="15.95" customHeight="1">
      <c r="A650" s="555" t="s">
        <v>1146</v>
      </c>
      <c r="B650" s="595"/>
      <c r="C650" s="595"/>
      <c r="D650" s="595"/>
      <c r="E650" s="595"/>
      <c r="F650" s="595"/>
      <c r="G650" s="595"/>
      <c r="H650" s="594"/>
      <c r="I650" s="594"/>
      <c r="J650" s="675"/>
      <c r="K650" s="667"/>
      <c r="L650" s="1133"/>
      <c r="M650" s="570">
        <f>2.79+8.4</f>
        <v>11.190000000000001</v>
      </c>
      <c r="N650" s="669"/>
      <c r="O650" s="669"/>
      <c r="P650" s="954">
        <v>1</v>
      </c>
      <c r="Q650" s="563">
        <f>P650/(P$649+P$650)</f>
        <v>0.5</v>
      </c>
      <c r="R650" s="569">
        <f ca="1">K$648*Q650</f>
        <v>0</v>
      </c>
      <c r="S650" s="114" t="s">
        <v>401</v>
      </c>
      <c r="T650" s="115" t="s">
        <v>1001</v>
      </c>
    </row>
    <row r="651" spans="1:61" ht="15.95" customHeight="1">
      <c r="A651" s="555"/>
      <c r="B651" s="595"/>
      <c r="C651" s="595"/>
      <c r="D651" s="595"/>
      <c r="E651" s="595"/>
      <c r="F651" s="595"/>
      <c r="G651" s="595"/>
      <c r="H651" s="594"/>
      <c r="I651" s="594"/>
      <c r="J651" s="675"/>
      <c r="K651" s="667"/>
      <c r="L651" s="1133"/>
      <c r="M651" s="570"/>
      <c r="N651" s="669"/>
      <c r="O651" s="669"/>
      <c r="P651" s="800"/>
      <c r="Q651" s="563"/>
      <c r="R651" s="569"/>
      <c r="S651" s="114"/>
      <c r="T651" s="115"/>
    </row>
    <row r="652" spans="1:61" ht="15.95" customHeight="1">
      <c r="A652" s="555" t="s">
        <v>1002</v>
      </c>
      <c r="B652" s="595"/>
      <c r="C652" s="595">
        <v>1</v>
      </c>
      <c r="D652" s="1073" t="s">
        <v>47</v>
      </c>
      <c r="E652" s="595"/>
      <c r="F652" s="1073" t="s">
        <v>48</v>
      </c>
      <c r="G652" s="595" t="s">
        <v>49</v>
      </c>
      <c r="H652" s="724"/>
      <c r="I652" s="724"/>
      <c r="J652" s="666"/>
      <c r="K652" s="667"/>
      <c r="L652" s="840"/>
      <c r="M652" s="677"/>
      <c r="N652" s="669"/>
      <c r="O652" s="669"/>
      <c r="P652" s="568"/>
      <c r="Q652" s="563"/>
      <c r="R652" s="569"/>
    </row>
    <row r="653" spans="1:61" ht="15.95" customHeight="1">
      <c r="A653" s="555" t="s">
        <v>1003</v>
      </c>
      <c r="B653" s="595"/>
      <c r="C653" s="595"/>
      <c r="D653" s="595"/>
      <c r="E653" s="595"/>
      <c r="F653" s="595"/>
      <c r="G653" s="595"/>
      <c r="H653" s="594"/>
      <c r="I653" s="594"/>
      <c r="J653" s="666"/>
      <c r="K653" s="667" t="e">
        <f ca="1">K647-(K648+K658+K660)</f>
        <v>#DIV/0!</v>
      </c>
      <c r="L653" s="1133"/>
      <c r="M653" s="570">
        <f>12+(9.6+1.7)/2</f>
        <v>17.649999999999999</v>
      </c>
      <c r="N653" s="669">
        <v>34</v>
      </c>
      <c r="O653" s="669">
        <v>38</v>
      </c>
      <c r="P653" s="954">
        <f>M653*O653</f>
        <v>670.69999999999993</v>
      </c>
      <c r="Q653" s="563">
        <f>P653/(P$653+P$654+P$655+P$656)</f>
        <v>0.24310413570625972</v>
      </c>
      <c r="R653" s="569" t="e">
        <f ca="1">Q653*K$653</f>
        <v>#DIV/0!</v>
      </c>
      <c r="S653" s="114" t="s">
        <v>345</v>
      </c>
      <c r="T653" s="115" t="s">
        <v>391</v>
      </c>
    </row>
    <row r="654" spans="1:61" ht="15.95" customHeight="1">
      <c r="A654" s="555" t="s">
        <v>1004</v>
      </c>
      <c r="B654" s="595"/>
      <c r="C654" s="595"/>
      <c r="D654" s="595"/>
      <c r="E654" s="595"/>
      <c r="F654" s="595"/>
      <c r="G654" s="595"/>
      <c r="H654" s="594"/>
      <c r="I654" s="594"/>
      <c r="J654" s="666"/>
      <c r="K654" s="667"/>
      <c r="L654" s="1133"/>
      <c r="M654" s="570">
        <f>14.4+(9.6+1.7)/2</f>
        <v>20.05</v>
      </c>
      <c r="N654" s="669">
        <v>33</v>
      </c>
      <c r="O654" s="669">
        <v>38</v>
      </c>
      <c r="P654" s="954">
        <f>M654*O654</f>
        <v>761.9</v>
      </c>
      <c r="Q654" s="563">
        <f>P654/(P$653+P$654+P$655+P$656)</f>
        <v>0.27616078872014205</v>
      </c>
      <c r="R654" s="569" t="e">
        <f ca="1">Q654*K$653</f>
        <v>#DIV/0!</v>
      </c>
      <c r="S654" s="114" t="s">
        <v>345</v>
      </c>
      <c r="T654" s="115" t="s">
        <v>394</v>
      </c>
    </row>
    <row r="655" spans="1:61" ht="15.95" customHeight="1">
      <c r="A655" s="555" t="s">
        <v>1005</v>
      </c>
      <c r="B655" s="595"/>
      <c r="C655" s="595"/>
      <c r="D655" s="595"/>
      <c r="E655" s="595"/>
      <c r="F655" s="595"/>
      <c r="G655" s="595"/>
      <c r="H655" s="594"/>
      <c r="I655" s="594"/>
      <c r="J655" s="675"/>
      <c r="K655" s="568"/>
      <c r="L655" s="1133"/>
      <c r="M655" s="570">
        <v>20.96</v>
      </c>
      <c r="N655" s="669">
        <v>26</v>
      </c>
      <c r="O655" s="669">
        <v>30</v>
      </c>
      <c r="P655" s="800">
        <f>M655*O655</f>
        <v>628.80000000000007</v>
      </c>
      <c r="Q655" s="563">
        <f>P655/(P$653+P$654+P$655+P$656)</f>
        <v>0.2279169234115046</v>
      </c>
      <c r="R655" s="569" t="e">
        <f ca="1">Q655*K$653</f>
        <v>#DIV/0!</v>
      </c>
      <c r="S655" s="114" t="s">
        <v>345</v>
      </c>
      <c r="T655" s="115" t="s">
        <v>391</v>
      </c>
    </row>
    <row r="656" spans="1:61" ht="15.95" customHeight="1">
      <c r="A656" s="555" t="s">
        <v>1006</v>
      </c>
      <c r="B656" s="595"/>
      <c r="C656" s="595"/>
      <c r="D656" s="595"/>
      <c r="E656" s="595"/>
      <c r="F656" s="595"/>
      <c r="G656" s="595"/>
      <c r="H656" s="594"/>
      <c r="I656" s="594"/>
      <c r="J656" s="675"/>
      <c r="K656" s="667"/>
      <c r="L656" s="1133"/>
      <c r="M656" s="570">
        <f>17.6+(9.6+1.7)/2</f>
        <v>23.25</v>
      </c>
      <c r="N656" s="669">
        <v>25</v>
      </c>
      <c r="O656" s="669">
        <v>30</v>
      </c>
      <c r="P656" s="800">
        <f>M656*O656</f>
        <v>697.5</v>
      </c>
      <c r="Q656" s="563">
        <f>P656/(P$653+P$654+P$655+P$656)</f>
        <v>0.25281815216209358</v>
      </c>
      <c r="R656" s="569" t="e">
        <f ca="1">Q656*K$653</f>
        <v>#DIV/0!</v>
      </c>
      <c r="S656" s="114" t="s">
        <v>345</v>
      </c>
      <c r="T656" s="115" t="s">
        <v>391</v>
      </c>
    </row>
    <row r="657" spans="1:61" ht="15.95" customHeight="1">
      <c r="A657" s="555"/>
      <c r="B657" s="595"/>
      <c r="C657" s="595"/>
      <c r="D657" s="595"/>
      <c r="E657" s="595"/>
      <c r="F657" s="595"/>
      <c r="G657" s="595"/>
      <c r="H657" s="594"/>
      <c r="I657" s="594"/>
      <c r="J657" s="675"/>
      <c r="K657" s="667"/>
      <c r="L657" s="1133"/>
      <c r="M657" s="570"/>
      <c r="N657" s="669"/>
      <c r="O657" s="669"/>
      <c r="P657" s="800"/>
      <c r="Q657" s="563"/>
      <c r="R657" s="569"/>
      <c r="S657" s="114"/>
      <c r="T657" s="115"/>
    </row>
    <row r="658" spans="1:61" ht="15.95" customHeight="1">
      <c r="A658" s="555" t="s">
        <v>1007</v>
      </c>
      <c r="B658" s="595"/>
      <c r="C658" s="595">
        <v>1</v>
      </c>
      <c r="D658" s="1073" t="s">
        <v>47</v>
      </c>
      <c r="E658" s="595"/>
      <c r="F658" s="1073" t="s">
        <v>243</v>
      </c>
      <c r="G658" s="595" t="s">
        <v>49</v>
      </c>
      <c r="H658" s="665" cm="1">
        <f t="array" aca="1" ref="H658" ca="1">IFERROR(
    INDIRECT(
        "RawData!" &amp;
        ADDRESS(
            2,
            MATCH(
                TRIM(MID(A658, SEARCH(". ", A658) + 2, LEN(A658))) &amp; ".Import_kWh",
                RawData!$1:$1,
                0
            ),
            4
        )
    ),
    0
)</f>
        <v>0</v>
      </c>
      <c r="I658" s="665" cm="1">
        <f t="array" aca="1" ref="I658" ca="1">IFERROR(
    INDIRECT(
        "RawData!" &amp;
        ADDRESS(
            COUNTA(RawData!A:A),
            MATCH(
                TRIM(MID(A658, SEARCH(". ", A658) + 2, LEN(A658))) &amp; ".Import_kWh",
                RawData!$1:$1,
                0
            ),
            4
        )
    ),
    0
)</f>
        <v>0</v>
      </c>
      <c r="J658" s="673">
        <f ca="1">(I658-H658)*C658</f>
        <v>0</v>
      </c>
      <c r="K658" s="667">
        <f ca="1">J658</f>
        <v>0</v>
      </c>
      <c r="L658" s="1133"/>
      <c r="M658" s="570"/>
      <c r="N658" s="669"/>
      <c r="O658" s="669"/>
      <c r="P658" s="800"/>
      <c r="Q658" s="563"/>
      <c r="R658" s="569">
        <f ca="1">K658</f>
        <v>0</v>
      </c>
      <c r="S658" s="114" t="s">
        <v>422</v>
      </c>
      <c r="T658" s="115" t="s">
        <v>423</v>
      </c>
    </row>
    <row r="659" spans="1:61" ht="15.95" customHeight="1">
      <c r="A659" s="555"/>
      <c r="B659" s="595"/>
      <c r="C659" s="595"/>
      <c r="D659" s="1073"/>
      <c r="E659" s="595"/>
      <c r="F659" s="1073"/>
      <c r="G659" s="595"/>
      <c r="H659" s="594"/>
      <c r="I659" s="594"/>
      <c r="J659" s="673"/>
      <c r="K659" s="667"/>
      <c r="L659" s="1133"/>
      <c r="M659" s="570"/>
      <c r="N659" s="669"/>
      <c r="O659" s="669"/>
      <c r="P659" s="800"/>
      <c r="Q659" s="563"/>
      <c r="R659" s="569"/>
      <c r="S659" s="114"/>
      <c r="T659" s="115"/>
    </row>
    <row r="660" spans="1:61" ht="15.95" customHeight="1">
      <c r="A660" s="555" t="s">
        <v>1240</v>
      </c>
      <c r="B660" s="1141"/>
      <c r="C660" s="595">
        <v>1</v>
      </c>
      <c r="D660" s="1073" t="s">
        <v>47</v>
      </c>
      <c r="E660" s="595"/>
      <c r="F660" s="1073" t="s">
        <v>48</v>
      </c>
      <c r="G660" s="595" t="s">
        <v>49</v>
      </c>
      <c r="H660" s="665" cm="1">
        <f t="array" aca="1" ref="H660" ca="1">IFERROR(
    INDIRECT(
        "RawData!" &amp;
        ADDRESS(
            2,
            MATCH(
                TRIM(MID(A660, SEARCH(". ", A660) + 2, LEN(A660))) &amp; ".Import_kWh",
                RawData!$1:$1,
                0
            ),
            4
        )
    ),
    0
)</f>
        <v>0</v>
      </c>
      <c r="I660" s="665" cm="1">
        <f t="array" aca="1" ref="I660" ca="1">IFERROR(
    INDIRECT(
        "RawData!" &amp;
        ADDRESS(
            COUNTA(RawData!A:A),
            MATCH(
                TRIM(MID(A660, SEARCH(". ", A660) + 2, LEN(A660))) &amp; ".Import_kWh",
                RawData!$1:$1,
                0
            ),
            4
        )
    ),
    0
)</f>
        <v>0</v>
      </c>
      <c r="J660" s="666">
        <f ca="1">(I660-H660)*C660</f>
        <v>0</v>
      </c>
      <c r="K660" s="667">
        <f ca="1">J660</f>
        <v>0</v>
      </c>
      <c r="L660" s="1133"/>
      <c r="M660" s="570"/>
      <c r="N660" s="669"/>
      <c r="O660" s="669"/>
      <c r="P660" s="800"/>
      <c r="Q660" s="563"/>
      <c r="R660" s="569">
        <f ca="1">K660</f>
        <v>0</v>
      </c>
      <c r="S660" s="114"/>
      <c r="T660" s="115"/>
    </row>
    <row r="661" spans="1:61" ht="15.95" customHeight="1">
      <c r="A661" s="555" t="s">
        <v>1008</v>
      </c>
      <c r="B661" s="595"/>
      <c r="C661" s="1141" t="s">
        <v>1009</v>
      </c>
      <c r="D661" s="1073"/>
      <c r="E661" s="595"/>
      <c r="F661" s="1073"/>
      <c r="G661" s="595"/>
      <c r="H661" s="594"/>
      <c r="I661" s="594"/>
      <c r="J661" s="673"/>
      <c r="K661" s="667"/>
      <c r="L661" s="1133"/>
      <c r="M661" s="570"/>
      <c r="N661" s="669"/>
      <c r="O661" s="669"/>
      <c r="P661" s="800"/>
      <c r="Q661" s="563"/>
      <c r="R661" s="569"/>
      <c r="S661" s="114"/>
      <c r="T661" s="115"/>
    </row>
    <row r="662" spans="1:61" ht="15.95" customHeight="1">
      <c r="A662" s="555" t="s">
        <v>1010</v>
      </c>
      <c r="B662" s="595"/>
      <c r="C662" s="595"/>
      <c r="D662" s="1073"/>
      <c r="E662" s="595"/>
      <c r="F662" s="1073"/>
      <c r="G662" s="595"/>
      <c r="H662" s="594"/>
      <c r="I662" s="594"/>
      <c r="J662" s="673"/>
      <c r="K662" s="667"/>
      <c r="L662" s="1133"/>
      <c r="M662" s="570"/>
      <c r="N662" s="669"/>
      <c r="O662" s="669"/>
      <c r="P662" s="800"/>
      <c r="Q662" s="563"/>
      <c r="R662" s="569"/>
    </row>
    <row r="663" spans="1:61" ht="15.95" customHeight="1">
      <c r="A663" s="555" t="s">
        <v>1011</v>
      </c>
      <c r="B663" s="595"/>
      <c r="C663" s="595"/>
      <c r="D663" s="1073"/>
      <c r="E663" s="595"/>
      <c r="F663" s="1073"/>
      <c r="G663" s="595"/>
      <c r="H663" s="594"/>
      <c r="I663" s="594"/>
      <c r="J663" s="673"/>
      <c r="K663" s="667"/>
      <c r="L663" s="1133"/>
      <c r="M663" s="570"/>
      <c r="N663" s="669"/>
      <c r="O663" s="669"/>
      <c r="P663" s="800"/>
      <c r="Q663" s="563"/>
      <c r="R663" s="569"/>
      <c r="S663" s="114"/>
      <c r="T663" s="115"/>
    </row>
    <row r="664" spans="1:61" ht="15.95" customHeight="1">
      <c r="A664" s="555"/>
      <c r="B664" s="595"/>
      <c r="C664" s="595"/>
      <c r="D664" s="595"/>
      <c r="E664" s="595"/>
      <c r="F664" s="595"/>
      <c r="G664" s="595"/>
      <c r="H664" s="594"/>
      <c r="I664" s="594"/>
      <c r="J664" s="675"/>
      <c r="K664" s="667"/>
      <c r="L664" s="312"/>
      <c r="M664" s="570"/>
      <c r="N664" s="717"/>
      <c r="O664" s="717"/>
      <c r="P664" s="570"/>
      <c r="Q664" s="563"/>
      <c r="R664" s="569"/>
      <c r="S664" s="114"/>
      <c r="T664" s="115"/>
    </row>
    <row r="665" spans="1:61" ht="15.95" customHeight="1">
      <c r="A665" s="804" t="s">
        <v>1241</v>
      </c>
      <c r="B665" s="715"/>
      <c r="C665" s="696">
        <v>1</v>
      </c>
      <c r="D665" s="1027" t="s">
        <v>47</v>
      </c>
      <c r="E665" s="696"/>
      <c r="F665" s="1027" t="s">
        <v>48</v>
      </c>
      <c r="G665" s="696" t="s">
        <v>49</v>
      </c>
      <c r="H665" s="886" cm="1">
        <f t="array" aca="1" ref="H665" ca="1">IFERROR(
    INDIRECT(
        "RawData!" &amp;
        ADDRESS(
            2,
            MATCH(
                TRIM(MID(A665, SEARCH(". ", A665) + 2, LEN(A665))) &amp; ".Import_kWh",
                RawData!$1:$1,
                0
            ),
            4
        )
    ),
    0
)</f>
        <v>0</v>
      </c>
      <c r="I665" s="886" cm="1">
        <f t="array" aca="1" ref="I665" ca="1">IFERROR(
    INDIRECT(
        "RawData!" &amp;
        ADDRESS(
            COUNTA(RawData!A:A),
            MATCH(
                TRIM(MID(A665, SEARCH(". ", A665) + 2, LEN(A665))) &amp; ".Import_kWh",
                RawData!$1:$1,
                0
            ),
            4
        )
    ),
    0
)</f>
        <v>0</v>
      </c>
      <c r="J665" s="742">
        <f ca="1">(I665-H665)*C665</f>
        <v>0</v>
      </c>
      <c r="K665" s="743">
        <f ca="1">J665</f>
        <v>0</v>
      </c>
      <c r="L665" s="1142"/>
      <c r="M665" s="703"/>
      <c r="N665" s="887"/>
      <c r="O665" s="887"/>
      <c r="P665" s="888"/>
      <c r="Q665" s="571"/>
      <c r="R665" s="704"/>
      <c r="S665" s="114"/>
      <c r="T665" s="115"/>
    </row>
    <row r="666" spans="1:61" ht="15.95" customHeight="1">
      <c r="A666" s="1143" t="s">
        <v>1012</v>
      </c>
      <c r="B666" s="696"/>
      <c r="C666" s="715"/>
      <c r="D666" s="1027"/>
      <c r="E666" s="696"/>
      <c r="F666" s="1027"/>
      <c r="G666" s="696"/>
      <c r="H666" s="737"/>
      <c r="I666" s="737"/>
      <c r="J666" s="698"/>
      <c r="K666" s="743"/>
      <c r="L666" s="1142"/>
      <c r="M666" s="703"/>
      <c r="N666" s="887"/>
      <c r="O666" s="887"/>
      <c r="P666" s="888"/>
      <c r="Q666" s="571"/>
      <c r="R666" s="704"/>
    </row>
    <row r="667" spans="1:61" ht="15.95" customHeight="1">
      <c r="A667" s="555"/>
      <c r="B667" s="595"/>
      <c r="C667" s="1141"/>
      <c r="D667" s="1073"/>
      <c r="E667" s="595"/>
      <c r="F667" s="1073"/>
      <c r="G667" s="595"/>
      <c r="H667" s="594"/>
      <c r="I667" s="594"/>
      <c r="J667" s="673"/>
      <c r="K667" s="667"/>
      <c r="L667" s="1133"/>
      <c r="M667" s="570"/>
      <c r="N667" s="669"/>
      <c r="O667" s="669"/>
      <c r="P667" s="800"/>
      <c r="Q667" s="563"/>
      <c r="R667" s="569"/>
      <c r="S667" s="114"/>
      <c r="T667" s="115"/>
    </row>
    <row r="668" spans="1:61" ht="15.95" customHeight="1">
      <c r="A668" s="1090" t="s">
        <v>1242</v>
      </c>
      <c r="B668" s="654"/>
      <c r="C668" s="654">
        <v>1</v>
      </c>
      <c r="D668" s="654"/>
      <c r="E668" s="654"/>
      <c r="F668" s="654"/>
      <c r="G668" s="654"/>
      <c r="H668" s="655" cm="1">
        <f t="array" aca="1" ref="H668" ca="1">IFERROR(
    INDIRECT(
        "RawData!" &amp;
        ADDRESS(
            2,
            MATCH(
                TRIM(MID(A668, SEARCH(". ", A668) + 2, LEN(A668))) &amp; ".Import_kWh",
                RawData!$1:$1,
                0
            ),
            4
        )
    ),
    0
)</f>
        <v>0</v>
      </c>
      <c r="I668" s="655" cm="1">
        <f t="array" aca="1" ref="I668" ca="1">IFERROR(
    INDIRECT(
        "RawData!" &amp;
        ADDRESS(
            COUNTA(RawData!A:A),
            MATCH(
                TRIM(MID(A668, SEARCH(". ", A668) + 2, LEN(A668))) &amp; ".Import_kWh",
                RawData!$1:$1,
                0
            ),
            4
        )
    ),
    0
)</f>
        <v>0</v>
      </c>
      <c r="J668" s="680">
        <f ca="1">(I668-H668)*C668</f>
        <v>0</v>
      </c>
      <c r="K668" s="657" t="e">
        <f ca="1">J668*K$646/(J$647+J$668+J$685+J$708+J$709+J$710+J$711+J$730+J$731+J$747+J$748+J$750+J$752+J$754+J$756+J$760+J$763+J$765)</f>
        <v>#DIV/0!</v>
      </c>
      <c r="L668" s="581" t="e">
        <f ca="1">K668/J668</f>
        <v>#DIV/0!</v>
      </c>
      <c r="M668" s="657" t="e">
        <f ca="1">R669+R670+R671+R672+R676+R678+R679+R673+R674+R681</f>
        <v>#DIV/0!</v>
      </c>
      <c r="N668" s="660"/>
      <c r="O668" s="660"/>
      <c r="P668" s="572"/>
      <c r="Q668" s="567"/>
      <c r="R668" s="1139"/>
      <c r="S668" s="114"/>
      <c r="T668" s="115"/>
      <c r="BA668" s="553"/>
      <c r="BB668" s="553"/>
      <c r="BC668" s="553"/>
      <c r="BD668" s="553"/>
      <c r="BE668" s="554"/>
      <c r="BF668" s="554"/>
      <c r="BG668" s="554"/>
      <c r="BH668" s="554"/>
      <c r="BI668" s="554"/>
    </row>
    <row r="669" spans="1:61" ht="15.95" customHeight="1">
      <c r="A669" s="555" t="s">
        <v>1013</v>
      </c>
      <c r="B669" s="903" t="s">
        <v>1014</v>
      </c>
      <c r="C669" s="595"/>
      <c r="D669" s="595"/>
      <c r="E669" s="595"/>
      <c r="F669" s="595"/>
      <c r="G669" s="595"/>
      <c r="H669" s="594"/>
      <c r="I669" s="594"/>
      <c r="J669" s="675"/>
      <c r="K669" s="667" t="e">
        <f ca="1">K668-(K676+K681)</f>
        <v>#DIV/0!</v>
      </c>
      <c r="L669" s="840"/>
      <c r="M669" s="570">
        <v>10.51</v>
      </c>
      <c r="N669" s="669">
        <v>26</v>
      </c>
      <c r="O669" s="669">
        <v>34</v>
      </c>
      <c r="P669" s="800">
        <f t="shared" ref="P669:P674" si="99">M669*O669</f>
        <v>357.34</v>
      </c>
      <c r="Q669" s="563">
        <f t="shared" ref="Q669:Q674" si="100">P669/(P$669+P$670+P$671+P$672+P$673+P$674)</f>
        <v>0.11723214812967908</v>
      </c>
      <c r="R669" s="569" t="e">
        <f t="shared" ref="R669:R674" ca="1" si="101">K$669*Q669</f>
        <v>#DIV/0!</v>
      </c>
      <c r="S669" s="114" t="s">
        <v>345</v>
      </c>
      <c r="T669" s="115" t="s">
        <v>405</v>
      </c>
    </row>
    <row r="670" spans="1:61" ht="15.95" customHeight="1">
      <c r="A670" s="555" t="s">
        <v>1015</v>
      </c>
      <c r="B670" s="903" t="s">
        <v>1016</v>
      </c>
      <c r="C670" s="595"/>
      <c r="D670" s="595"/>
      <c r="E670" s="595"/>
      <c r="F670" s="595"/>
      <c r="G670" s="595"/>
      <c r="H670" s="594"/>
      <c r="I670" s="594"/>
      <c r="J670" s="675"/>
      <c r="K670" s="568"/>
      <c r="L670" s="840"/>
      <c r="M670" s="570">
        <v>9.6</v>
      </c>
      <c r="N670" s="669">
        <v>28</v>
      </c>
      <c r="O670" s="669">
        <v>33</v>
      </c>
      <c r="P670" s="800">
        <f t="shared" si="99"/>
        <v>316.8</v>
      </c>
      <c r="Q670" s="563">
        <f t="shared" si="100"/>
        <v>0.10393223408373632</v>
      </c>
      <c r="R670" s="569" t="e">
        <f t="shared" ca="1" si="101"/>
        <v>#DIV/0!</v>
      </c>
      <c r="S670" s="114" t="s">
        <v>345</v>
      </c>
      <c r="T670" s="115" t="s">
        <v>391</v>
      </c>
    </row>
    <row r="671" spans="1:61" s="449" customFormat="1" ht="15.95" customHeight="1">
      <c r="A671" s="555" t="s">
        <v>1017</v>
      </c>
      <c r="B671" s="903"/>
      <c r="C671" s="595"/>
      <c r="D671" s="595"/>
      <c r="E671" s="595"/>
      <c r="F671" s="595"/>
      <c r="G671" s="595"/>
      <c r="H671" s="594"/>
      <c r="I671" s="594"/>
      <c r="J671" s="675"/>
      <c r="K671" s="568"/>
      <c r="L671" s="840"/>
      <c r="M671" s="703">
        <v>30</v>
      </c>
      <c r="N671" s="669">
        <v>24</v>
      </c>
      <c r="O671" s="669">
        <v>33</v>
      </c>
      <c r="P671" s="800">
        <f t="shared" si="99"/>
        <v>990</v>
      </c>
      <c r="Q671" s="563">
        <f t="shared" si="100"/>
        <v>0.32478823151167596</v>
      </c>
      <c r="R671" s="569" t="e">
        <f t="shared" ca="1" si="101"/>
        <v>#DIV/0!</v>
      </c>
      <c r="S671" s="114" t="s">
        <v>345</v>
      </c>
      <c r="T671" s="115" t="s">
        <v>405</v>
      </c>
      <c r="U671" s="7"/>
      <c r="V671" s="7"/>
      <c r="W671" s="7"/>
      <c r="X671" s="7"/>
      <c r="Y671" s="7"/>
      <c r="Z671" s="7"/>
      <c r="AB671" s="22"/>
      <c r="AC671" s="7"/>
      <c r="AD671" s="7"/>
      <c r="AE671" s="7"/>
      <c r="AF671" s="7"/>
      <c r="AG671" s="7"/>
      <c r="AH671" s="7"/>
      <c r="AI671" s="7"/>
      <c r="AJ671" s="7"/>
      <c r="AK671" s="7"/>
      <c r="AL671" s="7"/>
      <c r="AM671" s="7"/>
      <c r="AN671" s="7"/>
      <c r="AO671" s="7"/>
      <c r="AP671" s="7"/>
      <c r="AQ671" s="7"/>
      <c r="AR671" s="7"/>
      <c r="AS671" s="7"/>
      <c r="AT671" s="7"/>
      <c r="AU671" s="49"/>
      <c r="AV671" s="7"/>
      <c r="AW671" s="7"/>
      <c r="BA671" s="67"/>
      <c r="BB671" s="67"/>
      <c r="BC671" s="67"/>
      <c r="BD671" s="67"/>
      <c r="BE671" s="68"/>
      <c r="BF671" s="68"/>
      <c r="BG671" s="68"/>
      <c r="BH671" s="68"/>
      <c r="BI671" s="68"/>
    </row>
    <row r="672" spans="1:61" s="449" customFormat="1" ht="15.95" customHeight="1">
      <c r="A672" s="555" t="s">
        <v>1018</v>
      </c>
      <c r="B672" s="903"/>
      <c r="C672" s="595"/>
      <c r="D672" s="595"/>
      <c r="E672" s="595"/>
      <c r="F672" s="595"/>
      <c r="G672" s="595"/>
      <c r="H672" s="594"/>
      <c r="I672" s="594"/>
      <c r="J672" s="675"/>
      <c r="K672" s="568"/>
      <c r="L672" s="840"/>
      <c r="M672" s="703">
        <v>18.5</v>
      </c>
      <c r="N672" s="669">
        <v>24</v>
      </c>
      <c r="O672" s="669">
        <v>32</v>
      </c>
      <c r="P672" s="800">
        <f t="shared" si="99"/>
        <v>592</v>
      </c>
      <c r="Q672" s="563">
        <f t="shared" si="100"/>
        <v>0.19421680106556785</v>
      </c>
      <c r="R672" s="569" t="e">
        <f t="shared" ca="1" si="101"/>
        <v>#DIV/0!</v>
      </c>
      <c r="S672" s="114" t="s">
        <v>345</v>
      </c>
      <c r="T672" s="115" t="s">
        <v>391</v>
      </c>
      <c r="U672" s="7"/>
      <c r="V672" s="7"/>
      <c r="W672" s="7"/>
      <c r="X672" s="7"/>
      <c r="Y672" s="7"/>
      <c r="Z672" s="7"/>
      <c r="AB672" s="22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  <c r="AN672" s="7"/>
      <c r="AO672" s="7"/>
      <c r="AP672" s="7"/>
      <c r="AQ672" s="7"/>
      <c r="AR672" s="7"/>
      <c r="AS672" s="7"/>
      <c r="AT672" s="7"/>
      <c r="AU672" s="49"/>
      <c r="AV672" s="7"/>
      <c r="AW672" s="7"/>
      <c r="BA672" s="67"/>
      <c r="BB672" s="67"/>
      <c r="BC672" s="67"/>
      <c r="BD672" s="67"/>
      <c r="BE672" s="68"/>
      <c r="BF672" s="68"/>
      <c r="BG672" s="68"/>
      <c r="BH672" s="68"/>
      <c r="BI672" s="68"/>
    </row>
    <row r="673" spans="1:61" s="449" customFormat="1" ht="15.95" customHeight="1">
      <c r="A673" s="555" t="s">
        <v>1019</v>
      </c>
      <c r="B673" s="595"/>
      <c r="C673" s="595"/>
      <c r="D673" s="595"/>
      <c r="E673" s="595"/>
      <c r="F673" s="595"/>
      <c r="G673" s="595"/>
      <c r="H673" s="594"/>
      <c r="I673" s="594"/>
      <c r="J673" s="673"/>
      <c r="K673" s="568"/>
      <c r="L673" s="840"/>
      <c r="M673" s="570">
        <v>12</v>
      </c>
      <c r="N673" s="669">
        <v>35</v>
      </c>
      <c r="O673" s="669">
        <v>34</v>
      </c>
      <c r="P673" s="800">
        <f t="shared" si="99"/>
        <v>408</v>
      </c>
      <c r="Q673" s="563">
        <f t="shared" si="100"/>
        <v>0.13385211965329677</v>
      </c>
      <c r="R673" s="569" t="e">
        <f t="shared" ca="1" si="101"/>
        <v>#DIV/0!</v>
      </c>
      <c r="S673" s="114" t="s">
        <v>345</v>
      </c>
      <c r="T673" s="115" t="s">
        <v>391</v>
      </c>
      <c r="U673" s="7"/>
      <c r="V673" s="7"/>
      <c r="W673" s="7"/>
      <c r="X673" s="7"/>
      <c r="Y673" s="7"/>
      <c r="Z673" s="7"/>
      <c r="AB673" s="22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  <c r="AN673" s="7"/>
      <c r="AO673" s="7"/>
      <c r="AP673" s="7"/>
      <c r="AQ673" s="7"/>
      <c r="AR673" s="7"/>
      <c r="AS673" s="7"/>
      <c r="AT673" s="7"/>
      <c r="AU673" s="49"/>
      <c r="AV673" s="7"/>
      <c r="AW673" s="7"/>
      <c r="BA673" s="67"/>
      <c r="BB673" s="67"/>
      <c r="BC673" s="67"/>
      <c r="BD673" s="67"/>
      <c r="BE673" s="68"/>
      <c r="BF673" s="68"/>
      <c r="BG673" s="68"/>
      <c r="BH673" s="68"/>
      <c r="BI673" s="68"/>
    </row>
    <row r="674" spans="1:61" s="449" customFormat="1" ht="15.95" customHeight="1">
      <c r="A674" s="555" t="s">
        <v>1020</v>
      </c>
      <c r="B674" s="595"/>
      <c r="C674" s="595"/>
      <c r="D674" s="595"/>
      <c r="E674" s="595"/>
      <c r="F674" s="595"/>
      <c r="G674" s="595"/>
      <c r="H674" s="594"/>
      <c r="I674" s="594"/>
      <c r="J674" s="673"/>
      <c r="K674" s="568"/>
      <c r="L674" s="840"/>
      <c r="M674" s="570">
        <v>12</v>
      </c>
      <c r="N674" s="669">
        <v>36</v>
      </c>
      <c r="O674" s="669">
        <v>32</v>
      </c>
      <c r="P674" s="800">
        <f t="shared" si="99"/>
        <v>384</v>
      </c>
      <c r="Q674" s="563">
        <f t="shared" si="100"/>
        <v>0.12597846555604403</v>
      </c>
      <c r="R674" s="569" t="e">
        <f t="shared" ca="1" si="101"/>
        <v>#DIV/0!</v>
      </c>
      <c r="S674" s="114" t="s">
        <v>345</v>
      </c>
      <c r="T674" s="115" t="s">
        <v>391</v>
      </c>
      <c r="U674" s="7"/>
      <c r="V674" s="7"/>
      <c r="W674" s="7"/>
      <c r="X674" s="7"/>
      <c r="Y674" s="7"/>
      <c r="Z674" s="7"/>
      <c r="AB674" s="22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  <c r="AN674" s="7"/>
      <c r="AO674" s="7"/>
      <c r="AP674" s="7"/>
      <c r="AQ674" s="7"/>
      <c r="AR674" s="7"/>
      <c r="AS674" s="7"/>
      <c r="AT674" s="7"/>
      <c r="AU674" s="49"/>
      <c r="AV674" s="7"/>
      <c r="AW674" s="7"/>
      <c r="BA674" s="67"/>
      <c r="BB674" s="67"/>
      <c r="BC674" s="67"/>
      <c r="BD674" s="67"/>
      <c r="BE674" s="68"/>
      <c r="BF674" s="68"/>
      <c r="BG674" s="68"/>
      <c r="BH674" s="68"/>
      <c r="BI674" s="68"/>
    </row>
    <row r="675" spans="1:61" s="449" customFormat="1" ht="15.95" customHeight="1">
      <c r="A675" s="555" t="s">
        <v>1021</v>
      </c>
      <c r="B675" s="903"/>
      <c r="C675" s="595"/>
      <c r="D675" s="595"/>
      <c r="E675" s="595"/>
      <c r="F675" s="595"/>
      <c r="G675" s="595"/>
      <c r="H675" s="594"/>
      <c r="I675" s="594"/>
      <c r="J675" s="675"/>
      <c r="K675" s="568"/>
      <c r="L675" s="801"/>
      <c r="M675" s="570"/>
      <c r="N675" s="669"/>
      <c r="O675" s="669"/>
      <c r="P675" s="800"/>
      <c r="Q675" s="563"/>
      <c r="R675" s="569"/>
      <c r="S675" s="114"/>
      <c r="T675" s="115"/>
      <c r="U675" s="7"/>
      <c r="V675" s="7"/>
      <c r="W675" s="7"/>
      <c r="X675" s="7"/>
      <c r="Y675" s="7"/>
      <c r="Z675" s="7"/>
      <c r="AB675" s="22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  <c r="AN675" s="7"/>
      <c r="AO675" s="7"/>
      <c r="AP675" s="7"/>
      <c r="AQ675" s="7"/>
      <c r="AR675" s="7"/>
      <c r="AS675" s="7"/>
      <c r="AT675" s="7"/>
      <c r="AU675" s="49"/>
      <c r="AV675" s="7"/>
      <c r="AW675" s="7"/>
      <c r="BA675" s="67"/>
      <c r="BB675" s="67"/>
      <c r="BC675" s="67"/>
      <c r="BD675" s="67"/>
      <c r="BE675" s="68"/>
      <c r="BF675" s="68"/>
      <c r="BG675" s="68"/>
      <c r="BH675" s="68"/>
      <c r="BI675" s="68"/>
    </row>
    <row r="676" spans="1:61" s="449" customFormat="1" ht="15.95" customHeight="1">
      <c r="A676" s="555" t="s">
        <v>1022</v>
      </c>
      <c r="B676" s="671"/>
      <c r="C676" s="595">
        <v>1</v>
      </c>
      <c r="D676" s="595"/>
      <c r="E676" s="595"/>
      <c r="F676" s="595"/>
      <c r="G676" s="595"/>
      <c r="H676" s="665" cm="1">
        <f t="array" aca="1" ref="H676" ca="1">IFERROR(
    INDIRECT(
        "RawData!" &amp;
        ADDRESS(
            2,
            MATCH(
                TRIM(MID(A675, SEARCH(". ", A675) + 2, LEN(A675))) &amp; ".Import_kWh",
                RawData!$1:$1,
                0
            ),
            4
        )
    ),
    0
)</f>
        <v>0</v>
      </c>
      <c r="I676" s="665" cm="1">
        <f t="array" aca="1" ref="I676" ca="1">IFERROR(
    INDIRECT(
        "RawData!" &amp;
        ADDRESS(
            COUNTA(RawData!A:A),
            MATCH(
                TRIM(MID(A676, SEARCH(". ", A676) + 2, LEN(A676))) &amp; ".Import_kWh",
                RawData!$1:$1,
                0
            ),
            4
        )
    ),
    0
)</f>
        <v>0</v>
      </c>
      <c r="J676" s="666">
        <f ca="1">(I676-H676)*C676</f>
        <v>0</v>
      </c>
      <c r="K676" s="667">
        <f ca="1">J676</f>
        <v>0</v>
      </c>
      <c r="L676" s="840"/>
      <c r="M676" s="570">
        <f>17.6+0.8</f>
        <v>18.400000000000002</v>
      </c>
      <c r="N676" s="887">
        <v>28</v>
      </c>
      <c r="O676" s="887">
        <v>34</v>
      </c>
      <c r="P676" s="800">
        <f>M676*O676</f>
        <v>625.6</v>
      </c>
      <c r="Q676" s="563">
        <f>P676/(P$676+P$678)</f>
        <v>0.58115338882282996</v>
      </c>
      <c r="R676" s="569">
        <f ca="1">K$676*Q676</f>
        <v>0</v>
      </c>
      <c r="S676" s="114" t="s">
        <v>401</v>
      </c>
      <c r="T676" s="115" t="s">
        <v>1001</v>
      </c>
      <c r="U676" s="7"/>
      <c r="V676" s="7"/>
      <c r="W676" s="7"/>
      <c r="X676" s="7"/>
      <c r="Y676" s="7"/>
      <c r="Z676" s="7"/>
      <c r="AB676" s="22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  <c r="AN676" s="7"/>
      <c r="AO676" s="7"/>
      <c r="AP676" s="7"/>
      <c r="AQ676" s="7"/>
      <c r="AR676" s="7"/>
      <c r="AS676" s="7"/>
      <c r="AT676" s="7"/>
      <c r="AU676" s="49"/>
      <c r="AV676" s="7"/>
      <c r="AW676" s="7"/>
      <c r="BA676" s="67"/>
      <c r="BB676" s="67"/>
      <c r="BC676" s="67"/>
      <c r="BD676" s="67"/>
      <c r="BE676" s="68"/>
      <c r="BF676" s="68"/>
      <c r="BG676" s="68"/>
      <c r="BH676" s="68"/>
      <c r="BI676" s="68"/>
    </row>
    <row r="677" spans="1:61" s="449" customFormat="1" ht="15.95" customHeight="1">
      <c r="A677" s="555"/>
      <c r="B677" s="595"/>
      <c r="C677" s="595"/>
      <c r="D677" s="595"/>
      <c r="E677" s="595"/>
      <c r="F677" s="595"/>
      <c r="G677" s="595"/>
      <c r="H677" s="594"/>
      <c r="I677" s="594"/>
      <c r="J677" s="675"/>
      <c r="K677" s="667"/>
      <c r="L677" s="312"/>
      <c r="M677" s="570"/>
      <c r="N677" s="669"/>
      <c r="O677" s="669"/>
      <c r="P677" s="800"/>
      <c r="Q677" s="563"/>
      <c r="R677" s="569"/>
      <c r="S677" s="114"/>
      <c r="T677" s="115"/>
      <c r="U677" s="7"/>
      <c r="V677" s="7"/>
      <c r="W677" s="7"/>
      <c r="X677" s="7"/>
      <c r="Y677" s="7"/>
      <c r="Z677" s="7"/>
      <c r="AB677" s="22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  <c r="AN677" s="7"/>
      <c r="AO677" s="7"/>
      <c r="AP677" s="7"/>
      <c r="AQ677" s="7"/>
      <c r="AR677" s="7"/>
      <c r="AS677" s="7"/>
      <c r="AT677" s="7"/>
      <c r="AU677" s="49"/>
      <c r="AV677" s="7"/>
      <c r="AW677" s="7"/>
      <c r="BA677" s="67"/>
      <c r="BB677" s="67"/>
      <c r="BC677" s="67"/>
      <c r="BD677" s="67"/>
      <c r="BE677" s="68"/>
      <c r="BF677" s="68"/>
      <c r="BG677" s="68"/>
      <c r="BH677" s="68"/>
      <c r="BI677" s="68"/>
    </row>
    <row r="678" spans="1:61" s="449" customFormat="1" ht="15.95" customHeight="1">
      <c r="A678" s="555" t="s">
        <v>1023</v>
      </c>
      <c r="B678" s="849"/>
      <c r="C678" s="849"/>
      <c r="D678" s="849"/>
      <c r="E678" s="849"/>
      <c r="F678" s="849"/>
      <c r="G678" s="849"/>
      <c r="H678" s="775"/>
      <c r="I678" s="775"/>
      <c r="J678" s="562"/>
      <c r="K678" s="1144"/>
      <c r="L678" s="1145"/>
      <c r="M678" s="570">
        <f>8.4+0.51+5.18</f>
        <v>14.09</v>
      </c>
      <c r="N678" s="849">
        <v>36</v>
      </c>
      <c r="O678" s="849">
        <v>32</v>
      </c>
      <c r="P678" s="800">
        <f>M678*O678</f>
        <v>450.88</v>
      </c>
      <c r="Q678" s="563">
        <f>P678/(P$676+P$678)</f>
        <v>0.41884661117717004</v>
      </c>
      <c r="R678" s="569">
        <f ca="1">K$676*Q678</f>
        <v>0</v>
      </c>
      <c r="S678" s="114" t="s">
        <v>401</v>
      </c>
      <c r="T678" s="115" t="s">
        <v>1001</v>
      </c>
      <c r="U678" s="7"/>
      <c r="V678" s="7"/>
      <c r="W678" s="7"/>
      <c r="X678" s="7"/>
      <c r="Y678" s="7"/>
      <c r="Z678" s="7"/>
      <c r="AB678" s="22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  <c r="AN678" s="7"/>
      <c r="AO678" s="7"/>
      <c r="AP678" s="7"/>
      <c r="AQ678" s="7"/>
      <c r="AR678" s="7"/>
      <c r="AS678" s="7"/>
      <c r="AT678" s="7"/>
      <c r="AU678" s="49"/>
      <c r="AV678" s="7"/>
      <c r="AW678" s="7"/>
      <c r="BA678" s="67"/>
      <c r="BB678" s="67"/>
      <c r="BC678" s="67"/>
      <c r="BD678" s="67"/>
      <c r="BE678" s="68"/>
      <c r="BF678" s="68"/>
      <c r="BG678" s="68"/>
      <c r="BH678" s="68"/>
      <c r="BI678" s="68"/>
    </row>
    <row r="679" spans="1:61" s="449" customFormat="1" ht="15.95" customHeight="1">
      <c r="A679" s="1023"/>
      <c r="B679" s="849"/>
      <c r="C679" s="849"/>
      <c r="D679" s="849"/>
      <c r="E679" s="849"/>
      <c r="F679" s="849"/>
      <c r="G679" s="849"/>
      <c r="H679" s="775"/>
      <c r="I679" s="775"/>
      <c r="J679" s="562"/>
      <c r="K679" s="1144"/>
      <c r="L679" s="1145"/>
      <c r="M679" s="705"/>
      <c r="N679" s="849"/>
      <c r="O679" s="849"/>
      <c r="P679" s="800"/>
      <c r="Q679" s="563"/>
      <c r="R679" s="569"/>
      <c r="S679" s="114"/>
      <c r="T679" s="115"/>
      <c r="U679" s="7"/>
      <c r="V679" s="7"/>
      <c r="W679" s="7"/>
      <c r="X679" s="7"/>
      <c r="Y679" s="7"/>
      <c r="Z679" s="7"/>
      <c r="AB679" s="22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  <c r="AN679" s="7"/>
      <c r="AO679" s="7"/>
      <c r="AP679" s="7"/>
      <c r="AQ679" s="7"/>
      <c r="AR679" s="7"/>
      <c r="AS679" s="7"/>
      <c r="AT679" s="7"/>
      <c r="AU679" s="49"/>
      <c r="AV679" s="7"/>
      <c r="AW679" s="7"/>
      <c r="BA679" s="67"/>
      <c r="BB679" s="67"/>
      <c r="BC679" s="67"/>
      <c r="BD679" s="67"/>
      <c r="BE679" s="68"/>
      <c r="BF679" s="68"/>
      <c r="BG679" s="68"/>
      <c r="BH679" s="68"/>
      <c r="BI679" s="68"/>
    </row>
    <row r="680" spans="1:61" s="449" customFormat="1" ht="15.95" customHeight="1">
      <c r="A680" s="1023"/>
      <c r="B680" s="1141" t="s">
        <v>1009</v>
      </c>
      <c r="C680" s="849"/>
      <c r="D680" s="849"/>
      <c r="E680" s="849"/>
      <c r="F680" s="849"/>
      <c r="G680" s="849"/>
      <c r="H680" s="775"/>
      <c r="I680" s="775"/>
      <c r="J680" s="1146"/>
      <c r="K680" s="1144"/>
      <c r="L680" s="1147"/>
      <c r="M680" s="705"/>
      <c r="N680" s="849"/>
      <c r="O680" s="849"/>
      <c r="P680" s="800"/>
      <c r="Q680" s="563"/>
      <c r="R680" s="569"/>
      <c r="S680" s="114"/>
      <c r="T680" s="115"/>
      <c r="U680" s="7"/>
      <c r="V680" s="7"/>
      <c r="W680" s="7"/>
      <c r="X680" s="7"/>
      <c r="Y680" s="7"/>
      <c r="Z680" s="7"/>
      <c r="AB680" s="22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  <c r="AN680" s="7"/>
      <c r="AO680" s="7"/>
      <c r="AP680" s="7"/>
      <c r="AQ680" s="7"/>
      <c r="AR680" s="7"/>
      <c r="AS680" s="7"/>
      <c r="AT680" s="7"/>
      <c r="AU680" s="49"/>
      <c r="AV680" s="7"/>
      <c r="AW680" s="7"/>
      <c r="BA680" s="67"/>
      <c r="BB680" s="67"/>
      <c r="BC680" s="67"/>
      <c r="BD680" s="67"/>
      <c r="BE680" s="68"/>
      <c r="BF680" s="68"/>
      <c r="BG680" s="68"/>
      <c r="BH680" s="68"/>
      <c r="BI680" s="68"/>
    </row>
    <row r="681" spans="1:61" ht="15.95" customHeight="1">
      <c r="A681" s="555" t="s">
        <v>1024</v>
      </c>
      <c r="B681" s="1141"/>
      <c r="C681" s="849">
        <v>1</v>
      </c>
      <c r="D681" s="1073" t="s">
        <v>47</v>
      </c>
      <c r="E681" s="595"/>
      <c r="F681" s="1073" t="s">
        <v>48</v>
      </c>
      <c r="G681" s="595" t="s">
        <v>49</v>
      </c>
      <c r="H681" s="1144" cm="1">
        <f t="array" aca="1" ref="H681" ca="1">IFERROR(
    INDIRECT(
        "RawData!" &amp;
        ADDRESS(
            2,
            MATCH(
                TRIM(MID(A681, SEARCH(". ", A681) + 2, LEN(A681))) &amp; ".Import_kWh",
                RawData!$1:$1,
                0
            ),
            4
        )
    ),
    0
)</f>
        <v>0</v>
      </c>
      <c r="I681" s="1144" cm="1">
        <f t="array" aca="1" ref="I681" ca="1">IFERROR(
    INDIRECT(
        "RawData!" &amp;
        ADDRESS(
            COUNTA(RawData!A:A),
            MATCH(
                TRIM(MID(A681, SEARCH(". ", A681) + 2, LEN(A681))) &amp; ".Import_kWh",
                RawData!$1:$1,
                0
            ),
            4
        )
    ),
    0
)</f>
        <v>0</v>
      </c>
      <c r="J681" s="666">
        <f ca="1">(I681-H681)*C681</f>
        <v>0</v>
      </c>
      <c r="K681" s="667">
        <f ca="1">J681</f>
        <v>0</v>
      </c>
      <c r="L681" s="1147"/>
      <c r="M681" s="705"/>
      <c r="N681" s="849"/>
      <c r="O681" s="849"/>
      <c r="P681" s="800"/>
      <c r="Q681" s="563"/>
      <c r="R681" s="569">
        <f ca="1">K681</f>
        <v>0</v>
      </c>
      <c r="S681" s="114" t="s">
        <v>401</v>
      </c>
      <c r="T681" s="115" t="s">
        <v>1001</v>
      </c>
    </row>
    <row r="682" spans="1:61" ht="15.95" customHeight="1">
      <c r="A682" s="555" t="s">
        <v>1025</v>
      </c>
      <c r="B682" s="849"/>
      <c r="C682" s="849"/>
      <c r="D682" s="849"/>
      <c r="E682" s="849"/>
      <c r="F682" s="849"/>
      <c r="G682" s="849"/>
      <c r="H682" s="775"/>
      <c r="I682" s="775"/>
      <c r="J682" s="562"/>
      <c r="K682" s="1144"/>
      <c r="L682" s="1147"/>
      <c r="M682" s="705"/>
      <c r="N682" s="849"/>
      <c r="O682" s="849"/>
      <c r="P682" s="800"/>
      <c r="Q682" s="563"/>
      <c r="R682" s="569"/>
    </row>
    <row r="683" spans="1:61" ht="15.95" customHeight="1">
      <c r="A683" s="555" t="s">
        <v>1026</v>
      </c>
      <c r="B683" s="1141" t="s">
        <v>1027</v>
      </c>
      <c r="C683" s="849"/>
      <c r="D683" s="849"/>
      <c r="E683" s="849"/>
      <c r="F683" s="849"/>
      <c r="G683" s="849"/>
      <c r="H683" s="775"/>
      <c r="I683" s="775"/>
      <c r="J683" s="562"/>
      <c r="K683" s="1144"/>
      <c r="L683" s="1147"/>
      <c r="M683" s="705"/>
      <c r="N683" s="849"/>
      <c r="O683" s="849"/>
      <c r="P683" s="800"/>
      <c r="Q683" s="563"/>
      <c r="R683" s="569"/>
      <c r="AW683" s="449"/>
    </row>
    <row r="684" spans="1:61" ht="15.95" customHeight="1">
      <c r="A684" s="555" t="s">
        <v>1028</v>
      </c>
      <c r="B684" s="1141" t="s">
        <v>1027</v>
      </c>
      <c r="C684" s="595"/>
      <c r="D684" s="595"/>
      <c r="E684" s="595"/>
      <c r="F684" s="595"/>
      <c r="G684" s="595"/>
      <c r="H684" s="594"/>
      <c r="I684" s="594"/>
      <c r="J684" s="675"/>
      <c r="K684" s="667"/>
      <c r="L684" s="312"/>
      <c r="M684" s="570"/>
      <c r="N684" s="717"/>
      <c r="O684" s="717"/>
      <c r="P684" s="570"/>
      <c r="Q684" s="563"/>
      <c r="R684" s="569"/>
      <c r="S684" s="114"/>
      <c r="T684" s="115"/>
      <c r="AW684" s="449"/>
    </row>
    <row r="685" spans="1:61" ht="15.95" customHeight="1">
      <c r="A685" s="919" t="s">
        <v>1029</v>
      </c>
      <c r="B685" s="920" t="s">
        <v>101</v>
      </c>
      <c r="C685" s="679">
        <v>1</v>
      </c>
      <c r="D685" s="1017" t="s">
        <v>47</v>
      </c>
      <c r="E685" s="654"/>
      <c r="F685" s="1017" t="s">
        <v>48</v>
      </c>
      <c r="G685" s="654" t="s">
        <v>49</v>
      </c>
      <c r="H685" s="655" cm="1">
        <f t="array" aca="1" ref="H685" ca="1">IFERROR(
    INDIRECT(
        "RawData!" &amp;
        ADDRESS(
            2,
            MATCH(
                TRIM(MID(A685, SEARCH(". ", A685) + 2, LEN(A685))) &amp; ".Import_kWh",
                RawData!$1:$1,
                0
            ),
            4
        )
    ),
    0
)</f>
        <v>0</v>
      </c>
      <c r="I685" s="655" cm="1">
        <f t="array" aca="1" ref="I685" ca="1">IFERROR(
    INDIRECT(
        "RawData!" &amp;
        ADDRESS(
            COUNTA(RawData!A:A),
            MATCH(
                TRIM(MID(A685, SEARCH(". ", A685) + 2, LEN(A685))) &amp; ".Import_kWh",
                RawData!$1:$1,
                0
            ),
            4
        )
    ),
    0
)</f>
        <v>0</v>
      </c>
      <c r="J685" s="680">
        <f ca="1">(I685-H685)*C685</f>
        <v>0</v>
      </c>
      <c r="K685" s="657" t="e">
        <f ca="1">J685*K$646/(J$647+J$668+J$685+J$708+J$709+J$710+J$711+J$730+J$731+J$747+J$748+J$750+J$752+J$754+J$756+J$760+J$763+J$765)</f>
        <v>#DIV/0!</v>
      </c>
      <c r="L685" s="581" t="e">
        <f ca="1">K685/J685</f>
        <v>#DIV/0!</v>
      </c>
      <c r="M685" s="682" t="e">
        <f ca="1">R686+R691+R692+R693+R694+R695+R696+R702+R703+R704+R705+R706+R700+R688+R697+R698+R699</f>
        <v>#DIV/0!</v>
      </c>
      <c r="N685" s="576"/>
      <c r="O685" s="576"/>
      <c r="P685" s="573"/>
      <c r="Q685" s="574"/>
      <c r="R685" s="575"/>
      <c r="AW685" s="449"/>
    </row>
    <row r="686" spans="1:61" ht="15.95" customHeight="1">
      <c r="A686" s="555" t="s">
        <v>1030</v>
      </c>
      <c r="B686" s="595" t="s">
        <v>382</v>
      </c>
      <c r="C686" s="595">
        <v>1</v>
      </c>
      <c r="D686" s="1073" t="s">
        <v>47</v>
      </c>
      <c r="E686" s="595"/>
      <c r="F686" s="1073" t="s">
        <v>48</v>
      </c>
      <c r="G686" s="595" t="s">
        <v>49</v>
      </c>
      <c r="H686" s="665" cm="1">
        <f t="array" aca="1" ref="H686" ca="1">IFERROR(
    INDIRECT(
        "RawData!" &amp;
        ADDRESS(
            2,
            MATCH(
                TRIM(MID(A686, SEARCH(". ", A686) + 2, LEN(A686))) &amp; ".Import_kWh",
                RawData!$1:$1,
                0
            ),
            4
        )
    ),
    0
)</f>
        <v>0</v>
      </c>
      <c r="I686" s="665" cm="1">
        <f t="array" aca="1" ref="I686" ca="1">IFERROR(
    INDIRECT(
        "RawData!" &amp;
        ADDRESS(
            COUNTA(RawData!A:A),
            MATCH(
                TRIM(MID(A686, SEARCH(". ", A686) + 2, LEN(A686))) &amp; ".Import_kWh",
                RawData!$1:$1,
                0
            ),
            4
        )
    ),
    0
)</f>
        <v>0</v>
      </c>
      <c r="J686" s="666">
        <f ca="1">(I686-H686)*C686</f>
        <v>0</v>
      </c>
      <c r="K686" s="667">
        <f ca="1">J686</f>
        <v>0</v>
      </c>
      <c r="L686" s="840" t="e">
        <f ca="1">K686/J686</f>
        <v>#DIV/0!</v>
      </c>
      <c r="M686" s="692"/>
      <c r="N686" s="717"/>
      <c r="O686" s="717"/>
      <c r="P686" s="570"/>
      <c r="Q686" s="563"/>
      <c r="R686" s="569">
        <f ca="1">K687</f>
        <v>0</v>
      </c>
      <c r="S686" s="114" t="s">
        <v>117</v>
      </c>
      <c r="T686" s="115" t="s">
        <v>337</v>
      </c>
      <c r="AW686" s="449"/>
    </row>
    <row r="687" spans="1:61" ht="15.95" customHeight="1">
      <c r="A687" s="555" t="s">
        <v>1031</v>
      </c>
      <c r="B687" s="693"/>
      <c r="C687" s="794"/>
      <c r="D687" s="794"/>
      <c r="E687" s="794"/>
      <c r="F687" s="794"/>
      <c r="G687" s="794"/>
      <c r="H687" s="762"/>
      <c r="I687" s="762"/>
      <c r="J687" s="666"/>
      <c r="K687" s="802">
        <f ca="1">K686-K688</f>
        <v>0</v>
      </c>
      <c r="L687" s="840"/>
      <c r="M687" s="472"/>
      <c r="N687" s="669"/>
      <c r="O687" s="669"/>
      <c r="P687" s="800"/>
      <c r="Q687" s="563"/>
      <c r="R687" s="569"/>
      <c r="AW687" s="449"/>
    </row>
    <row r="688" spans="1:61" ht="15.95" customHeight="1">
      <c r="A688" s="804" t="s">
        <v>1268</v>
      </c>
      <c r="B688" s="702"/>
      <c r="C688" s="888">
        <v>1</v>
      </c>
      <c r="D688" s="888"/>
      <c r="E688" s="888"/>
      <c r="F688" s="888"/>
      <c r="G688" s="888"/>
      <c r="H688" s="886" cm="1">
        <f t="array" aca="1" ref="H688" ca="1">IFERROR(
    INDIRECT(
        "RawData!" &amp;
        ADDRESS(
            2,
            MATCH(
                TRIM(MID(A688, SEARCH(". ", A688) + 2, LEN(A688))) &amp; ".Import_kWh",
                RawData!$1:$1,
                0
            ),
            4
        )
    ),
    0
)</f>
        <v>0</v>
      </c>
      <c r="I688" s="886" cm="1">
        <f t="array" aca="1" ref="I688" ca="1">IFERROR(
    INDIRECT(
        "RawData!" &amp;
        ADDRESS(
            COUNTA(RawData!A:A),
            MATCH(
                TRIM(MID(A688, SEARCH(". ", A688) + 2, LEN(A688))) &amp; ".Import_kWh",
                RawData!$1:$1,
                0
            ),
            4
        )
    ),
    0
)</f>
        <v>0</v>
      </c>
      <c r="J688" s="742">
        <f ca="1">(I688-H688)*C688</f>
        <v>0</v>
      </c>
      <c r="K688" s="1000">
        <f ca="1">J688</f>
        <v>0</v>
      </c>
      <c r="L688" s="967" t="e">
        <f ca="1">K688/J688</f>
        <v>#DIV/0!</v>
      </c>
      <c r="M688" s="701"/>
      <c r="N688" s="887"/>
      <c r="O688" s="887"/>
      <c r="P688" s="888"/>
      <c r="Q688" s="571"/>
      <c r="R688" s="704">
        <f ca="1">K688</f>
        <v>0</v>
      </c>
      <c r="S688" s="52" t="s">
        <v>341</v>
      </c>
      <c r="T688" s="52" t="s">
        <v>1032</v>
      </c>
      <c r="AW688" s="449"/>
    </row>
    <row r="689" spans="1:49" ht="15.95" customHeight="1">
      <c r="A689" s="555" t="s">
        <v>1033</v>
      </c>
      <c r="B689" s="687"/>
      <c r="C689" s="800"/>
      <c r="D689" s="800"/>
      <c r="E689" s="800"/>
      <c r="F689" s="800"/>
      <c r="G689" s="800"/>
      <c r="H689" s="762"/>
      <c r="I689" s="762"/>
      <c r="J689" s="666"/>
      <c r="K689" s="705"/>
      <c r="L689" s="801"/>
      <c r="M689" s="705"/>
      <c r="N689" s="669"/>
      <c r="O689" s="669"/>
      <c r="P689" s="800"/>
      <c r="Q689" s="563"/>
      <c r="R689" s="569"/>
      <c r="AW689" s="449"/>
    </row>
    <row r="690" spans="1:49" ht="15.95" customHeight="1">
      <c r="A690" s="555" t="s">
        <v>1034</v>
      </c>
      <c r="B690" s="595" t="s">
        <v>512</v>
      </c>
      <c r="C690" s="595">
        <v>1</v>
      </c>
      <c r="D690" s="1073" t="s">
        <v>47</v>
      </c>
      <c r="E690" s="595"/>
      <c r="F690" s="1073" t="s">
        <v>48</v>
      </c>
      <c r="G690" s="595" t="s">
        <v>49</v>
      </c>
      <c r="H690" s="665" cm="1">
        <f t="array" aca="1" ref="H690" ca="1">IFERROR(
    INDIRECT(
        "RawData!" &amp;
        ADDRESS(
            2,
            MATCH(
                TRIM(MID(A690, SEARCH(". ", A690) + 2, LEN(A690))) &amp; ".Import_kWh",
                RawData!$1:$1,
                0
            ),
            4
        )
    ),
    0
)</f>
        <v>0</v>
      </c>
      <c r="I690" s="665" cm="1">
        <f t="array" aca="1" ref="I690" ca="1">IFERROR(
    INDIRECT(
        "RawData!" &amp;
        ADDRESS(
            COUNTA(RawData!A:A),
            MATCH(
                TRIM(MID(A690, SEARCH(". ", A690) + 2, LEN(A690))) &amp; ".Import_kWh",
                RawData!$1:$1,
                0
            ),
            4
        )
    ),
    0
)</f>
        <v>0</v>
      </c>
      <c r="J690" s="1109">
        <f ca="1">(I690-H690)*C690+J691</f>
        <v>0</v>
      </c>
      <c r="K690" s="667">
        <f ca="1">J690</f>
        <v>0</v>
      </c>
      <c r="L690" s="840" t="e">
        <f ca="1">K690/J690</f>
        <v>#DIV/0!</v>
      </c>
      <c r="M690" s="668">
        <f ca="1">R691+R692+R693+R694+R695+R696+R697+R698+R699</f>
        <v>0</v>
      </c>
      <c r="N690" s="669"/>
      <c r="O690" s="669"/>
      <c r="P690" s="570"/>
      <c r="Q690" s="563"/>
      <c r="R690" s="569"/>
      <c r="AW690" s="449"/>
    </row>
    <row r="691" spans="1:49" ht="15.95" customHeight="1">
      <c r="A691" s="555" t="s">
        <v>1035</v>
      </c>
      <c r="B691" s="693"/>
      <c r="C691" s="707"/>
      <c r="D691" s="707"/>
      <c r="E691" s="707"/>
      <c r="F691" s="707"/>
      <c r="G691" s="707"/>
      <c r="H691" s="749"/>
      <c r="I691" s="749"/>
      <c r="J691" s="1148"/>
      <c r="K691" s="705"/>
      <c r="L691" s="840"/>
      <c r="M691" s="472">
        <v>8.94</v>
      </c>
      <c r="N691" s="669">
        <v>34</v>
      </c>
      <c r="O691" s="669">
        <v>37</v>
      </c>
      <c r="P691" s="800">
        <f t="shared" ref="P691:P699" si="102">M691*O691</f>
        <v>330.78</v>
      </c>
      <c r="Q691" s="563">
        <f t="shared" ref="Q691:Q699" si="103">P691/(P$691+P$692+P$693+P$694+P$695+P$696+P$697+P$698+P$699)</f>
        <v>0.18665146881242312</v>
      </c>
      <c r="R691" s="569">
        <f t="shared" ref="R691:R699" ca="1" si="104">Q691*K$690</f>
        <v>0</v>
      </c>
      <c r="S691" s="114" t="s">
        <v>410</v>
      </c>
      <c r="T691" s="115" t="s">
        <v>411</v>
      </c>
      <c r="AW691" s="449"/>
    </row>
    <row r="692" spans="1:49" ht="15.95" customHeight="1">
      <c r="A692" s="555" t="s">
        <v>1036</v>
      </c>
      <c r="B692" s="693"/>
      <c r="C692" s="794"/>
      <c r="D692" s="794"/>
      <c r="E692" s="794"/>
      <c r="F692" s="794"/>
      <c r="G692" s="794"/>
      <c r="H692" s="762"/>
      <c r="I692" s="762"/>
      <c r="J692" s="673"/>
      <c r="K692" s="705"/>
      <c r="L692" s="840"/>
      <c r="M692" s="472">
        <v>5.6</v>
      </c>
      <c r="N692" s="669">
        <v>18</v>
      </c>
      <c r="O692" s="669">
        <v>28</v>
      </c>
      <c r="P692" s="800">
        <f t="shared" si="102"/>
        <v>156.79999999999998</v>
      </c>
      <c r="Q692" s="563">
        <f t="shared" si="103"/>
        <v>8.8478596982247845E-2</v>
      </c>
      <c r="R692" s="569">
        <f t="shared" ca="1" si="104"/>
        <v>0</v>
      </c>
      <c r="S692" s="114" t="s">
        <v>410</v>
      </c>
      <c r="T692" s="115" t="s">
        <v>411</v>
      </c>
    </row>
    <row r="693" spans="1:49" ht="15.95" customHeight="1">
      <c r="A693" s="555" t="s">
        <v>1037</v>
      </c>
      <c r="B693" s="693"/>
      <c r="C693" s="794"/>
      <c r="D693" s="794"/>
      <c r="E693" s="794"/>
      <c r="F693" s="794"/>
      <c r="G693" s="794"/>
      <c r="H693" s="762"/>
      <c r="I693" s="762"/>
      <c r="J693" s="675">
        <f ca="1">J686+J690</f>
        <v>0</v>
      </c>
      <c r="K693" s="705"/>
      <c r="L693" s="840"/>
      <c r="M693" s="472">
        <v>5.6</v>
      </c>
      <c r="N693" s="669">
        <v>19</v>
      </c>
      <c r="O693" s="669">
        <v>13</v>
      </c>
      <c r="P693" s="800">
        <f t="shared" si="102"/>
        <v>72.8</v>
      </c>
      <c r="Q693" s="563">
        <f t="shared" si="103"/>
        <v>4.1079348598900792E-2</v>
      </c>
      <c r="R693" s="569">
        <f t="shared" ca="1" si="104"/>
        <v>0</v>
      </c>
      <c r="S693" s="114" t="s">
        <v>410</v>
      </c>
      <c r="T693" s="115" t="s">
        <v>411</v>
      </c>
    </row>
    <row r="694" spans="1:49" ht="15.95" customHeight="1">
      <c r="A694" s="555" t="s">
        <v>1038</v>
      </c>
      <c r="B694" s="693"/>
      <c r="C694" s="794"/>
      <c r="D694" s="794"/>
      <c r="E694" s="794"/>
      <c r="F694" s="794"/>
      <c r="G694" s="794"/>
      <c r="H694" s="762"/>
      <c r="I694" s="762"/>
      <c r="J694" s="673"/>
      <c r="K694" s="705"/>
      <c r="L694" s="840"/>
      <c r="M694" s="472">
        <v>3.4</v>
      </c>
      <c r="N694" s="669">
        <v>26</v>
      </c>
      <c r="O694" s="669">
        <v>33</v>
      </c>
      <c r="P694" s="800">
        <f t="shared" si="102"/>
        <v>112.2</v>
      </c>
      <c r="Q694" s="563">
        <f t="shared" si="103"/>
        <v>6.3311853197756437E-2</v>
      </c>
      <c r="R694" s="569">
        <f t="shared" ca="1" si="104"/>
        <v>0</v>
      </c>
      <c r="S694" s="114" t="s">
        <v>410</v>
      </c>
      <c r="T694" s="115" t="s">
        <v>411</v>
      </c>
    </row>
    <row r="695" spans="1:49" ht="15.95" customHeight="1">
      <c r="A695" s="555" t="s">
        <v>1039</v>
      </c>
      <c r="B695" s="693"/>
      <c r="C695" s="794"/>
      <c r="D695" s="794"/>
      <c r="E695" s="794"/>
      <c r="F695" s="794"/>
      <c r="G695" s="794"/>
      <c r="H695" s="762"/>
      <c r="I695" s="762"/>
      <c r="J695" s="673"/>
      <c r="K695" s="705"/>
      <c r="L695" s="840"/>
      <c r="M695" s="472">
        <v>0.4</v>
      </c>
      <c r="N695" s="669">
        <v>29</v>
      </c>
      <c r="O695" s="669">
        <v>34</v>
      </c>
      <c r="P695" s="800">
        <f t="shared" si="102"/>
        <v>13.600000000000001</v>
      </c>
      <c r="Q695" s="563">
        <f t="shared" si="103"/>
        <v>7.6741640239704782E-3</v>
      </c>
      <c r="R695" s="569">
        <f t="shared" ca="1" si="104"/>
        <v>0</v>
      </c>
      <c r="S695" s="114" t="s">
        <v>410</v>
      </c>
      <c r="T695" s="115" t="s">
        <v>411</v>
      </c>
    </row>
    <row r="696" spans="1:49" ht="15.95" customHeight="1">
      <c r="A696" s="555" t="s">
        <v>1040</v>
      </c>
      <c r="B696" s="693"/>
      <c r="C696" s="794"/>
      <c r="D696" s="794"/>
      <c r="E696" s="794"/>
      <c r="F696" s="794"/>
      <c r="G696" s="794"/>
      <c r="H696" s="762"/>
      <c r="I696" s="762"/>
      <c r="J696" s="673"/>
      <c r="K696" s="705"/>
      <c r="L696" s="840"/>
      <c r="M696" s="472">
        <v>8</v>
      </c>
      <c r="N696" s="669">
        <v>31</v>
      </c>
      <c r="O696" s="669">
        <v>37</v>
      </c>
      <c r="P696" s="800">
        <f t="shared" si="102"/>
        <v>296</v>
      </c>
      <c r="Q696" s="563">
        <f t="shared" si="103"/>
        <v>0.16702592287465157</v>
      </c>
      <c r="R696" s="569">
        <f t="shared" ca="1" si="104"/>
        <v>0</v>
      </c>
      <c r="S696" s="114" t="s">
        <v>410</v>
      </c>
      <c r="T696" s="115" t="s">
        <v>411</v>
      </c>
    </row>
    <row r="697" spans="1:49" ht="15.95" customHeight="1">
      <c r="A697" s="555" t="s">
        <v>1041</v>
      </c>
      <c r="B697" s="800"/>
      <c r="C697" s="800"/>
      <c r="D697" s="800"/>
      <c r="E697" s="800"/>
      <c r="F697" s="800"/>
      <c r="G697" s="800"/>
      <c r="H697" s="762"/>
      <c r="I697" s="762"/>
      <c r="J697" s="675">
        <f>60+10.67+4.46+10.67+11.7+2.68+4.25+0.43+0.43+2</f>
        <v>107.29000000000002</v>
      </c>
      <c r="K697" s="568"/>
      <c r="L697" s="801"/>
      <c r="M697" s="705">
        <v>8</v>
      </c>
      <c r="N697" s="669">
        <v>24</v>
      </c>
      <c r="O697" s="669">
        <v>40</v>
      </c>
      <c r="P697" s="800">
        <f t="shared" si="102"/>
        <v>320</v>
      </c>
      <c r="Q697" s="563">
        <f t="shared" si="103"/>
        <v>0.18056856526989359</v>
      </c>
      <c r="R697" s="569">
        <f t="shared" ca="1" si="104"/>
        <v>0</v>
      </c>
      <c r="S697" s="114" t="s">
        <v>410</v>
      </c>
      <c r="T697" s="115" t="s">
        <v>411</v>
      </c>
    </row>
    <row r="698" spans="1:49" ht="15.95" customHeight="1">
      <c r="A698" s="555" t="s">
        <v>1042</v>
      </c>
      <c r="B698" s="800"/>
      <c r="C698" s="800"/>
      <c r="D698" s="800"/>
      <c r="E698" s="800"/>
      <c r="F698" s="800"/>
      <c r="G698" s="800"/>
      <c r="H698" s="762"/>
      <c r="I698" s="762"/>
      <c r="J698" s="675">
        <f>2.79+13.6+7.4+18.7+4</f>
        <v>46.489999999999995</v>
      </c>
      <c r="K698" s="568"/>
      <c r="L698" s="801"/>
      <c r="M698" s="705">
        <v>8</v>
      </c>
      <c r="N698" s="669">
        <v>30</v>
      </c>
      <c r="O698" s="669">
        <v>36</v>
      </c>
      <c r="P698" s="800">
        <f t="shared" si="102"/>
        <v>288</v>
      </c>
      <c r="Q698" s="563">
        <f t="shared" si="103"/>
        <v>0.16251170874290424</v>
      </c>
      <c r="R698" s="569">
        <f t="shared" ca="1" si="104"/>
        <v>0</v>
      </c>
      <c r="S698" s="114" t="s">
        <v>410</v>
      </c>
      <c r="T698" s="115" t="s">
        <v>411</v>
      </c>
    </row>
    <row r="699" spans="1:49" ht="15.95" customHeight="1">
      <c r="A699" s="555" t="s">
        <v>1043</v>
      </c>
      <c r="B699" s="800"/>
      <c r="C699" s="800"/>
      <c r="D699" s="800"/>
      <c r="E699" s="800"/>
      <c r="F699" s="800"/>
      <c r="G699" s="800"/>
      <c r="H699" s="762"/>
      <c r="I699" s="762"/>
      <c r="J699" s="675">
        <f>2.79+13.6+7.4+18.7+4</f>
        <v>46.489999999999995</v>
      </c>
      <c r="K699" s="568"/>
      <c r="L699" s="801"/>
      <c r="M699" s="705">
        <v>5.2</v>
      </c>
      <c r="N699" s="669">
        <v>31</v>
      </c>
      <c r="O699" s="669">
        <v>35</v>
      </c>
      <c r="P699" s="800">
        <f t="shared" si="102"/>
        <v>182</v>
      </c>
      <c r="Q699" s="563">
        <f t="shared" si="103"/>
        <v>0.10269837149725199</v>
      </c>
      <c r="R699" s="569">
        <f t="shared" ca="1" si="104"/>
        <v>0</v>
      </c>
      <c r="S699" s="114" t="s">
        <v>410</v>
      </c>
      <c r="T699" s="115" t="s">
        <v>411</v>
      </c>
    </row>
    <row r="700" spans="1:49" ht="15.95" customHeight="1">
      <c r="A700" s="555" t="s">
        <v>1243</v>
      </c>
      <c r="B700" s="693"/>
      <c r="C700" s="794">
        <v>1</v>
      </c>
      <c r="D700" s="1073" t="s">
        <v>47</v>
      </c>
      <c r="E700" s="595"/>
      <c r="F700" s="1073" t="s">
        <v>48</v>
      </c>
      <c r="G700" s="595" t="s">
        <v>49</v>
      </c>
      <c r="H700" s="665" cm="1">
        <f t="array" aca="1" ref="H700" ca="1">IFERROR(
    INDIRECT(
        "RawData!" &amp;
        ADDRESS(
            2,
            MATCH(
                TRIM(MID(A700, SEARCH(". ", A700) + 2, LEN(A700))) &amp; ".Import_kWh",
                RawData!$1:$1,
                0
            ),
            4
        )
    ),
    0
)</f>
        <v>0</v>
      </c>
      <c r="I700" s="665" cm="1">
        <f t="array" aca="1" ref="I700" ca="1">IFERROR(
    INDIRECT(
        "RawData!" &amp;
        ADDRESS(
            COUNTA(RawData!A:A),
            MATCH(
                TRIM(MID(A700, SEARCH(". ", A700) + 2, LEN(A700))) &amp; ".Import_kWh",
                RawData!$1:$1,
                0
            ),
            4
        )
    ),
    0
)</f>
        <v>0</v>
      </c>
      <c r="J700" s="666">
        <f ca="1">(I700-H700)*C700</f>
        <v>0</v>
      </c>
      <c r="K700" s="667">
        <f ca="1">J700</f>
        <v>0</v>
      </c>
      <c r="L700" s="840" t="e">
        <f ca="1">K700/J700</f>
        <v>#DIV/0!</v>
      </c>
      <c r="M700" s="472"/>
      <c r="N700" s="669"/>
      <c r="O700" s="669"/>
      <c r="P700" s="800"/>
      <c r="Q700" s="563"/>
      <c r="R700" s="569">
        <f ca="1">K700</f>
        <v>0</v>
      </c>
      <c r="S700" s="114" t="s">
        <v>117</v>
      </c>
      <c r="T700" s="115" t="s">
        <v>339</v>
      </c>
    </row>
    <row r="701" spans="1:49" ht="15.95" customHeight="1">
      <c r="A701" s="555" t="s">
        <v>1044</v>
      </c>
      <c r="B701" s="901"/>
      <c r="C701" s="794"/>
      <c r="D701" s="794"/>
      <c r="E701" s="794"/>
      <c r="F701" s="794"/>
      <c r="G701" s="794"/>
      <c r="H701" s="762"/>
      <c r="I701" s="762"/>
      <c r="J701" s="666"/>
      <c r="K701" s="802" t="e">
        <f ca="1">K685-(K686+K690+K700)</f>
        <v>#DIV/0!</v>
      </c>
      <c r="L701" s="840"/>
      <c r="M701" s="1149" t="e">
        <f ca="1">R702+R703+R704+R705+R706</f>
        <v>#DIV/0!</v>
      </c>
      <c r="N701" s="669"/>
      <c r="O701" s="669"/>
      <c r="P701" s="800"/>
      <c r="Q701" s="563"/>
      <c r="R701" s="569"/>
    </row>
    <row r="702" spans="1:49" ht="15.95" customHeight="1">
      <c r="A702" s="555" t="s">
        <v>1045</v>
      </c>
      <c r="B702" s="1044"/>
      <c r="C702" s="794"/>
      <c r="D702" s="794"/>
      <c r="E702" s="794"/>
      <c r="F702" s="794"/>
      <c r="G702" s="794"/>
      <c r="H702" s="762"/>
      <c r="I702" s="762"/>
      <c r="J702" s="666"/>
      <c r="K702" s="802" t="e">
        <f ca="1">R702/O702</f>
        <v>#DIV/0!</v>
      </c>
      <c r="L702" s="840"/>
      <c r="M702" s="472">
        <v>17</v>
      </c>
      <c r="N702" s="669">
        <v>32</v>
      </c>
      <c r="O702" s="669">
        <v>37</v>
      </c>
      <c r="P702" s="800">
        <f>M702*O702</f>
        <v>629</v>
      </c>
      <c r="Q702" s="563">
        <f>P702/(P$702+P$703+P$704+P$705+P$706)</f>
        <v>0.46931892795320251</v>
      </c>
      <c r="R702" s="569" t="e">
        <f ca="1">K$701*Q702</f>
        <v>#DIV/0!</v>
      </c>
      <c r="S702" s="114" t="s">
        <v>410</v>
      </c>
      <c r="T702" s="115" t="s">
        <v>411</v>
      </c>
    </row>
    <row r="703" spans="1:49" ht="15.95" customHeight="1">
      <c r="A703" s="555" t="s">
        <v>1046</v>
      </c>
      <c r="B703" s="693"/>
      <c r="C703" s="794"/>
      <c r="D703" s="794"/>
      <c r="E703" s="794"/>
      <c r="F703" s="794"/>
      <c r="G703" s="794"/>
      <c r="H703" s="762"/>
      <c r="I703" s="762"/>
      <c r="J703" s="666"/>
      <c r="K703" s="802" t="e">
        <f ca="1">R703/O703</f>
        <v>#DIV/0!</v>
      </c>
      <c r="L703" s="840"/>
      <c r="M703" s="472">
        <v>8.94</v>
      </c>
      <c r="N703" s="669">
        <v>35</v>
      </c>
      <c r="O703" s="669">
        <v>36</v>
      </c>
      <c r="P703" s="800">
        <f>M703*O703</f>
        <v>321.83999999999997</v>
      </c>
      <c r="Q703" s="563">
        <f>P703/(P$702+P$703+P$704+P$705+P$706)</f>
        <v>0.24013609502775624</v>
      </c>
      <c r="R703" s="569" t="e">
        <f ca="1">K$701*Q703</f>
        <v>#DIV/0!</v>
      </c>
      <c r="S703" s="114" t="s">
        <v>410</v>
      </c>
      <c r="T703" s="115" t="s">
        <v>411</v>
      </c>
    </row>
    <row r="704" spans="1:49" ht="15.95" customHeight="1">
      <c r="A704" s="555" t="s">
        <v>1047</v>
      </c>
      <c r="B704" s="693"/>
      <c r="C704" s="794"/>
      <c r="D704" s="794"/>
      <c r="E704" s="794"/>
      <c r="F704" s="794"/>
      <c r="G704" s="794"/>
      <c r="H704" s="762"/>
      <c r="I704" s="762"/>
      <c r="J704" s="666"/>
      <c r="K704" s="802" t="e">
        <f ca="1">R704/O704</f>
        <v>#DIV/0!</v>
      </c>
      <c r="L704" s="840"/>
      <c r="M704" s="472">
        <v>3.55</v>
      </c>
      <c r="N704" s="669">
        <v>36</v>
      </c>
      <c r="O704" s="669">
        <v>42</v>
      </c>
      <c r="P704" s="800">
        <f>M704*O704</f>
        <v>149.1</v>
      </c>
      <c r="Q704" s="563">
        <f>P704/(P$702+P$703+P$704+P$705+P$706)</f>
        <v>0.11124873157046501</v>
      </c>
      <c r="R704" s="569" t="e">
        <f ca="1">K$701*Q704</f>
        <v>#DIV/0!</v>
      </c>
      <c r="S704" s="114" t="s">
        <v>410</v>
      </c>
      <c r="T704" s="115" t="s">
        <v>411</v>
      </c>
    </row>
    <row r="705" spans="1:20" ht="15.95" customHeight="1">
      <c r="A705" s="555" t="s">
        <v>1048</v>
      </c>
      <c r="B705" s="693"/>
      <c r="C705" s="693"/>
      <c r="D705" s="693"/>
      <c r="E705" s="693"/>
      <c r="F705" s="693"/>
      <c r="G705" s="693"/>
      <c r="H705" s="762"/>
      <c r="I705" s="762"/>
      <c r="J705" s="666"/>
      <c r="K705" s="802" t="e">
        <f ca="1">R705/O705</f>
        <v>#DIV/0!</v>
      </c>
      <c r="L705" s="840"/>
      <c r="M705" s="472">
        <v>1.5</v>
      </c>
      <c r="N705" s="669">
        <v>28</v>
      </c>
      <c r="O705" s="669">
        <v>31</v>
      </c>
      <c r="P705" s="800">
        <f>M705*O705</f>
        <v>46.5</v>
      </c>
      <c r="Q705" s="563">
        <f>P705/(P$702+P$703+P$704+P$705+P$706)</f>
        <v>3.4695278457589691E-2</v>
      </c>
      <c r="R705" s="569" t="e">
        <f ca="1">K$701*Q705</f>
        <v>#DIV/0!</v>
      </c>
      <c r="S705" s="114" t="s">
        <v>410</v>
      </c>
      <c r="T705" s="115" t="s">
        <v>411</v>
      </c>
    </row>
    <row r="706" spans="1:20" ht="15.95" customHeight="1">
      <c r="A706" s="555" t="s">
        <v>1049</v>
      </c>
      <c r="B706" s="693"/>
      <c r="C706" s="794"/>
      <c r="D706" s="794"/>
      <c r="E706" s="794"/>
      <c r="F706" s="794"/>
      <c r="G706" s="794"/>
      <c r="H706" s="762"/>
      <c r="I706" s="762"/>
      <c r="J706" s="666"/>
      <c r="K706" s="802" t="e">
        <f ca="1">R706/O706</f>
        <v>#DIV/0!</v>
      </c>
      <c r="L706" s="840"/>
      <c r="M706" s="472">
        <v>5.0999999999999996</v>
      </c>
      <c r="N706" s="669">
        <v>31</v>
      </c>
      <c r="O706" s="669">
        <v>38</v>
      </c>
      <c r="P706" s="800">
        <f>M706*O706</f>
        <v>193.79999999999998</v>
      </c>
      <c r="Q706" s="563">
        <f>P706/(P$702+P$703+P$704+P$705+P$706)</f>
        <v>0.14460096699098671</v>
      </c>
      <c r="R706" s="569" t="e">
        <f ca="1">K$701*Q706</f>
        <v>#DIV/0!</v>
      </c>
      <c r="S706" s="114" t="s">
        <v>410</v>
      </c>
      <c r="T706" s="115" t="s">
        <v>411</v>
      </c>
    </row>
    <row r="707" spans="1:20" ht="15.95" customHeight="1">
      <c r="A707" s="555" t="s">
        <v>1050</v>
      </c>
      <c r="B707" s="693"/>
      <c r="C707" s="794"/>
      <c r="D707" s="800"/>
      <c r="E707" s="800"/>
      <c r="F707" s="800"/>
      <c r="G707" s="800"/>
      <c r="H707" s="762"/>
      <c r="I707" s="762"/>
      <c r="J707" s="666"/>
      <c r="K707" s="802"/>
      <c r="L707" s="840"/>
      <c r="M707" s="472"/>
      <c r="N707" s="669"/>
      <c r="O707" s="669"/>
      <c r="P707" s="800"/>
      <c r="Q707" s="563"/>
      <c r="R707" s="569"/>
      <c r="S707" s="114"/>
      <c r="T707" s="115"/>
    </row>
    <row r="708" spans="1:20" ht="15.95" customHeight="1">
      <c r="A708" s="919" t="s">
        <v>1276</v>
      </c>
      <c r="B708" s="857" t="s">
        <v>512</v>
      </c>
      <c r="C708" s="857">
        <v>1</v>
      </c>
      <c r="D708" s="1017" t="s">
        <v>47</v>
      </c>
      <c r="E708" s="654"/>
      <c r="F708" s="1017" t="s">
        <v>48</v>
      </c>
      <c r="G708" s="654" t="s">
        <v>615</v>
      </c>
      <c r="H708" s="655" cm="1">
        <f t="array" aca="1" ref="H708" ca="1">IFERROR(
    INDIRECT(
        "RawData!" &amp;
        ADDRESS(
            2,
            MATCH(
                TRIM(MID(A708, SEARCH(". ", A708) + 2, LEN(A708))) &amp; ".Import_kWh",
                RawData!$1:$1,
                0
            ),
            4
        )
    ),
    0
)</f>
        <v>0</v>
      </c>
      <c r="I708" s="655" cm="1">
        <f t="array" aca="1" ref="I708" ca="1">IFERROR(
    INDIRECT(
        "RawData!" &amp;
        ADDRESS(
            COUNTA(RawData!A:A),
            MATCH(
                TRIM(MID(A708, SEARCH(". ", A708) + 2, LEN(A708))) &amp; ".Import_kWh",
                RawData!$1:$1,
                0
            ),
            4
        )
    ),
    0
)</f>
        <v>0</v>
      </c>
      <c r="J708" s="680">
        <f ca="1">(I708-H708)*C708</f>
        <v>0</v>
      </c>
      <c r="K708" s="657" t="e">
        <f ca="1">J708*K$646/(J$647+J$668+J$685+J$708+J$709+J$710+J$711+J$730+J$731+J$747+J$748+J$750+J$752+J$754+J$756+J$760+J$763+J$765)</f>
        <v>#DIV/0!</v>
      </c>
      <c r="L708" s="581" t="e">
        <f ca="1">K708/J708</f>
        <v>#DIV/0!</v>
      </c>
      <c r="M708" s="958"/>
      <c r="N708" s="576"/>
      <c r="O708" s="576"/>
      <c r="P708" s="577"/>
      <c r="Q708" s="574"/>
      <c r="R708" s="575" t="e">
        <f ca="1">K708</f>
        <v>#DIV/0!</v>
      </c>
      <c r="S708" s="114" t="s">
        <v>117</v>
      </c>
      <c r="T708" s="115" t="s">
        <v>441</v>
      </c>
    </row>
    <row r="709" spans="1:20" ht="15.95" customHeight="1">
      <c r="A709" s="919" t="s">
        <v>1269</v>
      </c>
      <c r="B709" s="920" t="s">
        <v>447</v>
      </c>
      <c r="C709" s="920">
        <v>1</v>
      </c>
      <c r="D709" s="1017" t="s">
        <v>47</v>
      </c>
      <c r="E709" s="654"/>
      <c r="F709" s="1017" t="s">
        <v>48</v>
      </c>
      <c r="G709" s="654" t="s">
        <v>49</v>
      </c>
      <c r="H709" s="655" cm="1">
        <f t="array" aca="1" ref="H709" ca="1">IFERROR(
    INDIRECT(
        "RawData!" &amp;
        ADDRESS(
            2,
            MATCH(
                TRIM(MID(A709, SEARCH(". ", A709) + 2, LEN(A709))) &amp; ".Import_kWh",
                RawData!$1:$1,
                0
            ),
            4
        )
    ),
    0
)</f>
        <v>0</v>
      </c>
      <c r="I709" s="655" cm="1">
        <f t="array" aca="1" ref="I709" ca="1">IFERROR(
    INDIRECT(
        "RawData!" &amp;
        ADDRESS(
            COUNTA(RawData!A:A),
            MATCH(
                TRIM(MID(A709, SEARCH(". ", A709) + 2, LEN(A709))) &amp; ".Import_kWh",
                RawData!$1:$1,
                0
            ),
            4
        )
    ),
    0
)</f>
        <v>0</v>
      </c>
      <c r="J709" s="680">
        <f ca="1">(I709-H709)*C709</f>
        <v>0</v>
      </c>
      <c r="K709" s="657" t="e">
        <f ca="1">J709*K$646/(J$647+J$668+J$685+J$708+J$709+J$710+J$711+J$730+J$731+J$747+J$748+J$750+J$752+J$754+J$756+J$760+J$763+J$765)</f>
        <v>#DIV/0!</v>
      </c>
      <c r="L709" s="581" t="e">
        <f ca="1">K709/J709</f>
        <v>#DIV/0!</v>
      </c>
      <c r="M709" s="1058"/>
      <c r="N709" s="576"/>
      <c r="O709" s="576"/>
      <c r="P709" s="577"/>
      <c r="Q709" s="574"/>
      <c r="R709" s="575" t="e">
        <f ca="1">K709</f>
        <v>#DIV/0!</v>
      </c>
      <c r="S709" s="114" t="s">
        <v>410</v>
      </c>
      <c r="T709" s="115" t="s">
        <v>458</v>
      </c>
    </row>
    <row r="710" spans="1:20" ht="15.95" customHeight="1">
      <c r="A710" s="919" t="s">
        <v>1270</v>
      </c>
      <c r="B710" s="920" t="s">
        <v>101</v>
      </c>
      <c r="C710" s="920">
        <v>1</v>
      </c>
      <c r="D710" s="1017" t="s">
        <v>47</v>
      </c>
      <c r="E710" s="654"/>
      <c r="F710" s="1017" t="s">
        <v>48</v>
      </c>
      <c r="G710" s="654" t="s">
        <v>49</v>
      </c>
      <c r="H710" s="655" cm="1">
        <f t="array" aca="1" ref="H710" ca="1">IFERROR(
    INDIRECT(
        "RawData!" &amp;
        ADDRESS(
            2,
            MATCH(
                TRIM(MID(A710, SEARCH(". ", A710) + 2, LEN(A710))) &amp; ".Import_kWh",
                RawData!$1:$1,
                0
            ),
            4
        )
    ),
    0
)</f>
        <v>0</v>
      </c>
      <c r="I710" s="655" cm="1">
        <f t="array" aca="1" ref="I710" ca="1">IFERROR(
    INDIRECT(
        "RawData!" &amp;
        ADDRESS(
            COUNTA(RawData!A:A),
            MATCH(
                TRIM(MID(A710, SEARCH(". ", A710) + 2, LEN(A710))) &amp; ".Import_kWh",
                RawData!$1:$1,
                0
            ),
            4
        )
    ),
    0
)</f>
        <v>0</v>
      </c>
      <c r="J710" s="680">
        <f ca="1">(I710-H710)*C710</f>
        <v>0</v>
      </c>
      <c r="K710" s="657" t="e">
        <f ca="1">J710*K$646/(J$647+J$668+J$685+J$708+J$709+J$710+J$711+J$730+J$731+J$747+J$748+J$750+J$752+J$754+J$756+J$760+J$763+J$765)</f>
        <v>#DIV/0!</v>
      </c>
      <c r="L710" s="581" t="e">
        <f ca="1">K710/J710</f>
        <v>#DIV/0!</v>
      </c>
      <c r="M710" s="1058"/>
      <c r="N710" s="576"/>
      <c r="O710" s="576"/>
      <c r="P710" s="577"/>
      <c r="Q710" s="574"/>
      <c r="R710" s="575" t="e">
        <f ca="1">K710</f>
        <v>#DIV/0!</v>
      </c>
      <c r="S710" s="114" t="s">
        <v>410</v>
      </c>
      <c r="T710" s="115" t="s">
        <v>458</v>
      </c>
    </row>
    <row r="711" spans="1:20" ht="15.95" customHeight="1">
      <c r="A711" s="919" t="s">
        <v>1051</v>
      </c>
      <c r="B711" s="920" t="s">
        <v>101</v>
      </c>
      <c r="C711" s="920">
        <v>1</v>
      </c>
      <c r="D711" s="1017" t="s">
        <v>47</v>
      </c>
      <c r="E711" s="654"/>
      <c r="F711" s="1017" t="s">
        <v>48</v>
      </c>
      <c r="G711" s="654" t="s">
        <v>49</v>
      </c>
      <c r="H711" s="655" cm="1">
        <f t="array" aca="1" ref="H711" ca="1">IFERROR(
    INDIRECT(
        "RawData!" &amp;
        ADDRESS(
            2,
            MATCH(
                TRIM(MID(A711, SEARCH(". ", A711) + 2, LEN(A711))) &amp; ".Import_kWh",
                RawData!$1:$1,
                0
            ),
            4
        )
    ),
    0
)</f>
        <v>0</v>
      </c>
      <c r="I711" s="655" cm="1">
        <f t="array" aca="1" ref="I711" ca="1">IFERROR(
    INDIRECT(
        "RawData!" &amp;
        ADDRESS(
            COUNTA(RawData!A:A),
            MATCH(
                TRIM(MID(A711, SEARCH(". ", A711) + 2, LEN(A711))) &amp; ".Import_kWh",
                RawData!$1:$1,
                0
            ),
            4
        )
    ),
    0
)</f>
        <v>0</v>
      </c>
      <c r="J711" s="680">
        <f ca="1">(I711-H711)*C711</f>
        <v>0</v>
      </c>
      <c r="K711" s="657" t="e">
        <f ca="1">J711*K$646/(J$647+J$668+J$685+J$708+J$709+J$710+J$711+J$730+J$731+J$747+J$748+J$750+J$752+J$754+J$756+J$760+J$763+J$765)</f>
        <v>#DIV/0!</v>
      </c>
      <c r="L711" s="581" t="e">
        <f ca="1">K711/J711</f>
        <v>#DIV/0!</v>
      </c>
      <c r="M711" s="1150" t="e">
        <f ca="1">R714+R715+R716+R717+R721+R722+R725+R726</f>
        <v>#DIV/0!</v>
      </c>
      <c r="N711" s="576"/>
      <c r="O711" s="576"/>
      <c r="P711" s="577"/>
      <c r="Q711" s="574"/>
      <c r="R711" s="575"/>
      <c r="S711" s="114"/>
      <c r="T711" s="115"/>
    </row>
    <row r="712" spans="1:20" ht="15.95" customHeight="1">
      <c r="A712" s="1023"/>
      <c r="B712" s="800"/>
      <c r="C712" s="800"/>
      <c r="D712" s="800"/>
      <c r="E712" s="800"/>
      <c r="F712" s="800"/>
      <c r="G712" s="800"/>
      <c r="H712" s="762"/>
      <c r="I712" s="762"/>
      <c r="J712" s="675"/>
      <c r="K712" s="568" t="e">
        <f ca="1">K711-(K720+K724)</f>
        <v>#DIV/0!</v>
      </c>
      <c r="L712" s="801"/>
      <c r="M712" s="705"/>
      <c r="N712" s="669"/>
      <c r="O712" s="669"/>
      <c r="P712" s="800"/>
      <c r="Q712" s="563"/>
      <c r="R712" s="569"/>
      <c r="S712" s="114"/>
      <c r="T712" s="115"/>
    </row>
    <row r="713" spans="1:20" ht="15.95" customHeight="1">
      <c r="A713" s="1023"/>
      <c r="B713" s="595"/>
      <c r="C713" s="595"/>
      <c r="D713" s="595"/>
      <c r="E713" s="595"/>
      <c r="F713" s="595"/>
      <c r="G713" s="595"/>
      <c r="H713" s="594"/>
      <c r="I713" s="594"/>
      <c r="J713" s="673"/>
      <c r="K713" s="568"/>
      <c r="L713" s="840"/>
      <c r="M713" s="568"/>
      <c r="N713" s="669"/>
      <c r="O713" s="669"/>
      <c r="P713" s="800"/>
      <c r="Q713" s="563"/>
      <c r="R713" s="569"/>
      <c r="S713" s="114"/>
      <c r="T713" s="115"/>
    </row>
    <row r="714" spans="1:20" ht="15.95" customHeight="1">
      <c r="A714" s="555" t="s">
        <v>1052</v>
      </c>
      <c r="B714" s="595"/>
      <c r="C714" s="595"/>
      <c r="D714" s="595"/>
      <c r="E714" s="595"/>
      <c r="F714" s="595"/>
      <c r="G714" s="595"/>
      <c r="H714" s="594"/>
      <c r="I714" s="594"/>
      <c r="J714" s="666" t="s">
        <v>1053</v>
      </c>
      <c r="K714" s="667" t="e">
        <f ca="1">K712+K720</f>
        <v>#DIV/0!</v>
      </c>
      <c r="L714" s="1151"/>
      <c r="M714" s="701">
        <v>12</v>
      </c>
      <c r="N714" s="887">
        <v>24</v>
      </c>
      <c r="O714" s="887">
        <v>37</v>
      </c>
      <c r="P714" s="888">
        <f>M714*O714</f>
        <v>444</v>
      </c>
      <c r="Q714" s="571">
        <f>P714/(P$714+P$715+P$716+P$717+P$721+P$722)</f>
        <v>0.16176749202092774</v>
      </c>
      <c r="R714" s="704" t="e">
        <f ca="1">K$714*Q714</f>
        <v>#DIV/0!</v>
      </c>
      <c r="S714" s="114" t="s">
        <v>345</v>
      </c>
      <c r="T714" s="115" t="s">
        <v>391</v>
      </c>
    </row>
    <row r="715" spans="1:20" ht="15.95" customHeight="1">
      <c r="A715" s="555" t="s">
        <v>1054</v>
      </c>
      <c r="B715" s="595"/>
      <c r="C715" s="595"/>
      <c r="D715" s="595"/>
      <c r="E715" s="595"/>
      <c r="F715" s="595"/>
      <c r="G715" s="595"/>
      <c r="H715" s="594"/>
      <c r="I715" s="594"/>
      <c r="J715" s="666"/>
      <c r="K715" s="667"/>
      <c r="L715" s="1151"/>
      <c r="M715" s="701">
        <v>7.5</v>
      </c>
      <c r="N715" s="887">
        <v>26</v>
      </c>
      <c r="O715" s="887">
        <v>36</v>
      </c>
      <c r="P715" s="888">
        <f>M715*O715</f>
        <v>270</v>
      </c>
      <c r="Q715" s="571">
        <f>P715/(P$714+P$715+P$716+P$717+P$721+P$722)</f>
        <v>9.8372123526239849E-2</v>
      </c>
      <c r="R715" s="704" t="e">
        <f ca="1">K$714*Q715</f>
        <v>#DIV/0!</v>
      </c>
      <c r="S715" s="114" t="s">
        <v>345</v>
      </c>
      <c r="T715" s="115" t="s">
        <v>391</v>
      </c>
    </row>
    <row r="716" spans="1:20" ht="15.95" customHeight="1">
      <c r="A716" s="555" t="s">
        <v>1055</v>
      </c>
      <c r="B716" s="595"/>
      <c r="C716" s="595"/>
      <c r="D716" s="595"/>
      <c r="E716" s="595"/>
      <c r="F716" s="595"/>
      <c r="G716" s="595"/>
      <c r="H716" s="594"/>
      <c r="I716" s="594"/>
      <c r="J716" s="666"/>
      <c r="K716" s="667"/>
      <c r="L716" s="967"/>
      <c r="M716" s="1152">
        <v>7.06</v>
      </c>
      <c r="N716" s="887">
        <v>34</v>
      </c>
      <c r="O716" s="887">
        <v>38</v>
      </c>
      <c r="P716" s="888">
        <f>M716*O716</f>
        <v>268.27999999999997</v>
      </c>
      <c r="Q716" s="571">
        <f>P716/(P$714+P$715+P$716+P$717+P$721+P$722)</f>
        <v>9.7745456665257857E-2</v>
      </c>
      <c r="R716" s="704" t="e">
        <f ca="1">K$714*Q716</f>
        <v>#DIV/0!</v>
      </c>
      <c r="S716" s="114" t="s">
        <v>345</v>
      </c>
      <c r="T716" s="115" t="s">
        <v>391</v>
      </c>
    </row>
    <row r="717" spans="1:20" ht="15.95" customHeight="1">
      <c r="A717" s="555" t="s">
        <v>1056</v>
      </c>
      <c r="B717" s="595"/>
      <c r="C717" s="595"/>
      <c r="D717" s="595"/>
      <c r="E717" s="595"/>
      <c r="F717" s="595"/>
      <c r="G717" s="595"/>
      <c r="H717" s="594"/>
      <c r="I717" s="594"/>
      <c r="J717" s="673"/>
      <c r="K717" s="667"/>
      <c r="L717" s="967"/>
      <c r="M717" s="703">
        <v>12</v>
      </c>
      <c r="N717" s="887">
        <v>33</v>
      </c>
      <c r="O717" s="887">
        <v>38</v>
      </c>
      <c r="P717" s="888">
        <f>M717*O717</f>
        <v>456</v>
      </c>
      <c r="Q717" s="571">
        <f>P717/(P$714+P$715+P$716+P$717+P$721+P$722)</f>
        <v>0.16613958639987172</v>
      </c>
      <c r="R717" s="704" t="e">
        <f ca="1">K$714*Q717</f>
        <v>#DIV/0!</v>
      </c>
      <c r="S717" s="114" t="s">
        <v>345</v>
      </c>
      <c r="T717" s="115" t="s">
        <v>391</v>
      </c>
    </row>
    <row r="718" spans="1:20" ht="15.95" customHeight="1">
      <c r="A718" s="555" t="s">
        <v>1057</v>
      </c>
      <c r="B718" s="595"/>
      <c r="C718" s="595"/>
      <c r="D718" s="595"/>
      <c r="E718" s="595"/>
      <c r="F718" s="595"/>
      <c r="G718" s="595"/>
      <c r="H718" s="594"/>
      <c r="I718" s="594"/>
      <c r="J718" s="673"/>
      <c r="K718" s="667"/>
      <c r="L718" s="801"/>
      <c r="M718" s="570"/>
      <c r="N718" s="669"/>
      <c r="O718" s="669"/>
      <c r="P718" s="800"/>
      <c r="Q718" s="563"/>
      <c r="R718" s="569"/>
      <c r="S718" s="114"/>
      <c r="T718" s="115"/>
    </row>
    <row r="719" spans="1:20" ht="15.95" customHeight="1">
      <c r="A719" s="1023"/>
      <c r="B719" s="595"/>
      <c r="C719" s="595"/>
      <c r="D719" s="595"/>
      <c r="E719" s="595"/>
      <c r="F719" s="595"/>
      <c r="G719" s="595"/>
      <c r="H719" s="594"/>
      <c r="I719" s="594"/>
      <c r="J719" s="673"/>
      <c r="K719" s="667"/>
      <c r="L719" s="801"/>
      <c r="M719" s="570"/>
      <c r="N719" s="669"/>
      <c r="O719" s="669"/>
      <c r="P719" s="800"/>
      <c r="Q719" s="563"/>
      <c r="R719" s="569"/>
      <c r="S719" s="114"/>
      <c r="T719" s="115"/>
    </row>
    <row r="720" spans="1:20" ht="15.95" customHeight="1">
      <c r="A720" s="555" t="s">
        <v>1058</v>
      </c>
      <c r="B720" s="595" t="s">
        <v>1059</v>
      </c>
      <c r="C720" s="595">
        <v>1</v>
      </c>
      <c r="D720" s="595"/>
      <c r="E720" s="595"/>
      <c r="F720" s="595"/>
      <c r="G720" s="595"/>
      <c r="H720" s="665" cm="1">
        <f t="array" aca="1" ref="H720" ca="1">IFERROR(
    INDIRECT(
        "RawData!" &amp;
        ADDRESS(
            2,
            MATCH(
                TRIM(MID(A720, SEARCH(". ", A720) + 2, LEN(A720))) &amp; ".Import_kWh",
                RawData!$1:$1,
                0
            ),
            4
        )
    ),
    0
)</f>
        <v>0</v>
      </c>
      <c r="I720" s="665" cm="1">
        <f t="array" aca="1" ref="I720" ca="1">IFERROR(
    INDIRECT(
        "RawData!" &amp;
        ADDRESS(
            COUNTA(RawData!A:A),
            MATCH(
                TRIM(MID(A720, SEARCH(". ", A720) + 2, LEN(A720))) &amp; ".Import_kWh",
                RawData!$1:$1,
                0
            ),
            4
        )
    ),
    0
)</f>
        <v>0</v>
      </c>
      <c r="J720" s="666">
        <f ca="1">(I720-H720)*C720</f>
        <v>0</v>
      </c>
      <c r="K720" s="667">
        <f ca="1">J720</f>
        <v>0</v>
      </c>
      <c r="L720" s="801"/>
      <c r="M720" s="667" t="e">
        <f ca="1">R721+R722</f>
        <v>#DIV/0!</v>
      </c>
      <c r="N720" s="669"/>
      <c r="O720" s="669"/>
      <c r="P720" s="800"/>
      <c r="Q720" s="563"/>
      <c r="R720" s="569"/>
      <c r="S720" s="114"/>
      <c r="T720" s="115"/>
    </row>
    <row r="721" spans="1:61" ht="15.95" customHeight="1">
      <c r="A721" s="555" t="s">
        <v>1060</v>
      </c>
      <c r="B721" s="671" t="s">
        <v>1061</v>
      </c>
      <c r="C721" s="595"/>
      <c r="D721" s="595"/>
      <c r="E721" s="595"/>
      <c r="F721" s="595"/>
      <c r="G721" s="595"/>
      <c r="H721" s="594"/>
      <c r="I721" s="594"/>
      <c r="J721" s="673"/>
      <c r="K721" s="667"/>
      <c r="L721" s="840"/>
      <c r="M721" s="1153">
        <v>12</v>
      </c>
      <c r="N721" s="669">
        <v>39</v>
      </c>
      <c r="O721" s="669">
        <v>39</v>
      </c>
      <c r="P721" s="800">
        <f>M721*O721</f>
        <v>468</v>
      </c>
      <c r="Q721" s="571">
        <f>P721/(P$714+P$715+P$716+P$717+P$721+P$722)</f>
        <v>0.17051168077881573</v>
      </c>
      <c r="R721" s="704" t="e">
        <f ca="1">K$714*Q721</f>
        <v>#DIV/0!</v>
      </c>
      <c r="S721" s="114"/>
      <c r="T721" s="115"/>
    </row>
    <row r="722" spans="1:61" ht="15.95" customHeight="1">
      <c r="A722" s="555" t="s">
        <v>1062</v>
      </c>
      <c r="B722" s="671" t="s">
        <v>1063</v>
      </c>
      <c r="C722" s="595"/>
      <c r="D722" s="595"/>
      <c r="E722" s="595"/>
      <c r="F722" s="595"/>
      <c r="G722" s="595"/>
      <c r="H722" s="594"/>
      <c r="I722" s="594"/>
      <c r="J722" s="666"/>
      <c r="K722" s="568"/>
      <c r="L722" s="840"/>
      <c r="M722" s="1153">
        <f>20.96</f>
        <v>20.96</v>
      </c>
      <c r="N722" s="669">
        <v>38</v>
      </c>
      <c r="O722" s="669">
        <v>40</v>
      </c>
      <c r="P722" s="800">
        <f>M722*O722</f>
        <v>838.40000000000009</v>
      </c>
      <c r="Q722" s="571">
        <f>P722/(P$714+P$715+P$716+P$717+P$721+P$722)</f>
        <v>0.30546366060888702</v>
      </c>
      <c r="R722" s="704" t="e">
        <f ca="1">K$714*Q722</f>
        <v>#DIV/0!</v>
      </c>
      <c r="S722" s="114"/>
      <c r="T722" s="115"/>
    </row>
    <row r="723" spans="1:61" ht="15.95" customHeight="1">
      <c r="A723" s="555" t="s">
        <v>1064</v>
      </c>
      <c r="B723" s="595"/>
      <c r="C723" s="595"/>
      <c r="D723" s="595"/>
      <c r="E723" s="595"/>
      <c r="F723" s="595"/>
      <c r="G723" s="595"/>
      <c r="H723" s="594"/>
      <c r="I723" s="594"/>
      <c r="J723" s="673"/>
      <c r="K723" s="568"/>
      <c r="L723" s="801"/>
      <c r="M723" s="705"/>
      <c r="N723" s="669"/>
      <c r="O723" s="669"/>
      <c r="P723" s="800"/>
      <c r="Q723" s="563"/>
      <c r="R723" s="569"/>
      <c r="S723" s="114"/>
      <c r="T723" s="115"/>
    </row>
    <row r="724" spans="1:61" ht="15.95" customHeight="1">
      <c r="A724" s="555" t="s">
        <v>1065</v>
      </c>
      <c r="B724" s="595"/>
      <c r="C724" s="595">
        <v>1</v>
      </c>
      <c r="D724" s="595"/>
      <c r="E724" s="595"/>
      <c r="F724" s="595"/>
      <c r="G724" s="595"/>
      <c r="H724" s="665" cm="1">
        <f t="array" aca="1" ref="H724" ca="1">IFERROR(
    INDIRECT(
        "RawData!" &amp;
        ADDRESS(
            2,
            MATCH(
                TRIM(MID(A724, SEARCH(". ", A724) + 2, LEN(A724))) &amp; ".Import_kWh",
                RawData!$1:$1,
                0
            ),
            4
        )
    ),
    0
)</f>
        <v>0</v>
      </c>
      <c r="I724" s="665" cm="1">
        <f t="array" aca="1" ref="I724" ca="1">IFERROR(
    INDIRECT(
        "RawData!" &amp;
        ADDRESS(
            COUNTA(RawData!A:A),
            MATCH(
                TRIM(MID(A724, SEARCH(". ", A724) + 2, LEN(A724))) &amp; ".Import_kWh",
                RawData!$1:$1,
                0
            ),
            4
        )
    ),
    0
)</f>
        <v>0</v>
      </c>
      <c r="J724" s="666">
        <f ca="1">(I724-H724)*C724</f>
        <v>0</v>
      </c>
      <c r="K724" s="667">
        <v>5000</v>
      </c>
      <c r="L724" s="1154"/>
      <c r="M724" s="705"/>
      <c r="N724" s="669"/>
      <c r="O724" s="669"/>
      <c r="P724" s="800"/>
      <c r="Q724" s="563"/>
      <c r="R724" s="569"/>
      <c r="S724" s="114"/>
      <c r="T724" s="115"/>
    </row>
    <row r="725" spans="1:61" ht="15.95" customHeight="1">
      <c r="A725" s="555" t="s">
        <v>1066</v>
      </c>
      <c r="B725" s="671"/>
      <c r="C725" s="595"/>
      <c r="D725" s="595"/>
      <c r="E725" s="595"/>
      <c r="F725" s="595"/>
      <c r="G725" s="595"/>
      <c r="H725" s="594"/>
      <c r="I725" s="594"/>
      <c r="J725" s="1155"/>
      <c r="K725" s="568">
        <f>R725/O725</f>
        <v>64.102564102564102</v>
      </c>
      <c r="L725" s="840"/>
      <c r="M725" s="703">
        <v>1</v>
      </c>
      <c r="N725" s="669">
        <v>34</v>
      </c>
      <c r="O725" s="669">
        <v>38</v>
      </c>
      <c r="P725" s="800">
        <f>M725*O725</f>
        <v>38</v>
      </c>
      <c r="Q725" s="563">
        <f>P725/(P$725+P$726)</f>
        <v>0.48717948717948717</v>
      </c>
      <c r="R725" s="569">
        <f>Q725*K$724</f>
        <v>2435.897435897436</v>
      </c>
      <c r="S725" s="114"/>
      <c r="T725" s="115"/>
    </row>
    <row r="726" spans="1:61" ht="15.95" customHeight="1">
      <c r="A726" s="555" t="s">
        <v>1067</v>
      </c>
      <c r="B726" s="800"/>
      <c r="C726" s="800"/>
      <c r="D726" s="800"/>
      <c r="E726" s="800"/>
      <c r="F726" s="800"/>
      <c r="G726" s="800"/>
      <c r="H726" s="762"/>
      <c r="I726" s="762"/>
      <c r="J726" s="1155"/>
      <c r="K726" s="568">
        <f>R726/O726</f>
        <v>64.102564102564102</v>
      </c>
      <c r="L726" s="801"/>
      <c r="M726" s="699">
        <v>1</v>
      </c>
      <c r="N726" s="669">
        <v>39</v>
      </c>
      <c r="O726" s="669">
        <v>40</v>
      </c>
      <c r="P726" s="800">
        <f>M726*O726</f>
        <v>40</v>
      </c>
      <c r="Q726" s="563">
        <f>P726/(P$725+P$726)</f>
        <v>0.51282051282051277</v>
      </c>
      <c r="R726" s="569">
        <f>Q726*K$724</f>
        <v>2564.102564102564</v>
      </c>
      <c r="S726" s="114"/>
      <c r="T726" s="115"/>
    </row>
    <row r="727" spans="1:61" ht="15.95" customHeight="1">
      <c r="A727" s="1023" t="s">
        <v>1068</v>
      </c>
      <c r="B727" s="800"/>
      <c r="C727" s="800"/>
      <c r="D727" s="800"/>
      <c r="E727" s="800"/>
      <c r="F727" s="800"/>
      <c r="G727" s="800"/>
      <c r="H727" s="907"/>
      <c r="I727" s="907"/>
      <c r="J727" s="675"/>
      <c r="K727" s="568"/>
      <c r="L727" s="801"/>
      <c r="M727" s="705" t="s">
        <v>1069</v>
      </c>
      <c r="N727" s="669"/>
      <c r="O727" s="669"/>
      <c r="P727" s="800"/>
      <c r="Q727" s="563"/>
      <c r="R727" s="569"/>
      <c r="S727" s="114"/>
      <c r="T727" s="115"/>
    </row>
    <row r="728" spans="1:61" ht="15.95" customHeight="1">
      <c r="A728" s="1105"/>
      <c r="B728" s="1049"/>
      <c r="C728" s="1049"/>
      <c r="D728" s="1021"/>
      <c r="E728" s="1049"/>
      <c r="F728" s="1021"/>
      <c r="G728" s="707"/>
      <c r="H728" s="1076"/>
      <c r="I728" s="1076"/>
      <c r="J728" s="1109"/>
      <c r="K728" s="1113"/>
      <c r="L728" s="1110"/>
      <c r="M728" s="751"/>
      <c r="N728" s="711"/>
      <c r="O728" s="711"/>
      <c r="P728" s="1049"/>
      <c r="Q728" s="1156"/>
      <c r="R728" s="714"/>
      <c r="S728" s="114"/>
      <c r="T728" s="115"/>
    </row>
    <row r="729" spans="1:61" ht="15.95" customHeight="1">
      <c r="A729" s="919"/>
      <c r="B729" s="920"/>
      <c r="C729" s="920"/>
      <c r="D729" s="920"/>
      <c r="E729" s="920"/>
      <c r="F729" s="920"/>
      <c r="G729" s="920"/>
      <c r="H729" s="860"/>
      <c r="I729" s="860"/>
      <c r="J729" s="680"/>
      <c r="K729" s="573"/>
      <c r="L729" s="1075"/>
      <c r="M729" s="1058"/>
      <c r="N729" s="683"/>
      <c r="O729" s="683"/>
      <c r="P729" s="920"/>
      <c r="Q729" s="574"/>
      <c r="R729" s="575"/>
    </row>
    <row r="730" spans="1:61" ht="15.95" customHeight="1">
      <c r="A730" s="1157" t="s">
        <v>1070</v>
      </c>
      <c r="B730" s="920" t="s">
        <v>185</v>
      </c>
      <c r="C730" s="920">
        <f>250/5</f>
        <v>50</v>
      </c>
      <c r="D730" s="940" t="s">
        <v>645</v>
      </c>
      <c r="E730" s="859" t="s">
        <v>336</v>
      </c>
      <c r="F730" s="654" t="s">
        <v>243</v>
      </c>
      <c r="G730" s="654" t="s">
        <v>49</v>
      </c>
      <c r="H730" s="655" cm="1">
        <f t="array" aca="1" ref="H730" ca="1">IFERROR(
    INDIRECT(
        "RawData!" &amp;
        ADDRESS(
            2,
            MATCH(
                TRIM(MID(A730, SEARCH(". ", A730) + 2, LEN(A730))) &amp; ".Import_kWh",
                RawData!$1:$1,
                0
            ),
            4
        )
    ),
    0
)</f>
        <v>0</v>
      </c>
      <c r="I730" s="655" cm="1">
        <f t="array" aca="1" ref="I730" ca="1">IFERROR(
    INDIRECT(
        "RawData!" &amp;
        ADDRESS(
            COUNTA(RawData!A:A),
            MATCH(
                TRIM(MID(A730, SEARCH(". ", A730) + 2, LEN(A730))) &amp; ".Import_kWh",
                RawData!$1:$1,
                0
            ),
            4
        )
    ),
    0
)</f>
        <v>0</v>
      </c>
      <c r="J730" s="680">
        <f ca="1">(I730-H730)*C730</f>
        <v>0</v>
      </c>
      <c r="K730" s="657" t="e">
        <f ca="1">J730*K$646/(J$647+J$668+J$685+J$708+J$709+J$710+J$711+J$730+J$731+J$747+J$748+J$750+J$752+J$754+J$756+J$760+J$763+J$765)</f>
        <v>#DIV/0!</v>
      </c>
      <c r="L730" s="581" t="e">
        <f ca="1">K730/J730</f>
        <v>#DIV/0!</v>
      </c>
      <c r="M730" s="1058"/>
      <c r="N730" s="683"/>
      <c r="O730" s="683"/>
      <c r="P730" s="920"/>
      <c r="Q730" s="574"/>
      <c r="R730" s="575" t="e">
        <f ca="1">K730</f>
        <v>#DIV/0!</v>
      </c>
      <c r="S730" s="114" t="s">
        <v>345</v>
      </c>
      <c r="T730" s="283" t="s">
        <v>346</v>
      </c>
    </row>
    <row r="731" spans="1:61" ht="15.95" customHeight="1">
      <c r="A731" s="919" t="s">
        <v>1071</v>
      </c>
      <c r="B731" s="920"/>
      <c r="C731" s="920">
        <v>1</v>
      </c>
      <c r="D731" s="1017" t="s">
        <v>47</v>
      </c>
      <c r="E731" s="654"/>
      <c r="F731" s="1017" t="s">
        <v>48</v>
      </c>
      <c r="G731" s="654" t="s">
        <v>49</v>
      </c>
      <c r="H731" s="655" cm="1">
        <f t="array" aca="1" ref="H731" ca="1">IFERROR(
    INDIRECT(
        "RawData!" &amp;
        ADDRESS(
            2,
            MATCH(
                TRIM(MID(A731, SEARCH(". ", A731) + 2, LEN(A731))) &amp; ".Import_kWh",
                RawData!$1:$1,
                0
            ),
            4
        )
    ),
    0
)</f>
        <v>0</v>
      </c>
      <c r="I731" s="655" cm="1">
        <f t="array" aca="1" ref="I731" ca="1">IFERROR(
    INDIRECT(
        "RawData!" &amp;
        ADDRESS(
            COUNTA(RawData!A:A),
            MATCH(
                TRIM(MID(A731, SEARCH(". ", A731) + 2, LEN(A731))) &amp; ".Import_kWh",
                RawData!$1:$1,
                0
            ),
            4
        )
    ),
    0
)</f>
        <v>0</v>
      </c>
      <c r="J731" s="680">
        <f ca="1">(I731-H731)*C731</f>
        <v>0</v>
      </c>
      <c r="K731" s="657" t="e">
        <f ca="1">J731*K$646/(J$647+J$668+J$685+J$708+J$709+J$710+J$711+J$730+J$731+J$747+J$748+J$750+J$752+J$754+J$756+J$760+J$763+J$765)</f>
        <v>#DIV/0!</v>
      </c>
      <c r="L731" s="581" t="e">
        <f ca="1">K731/J731</f>
        <v>#DIV/0!</v>
      </c>
      <c r="M731" s="874" t="e">
        <f ca="1">R734+R735+R736+R737+R738+R739+R740+R744+R746+R741+R742+R732+R745</f>
        <v>#DIV/0!</v>
      </c>
      <c r="N731" s="683"/>
      <c r="O731" s="683"/>
      <c r="P731" s="1121" t="e">
        <f ca="1">K731-M731</f>
        <v>#DIV/0!</v>
      </c>
      <c r="Q731" s="574"/>
      <c r="R731" s="575"/>
    </row>
    <row r="732" spans="1:61" ht="15.95" customHeight="1">
      <c r="A732" s="555" t="s">
        <v>1072</v>
      </c>
      <c r="B732" s="800" t="s">
        <v>382</v>
      </c>
      <c r="C732" s="800">
        <v>1</v>
      </c>
      <c r="D732" s="1073" t="s">
        <v>47</v>
      </c>
      <c r="E732" s="595"/>
      <c r="F732" s="1073" t="s">
        <v>243</v>
      </c>
      <c r="G732" s="595" t="s">
        <v>49</v>
      </c>
      <c r="H732" s="665" cm="1">
        <f t="array" aca="1" ref="H732" ca="1">IFERROR(
    INDIRECT(
        "RawData!" &amp;
        ADDRESS(
            2,
            MATCH(
                TRIM(MID(A732, SEARCH(". ", A732) + 2, LEN(A732))) &amp; ".Import_kWh",
                RawData!$1:$1,
                0
            ),
            4
        )
    ),
    0
)</f>
        <v>0</v>
      </c>
      <c r="I732" s="665" cm="1">
        <f t="array" aca="1" ref="I732" ca="1">IFERROR(
    INDIRECT(
        "RawData!" &amp;
        ADDRESS(
            COUNTA(RawData!A:A),
            MATCH(
                TRIM(MID(A732, SEARCH(". ", A732) + 2, LEN(A732))) &amp; ".Import_kWh",
                RawData!$1:$1,
                0
            ),
            4
        )
    ),
    0
)</f>
        <v>0</v>
      </c>
      <c r="J732" s="1109">
        <f ca="1">(I732-H732)*C732</f>
        <v>0</v>
      </c>
      <c r="K732" s="1113">
        <f ca="1">J732</f>
        <v>0</v>
      </c>
      <c r="L732" s="1110"/>
      <c r="M732" s="751"/>
      <c r="N732" s="711"/>
      <c r="O732" s="711"/>
      <c r="P732" s="1158"/>
      <c r="Q732" s="1156"/>
      <c r="R732" s="714">
        <f ca="1">K732</f>
        <v>0</v>
      </c>
      <c r="S732" s="114" t="s">
        <v>422</v>
      </c>
      <c r="T732" s="115" t="s">
        <v>423</v>
      </c>
      <c r="BA732" s="553"/>
      <c r="BB732" s="553"/>
      <c r="BC732" s="553"/>
      <c r="BD732" s="553"/>
      <c r="BE732" s="554"/>
      <c r="BF732" s="554"/>
      <c r="BG732" s="554"/>
      <c r="BH732" s="554"/>
      <c r="BI732" s="554"/>
    </row>
    <row r="733" spans="1:61" ht="15.95" customHeight="1">
      <c r="A733" s="555" t="s">
        <v>1244</v>
      </c>
      <c r="B733" s="800"/>
      <c r="C733" s="800">
        <v>1</v>
      </c>
      <c r="D733" s="1073" t="s">
        <v>47</v>
      </c>
      <c r="E733" s="595"/>
      <c r="F733" s="1073" t="s">
        <v>48</v>
      </c>
      <c r="G733" s="595" t="s">
        <v>49</v>
      </c>
      <c r="H733" s="665" cm="1">
        <f t="array" aca="1" ref="H733" ca="1">IFERROR(
    INDIRECT(
        "RawData!" &amp;
        ADDRESS(
            2,
            MATCH(
                TRIM(MID(A733, SEARCH(". ", A733) + 2, LEN(A733))) &amp; ".Import_kWh",
                RawData!$1:$1,
                0
            ),
            4
        )
    ),
    0
)</f>
        <v>0</v>
      </c>
      <c r="I733" s="665" cm="1">
        <f t="array" aca="1" ref="I733" ca="1">IFERROR(
    INDIRECT(
        "RawData!" &amp;
        ADDRESS(
            COUNTA(RawData!A:A),
            MATCH(
                TRIM(MID(A733, SEARCH(". ", A733) + 2, LEN(A733))) &amp; ".Import_kWh",
                RawData!$1:$1,
                0
            ),
            4
        )
    ),
    0
)</f>
        <v>0</v>
      </c>
      <c r="J733" s="666">
        <f ca="1">(I733-H733)*C733</f>
        <v>0</v>
      </c>
      <c r="K733" s="667">
        <f ca="1">J733</f>
        <v>0</v>
      </c>
      <c r="L733" s="840"/>
      <c r="M733" s="705"/>
      <c r="N733" s="669"/>
      <c r="O733" s="669"/>
      <c r="P733" s="800"/>
      <c r="Q733" s="563"/>
      <c r="R733" s="569"/>
      <c r="U733" s="578"/>
      <c r="BA733" s="553"/>
      <c r="BB733" s="553"/>
      <c r="BC733" s="553"/>
      <c r="BD733" s="553"/>
      <c r="BE733" s="554"/>
      <c r="BF733" s="554"/>
      <c r="BG733" s="554"/>
      <c r="BH733" s="554"/>
      <c r="BI733" s="554"/>
    </row>
    <row r="734" spans="1:61" ht="15.95" customHeight="1">
      <c r="A734" s="555" t="s">
        <v>1073</v>
      </c>
      <c r="B734" s="595"/>
      <c r="C734" s="595"/>
      <c r="D734" s="595"/>
      <c r="E734" s="595"/>
      <c r="F734" s="595"/>
      <c r="G734" s="595"/>
      <c r="H734" s="594"/>
      <c r="I734" s="594"/>
      <c r="J734" s="666">
        <f ca="1">R734/O734</f>
        <v>0</v>
      </c>
      <c r="K734" s="667">
        <f ca="1">K733-(K740+K744+K732)</f>
        <v>0</v>
      </c>
      <c r="L734" s="1133"/>
      <c r="M734" s="570">
        <v>11.2</v>
      </c>
      <c r="N734" s="669">
        <v>33</v>
      </c>
      <c r="O734" s="669">
        <v>39</v>
      </c>
      <c r="P734" s="800">
        <f>M734*O734</f>
        <v>436.79999999999995</v>
      </c>
      <c r="Q734" s="563">
        <f t="shared" ref="Q734:Q739" si="105">P734/(P$734+P$735+P$736+P$737+P$738+P$739)</f>
        <v>0.18122225449114218</v>
      </c>
      <c r="R734" s="569">
        <f t="shared" ref="R734:R739" ca="1" si="106">K$734*Q734</f>
        <v>0</v>
      </c>
      <c r="S734" s="114"/>
      <c r="T734" s="115"/>
      <c r="BA734" s="553"/>
      <c r="BB734" s="553"/>
      <c r="BC734" s="553"/>
      <c r="BD734" s="553"/>
      <c r="BE734" s="554"/>
      <c r="BF734" s="554"/>
      <c r="BG734" s="554"/>
      <c r="BH734" s="554"/>
      <c r="BI734" s="554"/>
    </row>
    <row r="735" spans="1:61" ht="15.95" customHeight="1">
      <c r="A735" s="555" t="s">
        <v>1074</v>
      </c>
      <c r="B735" s="595"/>
      <c r="C735" s="595"/>
      <c r="D735" s="595"/>
      <c r="E735" s="595"/>
      <c r="F735" s="595"/>
      <c r="G735" s="595"/>
      <c r="H735" s="594"/>
      <c r="I735" s="594"/>
      <c r="J735" s="666">
        <f t="shared" ref="J735:J739" ca="1" si="107">R735/O735</f>
        <v>0</v>
      </c>
      <c r="K735" s="568"/>
      <c r="L735" s="1133"/>
      <c r="M735" s="570">
        <v>17.600000000000001</v>
      </c>
      <c r="N735" s="669">
        <v>30</v>
      </c>
      <c r="O735" s="669">
        <v>38</v>
      </c>
      <c r="P735" s="800">
        <f t="shared" ref="P735:P742" si="108">M735*O735</f>
        <v>668.80000000000007</v>
      </c>
      <c r="Q735" s="563">
        <f t="shared" si="105"/>
        <v>0.27747583288387345</v>
      </c>
      <c r="R735" s="569">
        <f t="shared" ca="1" si="106"/>
        <v>0</v>
      </c>
      <c r="S735" s="114"/>
      <c r="T735" s="115"/>
    </row>
    <row r="736" spans="1:61" ht="15.95" customHeight="1">
      <c r="A736" s="555" t="s">
        <v>1075</v>
      </c>
      <c r="B736" s="595"/>
      <c r="C736" s="595"/>
      <c r="D736" s="595"/>
      <c r="E736" s="595"/>
      <c r="F736" s="595"/>
      <c r="G736" s="595"/>
      <c r="H736" s="594"/>
      <c r="I736" s="594"/>
      <c r="J736" s="666">
        <f t="shared" ca="1" si="107"/>
        <v>0</v>
      </c>
      <c r="K736" s="568"/>
      <c r="L736" s="1133"/>
      <c r="M736" s="570">
        <v>12</v>
      </c>
      <c r="N736" s="669">
        <v>35</v>
      </c>
      <c r="O736" s="669">
        <v>37</v>
      </c>
      <c r="P736" s="800">
        <f t="shared" si="108"/>
        <v>444</v>
      </c>
      <c r="Q736" s="563">
        <f t="shared" si="105"/>
        <v>0.18420943451022698</v>
      </c>
      <c r="R736" s="569">
        <f t="shared" ca="1" si="106"/>
        <v>0</v>
      </c>
      <c r="S736" s="114"/>
      <c r="T736" s="115"/>
    </row>
    <row r="737" spans="1:61" ht="15.95" customHeight="1">
      <c r="A737" s="555" t="s">
        <v>1076</v>
      </c>
      <c r="B737" s="595"/>
      <c r="C737" s="595"/>
      <c r="D737" s="595"/>
      <c r="E737" s="595"/>
      <c r="F737" s="595"/>
      <c r="G737" s="595"/>
      <c r="H737" s="594"/>
      <c r="I737" s="594"/>
      <c r="J737" s="666">
        <f t="shared" ca="1" si="107"/>
        <v>0</v>
      </c>
      <c r="K737" s="568"/>
      <c r="L737" s="1133"/>
      <c r="M737" s="570">
        <v>12</v>
      </c>
      <c r="N737" s="669">
        <v>34</v>
      </c>
      <c r="O737" s="669">
        <v>36</v>
      </c>
      <c r="P737" s="800">
        <f t="shared" si="108"/>
        <v>432</v>
      </c>
      <c r="Q737" s="563">
        <f t="shared" si="105"/>
        <v>0.17923080114508569</v>
      </c>
      <c r="R737" s="569">
        <f t="shared" ca="1" si="106"/>
        <v>0</v>
      </c>
      <c r="S737" s="114"/>
      <c r="T737" s="115"/>
    </row>
    <row r="738" spans="1:61" ht="15.95" customHeight="1">
      <c r="A738" s="555" t="s">
        <v>1077</v>
      </c>
      <c r="B738" s="1144"/>
      <c r="C738" s="800"/>
      <c r="D738" s="800"/>
      <c r="E738" s="800"/>
      <c r="F738" s="800"/>
      <c r="G738" s="800"/>
      <c r="H738" s="809"/>
      <c r="I738" s="809"/>
      <c r="J738" s="666">
        <f t="shared" ca="1" si="107"/>
        <v>0</v>
      </c>
      <c r="K738" s="809"/>
      <c r="L738" s="801"/>
      <c r="M738" s="705">
        <v>5.5</v>
      </c>
      <c r="N738" s="669">
        <v>17</v>
      </c>
      <c r="O738" s="669">
        <v>25</v>
      </c>
      <c r="P738" s="800">
        <f t="shared" si="108"/>
        <v>137.5</v>
      </c>
      <c r="Q738" s="563">
        <f t="shared" si="105"/>
        <v>5.7046840642243711E-2</v>
      </c>
      <c r="R738" s="569">
        <f t="shared" ca="1" si="106"/>
        <v>0</v>
      </c>
      <c r="S738" s="114" t="s">
        <v>345</v>
      </c>
      <c r="T738" s="115" t="s">
        <v>394</v>
      </c>
    </row>
    <row r="739" spans="1:61" ht="15.95" customHeight="1">
      <c r="A739" s="555" t="s">
        <v>1078</v>
      </c>
      <c r="B739" s="800"/>
      <c r="C739" s="800"/>
      <c r="D739" s="800"/>
      <c r="E739" s="800"/>
      <c r="F739" s="800"/>
      <c r="G739" s="800"/>
      <c r="H739" s="809"/>
      <c r="I739" s="809"/>
      <c r="J739" s="666">
        <f t="shared" ca="1" si="107"/>
        <v>0</v>
      </c>
      <c r="K739" s="809"/>
      <c r="L739" s="801"/>
      <c r="M739" s="705">
        <v>10.4</v>
      </c>
      <c r="N739" s="669">
        <v>17</v>
      </c>
      <c r="O739" s="669">
        <v>28</v>
      </c>
      <c r="P739" s="800">
        <f t="shared" si="108"/>
        <v>291.2</v>
      </c>
      <c r="Q739" s="563">
        <f t="shared" si="105"/>
        <v>0.12081483632742814</v>
      </c>
      <c r="R739" s="569">
        <f t="shared" ca="1" si="106"/>
        <v>0</v>
      </c>
      <c r="S739" s="114" t="s">
        <v>345</v>
      </c>
      <c r="T739" s="115" t="s">
        <v>394</v>
      </c>
      <c r="BA739" s="553"/>
      <c r="BB739" s="553"/>
      <c r="BC739" s="553"/>
      <c r="BD739" s="553"/>
      <c r="BE739" s="554"/>
      <c r="BF739" s="554"/>
      <c r="BG739" s="554"/>
      <c r="BH739" s="554"/>
      <c r="BI739" s="554"/>
    </row>
    <row r="740" spans="1:61" ht="15.95" customHeight="1">
      <c r="A740" s="555" t="s">
        <v>1245</v>
      </c>
      <c r="B740" s="903"/>
      <c r="C740" s="800">
        <v>1</v>
      </c>
      <c r="D740" s="1073"/>
      <c r="E740" s="595"/>
      <c r="F740" s="1073"/>
      <c r="G740" s="595"/>
      <c r="H740" s="665" cm="1">
        <f t="array" aca="1" ref="H740" ca="1">IFERROR(
    INDIRECT(
        "RawData!" &amp;
        ADDRESS(
            2,
            MATCH(
                TRIM(MID(A740, SEARCH(". ", A740) + 2, LEN(A740))) &amp; ".Import_kWh",
                RawData!$1:$1,
                0
            ),
            4
        )
    ),
    0
)</f>
        <v>0</v>
      </c>
      <c r="I740" s="665" cm="1">
        <f t="array" aca="1" ref="I740" ca="1">IFERROR(
    INDIRECT(
        "RawData!" &amp;
        ADDRESS(
            COUNTA(RawData!A:A),
            MATCH(
                TRIM(MID(A740, SEARCH(". ", A740) + 2, LEN(A740))) &amp; ".Import_kWh",
                RawData!$1:$1,
                0
            ),
            4
        )
    ),
    0
)</f>
        <v>0</v>
      </c>
      <c r="J740" s="666">
        <f ca="1">(I740-H740)*C740</f>
        <v>0</v>
      </c>
      <c r="K740" s="667">
        <f ca="1">J740</f>
        <v>0</v>
      </c>
      <c r="L740" s="840"/>
      <c r="M740" s="705"/>
      <c r="N740" s="669"/>
      <c r="O740" s="669"/>
      <c r="P740" s="800"/>
      <c r="Q740" s="563"/>
      <c r="R740" s="569"/>
    </row>
    <row r="741" spans="1:61" ht="15.95" customHeight="1">
      <c r="A741" s="555" t="s">
        <v>1079</v>
      </c>
      <c r="B741" s="595"/>
      <c r="C741" s="595"/>
      <c r="D741" s="595"/>
      <c r="E741" s="595"/>
      <c r="F741" s="595"/>
      <c r="G741" s="595"/>
      <c r="H741" s="594"/>
      <c r="I741" s="594"/>
      <c r="J741" s="675"/>
      <c r="K741" s="568"/>
      <c r="L741" s="1133"/>
      <c r="M741" s="570">
        <v>1</v>
      </c>
      <c r="N741" s="669">
        <v>17</v>
      </c>
      <c r="O741" s="669">
        <v>28</v>
      </c>
      <c r="P741" s="800">
        <f>M741*O741</f>
        <v>28</v>
      </c>
      <c r="Q741" s="563">
        <f>P741/(P$741+P$742)</f>
        <v>0.41791044776119401</v>
      </c>
      <c r="R741" s="569">
        <f ca="1">Q741*K$740</f>
        <v>0</v>
      </c>
      <c r="S741" s="114"/>
      <c r="T741" s="115"/>
      <c r="U741" s="578"/>
    </row>
    <row r="742" spans="1:61" ht="15.95" customHeight="1">
      <c r="A742" s="555" t="s">
        <v>1147</v>
      </c>
      <c r="B742" s="595"/>
      <c r="C742" s="595"/>
      <c r="D742" s="595"/>
      <c r="E742" s="595"/>
      <c r="F742" s="595"/>
      <c r="G742" s="595"/>
      <c r="H742" s="594"/>
      <c r="I742" s="594"/>
      <c r="J742" s="675"/>
      <c r="K742" s="568"/>
      <c r="L742" s="1133"/>
      <c r="M742" s="570">
        <v>1</v>
      </c>
      <c r="N742" s="669">
        <v>35</v>
      </c>
      <c r="O742" s="669">
        <v>39</v>
      </c>
      <c r="P742" s="800">
        <f t="shared" si="108"/>
        <v>39</v>
      </c>
      <c r="Q742" s="563">
        <f>P742/(P$741+P$742)</f>
        <v>0.58208955223880599</v>
      </c>
      <c r="R742" s="569">
        <f ca="1">Q742*K$740</f>
        <v>0</v>
      </c>
      <c r="S742" s="114"/>
      <c r="T742" s="115"/>
    </row>
    <row r="743" spans="1:61" ht="15.95" customHeight="1">
      <c r="A743" s="555" t="s">
        <v>1246</v>
      </c>
      <c r="B743" s="800"/>
      <c r="C743" s="800"/>
      <c r="D743" s="800"/>
      <c r="E743" s="800"/>
      <c r="F743" s="800"/>
      <c r="G743" s="800"/>
      <c r="H743" s="762"/>
      <c r="I743" s="762"/>
      <c r="J743" s="666"/>
      <c r="K743" s="667"/>
      <c r="L743" s="840"/>
      <c r="M743" s="705"/>
      <c r="N743" s="669"/>
      <c r="O743" s="669"/>
      <c r="P743" s="800"/>
      <c r="Q743" s="563"/>
      <c r="R743" s="569"/>
      <c r="S743" s="114"/>
      <c r="T743" s="579"/>
    </row>
    <row r="744" spans="1:61" ht="15.95" customHeight="1">
      <c r="A744" s="555" t="s">
        <v>1080</v>
      </c>
      <c r="B744" s="800"/>
      <c r="C744" s="800">
        <v>1</v>
      </c>
      <c r="D744" s="1073" t="s">
        <v>47</v>
      </c>
      <c r="E744" s="595"/>
      <c r="F744" s="1073" t="s">
        <v>48</v>
      </c>
      <c r="G744" s="595" t="s">
        <v>49</v>
      </c>
      <c r="H744" s="665" cm="1">
        <f t="array" aca="1" ref="H744" ca="1">IFERROR(
    INDIRECT(
        "RawData!" &amp;
        ADDRESS(
            2,
            MATCH(
                TRIM(MID(A744, SEARCH(". ", A744) + 2, LEN(A744))) &amp; ".Import_kWh",
                RawData!$1:$1,
                0
            ),
            4
        )
    ),
    0
)</f>
        <v>0</v>
      </c>
      <c r="I744" s="665" cm="1">
        <f t="array" aca="1" ref="I744" ca="1">IFERROR(
    INDIRECT(
        "RawData!" &amp;
        ADDRESS(
            COUNTA(RawData!A:A),
            MATCH(
                TRIM(MID(A744, SEARCH(". ", A744) + 2, LEN(A744))) &amp; ".Import_kWh",
                RawData!$1:$1,
                0
            ),
            4
        )
    ),
    0
)</f>
        <v>0</v>
      </c>
      <c r="J744" s="675">
        <f ca="1">(I744-H744)*C744</f>
        <v>0</v>
      </c>
      <c r="K744" s="568">
        <f ca="1">J744</f>
        <v>0</v>
      </c>
      <c r="L744" s="840"/>
      <c r="M744" s="705"/>
      <c r="N744" s="669"/>
      <c r="O744" s="669"/>
      <c r="P744" s="973"/>
      <c r="Q744" s="563"/>
      <c r="R744" s="569">
        <f ca="1">(K744*65)/100</f>
        <v>0</v>
      </c>
      <c r="S744" s="114"/>
      <c r="T744" s="579"/>
      <c r="BA744" s="553"/>
      <c r="BB744" s="553"/>
      <c r="BC744" s="553"/>
      <c r="BD744" s="553"/>
      <c r="BE744" s="554"/>
      <c r="BF744" s="554"/>
      <c r="BG744" s="554"/>
      <c r="BH744" s="554"/>
      <c r="BI744" s="554"/>
    </row>
    <row r="745" spans="1:61" ht="15.95" customHeight="1">
      <c r="A745" s="804" t="s">
        <v>1081</v>
      </c>
      <c r="B745" s="888"/>
      <c r="C745" s="888"/>
      <c r="D745" s="1027"/>
      <c r="E745" s="696"/>
      <c r="F745" s="1027"/>
      <c r="G745" s="696"/>
      <c r="H745" s="899"/>
      <c r="I745" s="899"/>
      <c r="J745" s="742"/>
      <c r="K745" s="743"/>
      <c r="L745" s="967"/>
      <c r="M745" s="701"/>
      <c r="N745" s="887"/>
      <c r="O745" s="887"/>
      <c r="P745" s="888"/>
      <c r="Q745" s="571"/>
      <c r="R745" s="704">
        <f ca="1">(K744*35)/100</f>
        <v>0</v>
      </c>
      <c r="S745" s="114" t="s">
        <v>401</v>
      </c>
      <c r="T745" s="115" t="s">
        <v>1001</v>
      </c>
    </row>
    <row r="746" spans="1:61" ht="15.95" customHeight="1">
      <c r="A746" s="555" t="s">
        <v>1156</v>
      </c>
      <c r="B746" s="800"/>
      <c r="C746" s="800"/>
      <c r="D746" s="800"/>
      <c r="E746" s="800"/>
      <c r="F746" s="800"/>
      <c r="G746" s="800"/>
      <c r="H746" s="762"/>
      <c r="I746" s="762"/>
      <c r="J746" s="666"/>
      <c r="K746" s="667" t="e">
        <f ca="1">K731-K733</f>
        <v>#DIV/0!</v>
      </c>
      <c r="L746" s="840"/>
      <c r="M746" s="705"/>
      <c r="N746" s="669"/>
      <c r="O746" s="669"/>
      <c r="P746" s="954"/>
      <c r="Q746" s="563"/>
      <c r="R746" s="569" t="e">
        <f ca="1">K746</f>
        <v>#DIV/0!</v>
      </c>
      <c r="S746" s="114"/>
      <c r="T746" s="115"/>
    </row>
    <row r="747" spans="1:61" ht="15.95" customHeight="1">
      <c r="A747" s="919" t="s">
        <v>1082</v>
      </c>
      <c r="B747" s="920" t="s">
        <v>512</v>
      </c>
      <c r="C747" s="920">
        <v>30</v>
      </c>
      <c r="D747" s="1017" t="s">
        <v>47</v>
      </c>
      <c r="E747" s="654"/>
      <c r="F747" s="1017" t="s">
        <v>48</v>
      </c>
      <c r="G747" s="654" t="s">
        <v>49</v>
      </c>
      <c r="H747" s="655" cm="1">
        <f t="array" aca="1" ref="H747" ca="1">IFERROR(
    INDIRECT(
        "RawData!" &amp;
        ADDRESS(
            2,
            MATCH(
                TRIM(MID(A747, SEARCH(". ", A747) + 2, LEN(A747))) &amp; ".Import_kWh",
                RawData!$1:$1,
                0
            ),
            4
        )
    ),
    0
)</f>
        <v>0</v>
      </c>
      <c r="I747" s="655" cm="1">
        <f t="array" aca="1" ref="I747" ca="1">IFERROR(
    INDIRECT(
        "RawData!" &amp;
        ADDRESS(
            COUNTA(RawData!A:A),
            MATCH(
                TRIM(MID(A747, SEARCH(". ", A747) + 2, LEN(A747))) &amp; ".Import_kWh",
                RawData!$1:$1,
                0
            ),
            4
        )
    ),
    0
)</f>
        <v>0</v>
      </c>
      <c r="J747" s="680">
        <f ca="1">(I747-H747)*C747</f>
        <v>0</v>
      </c>
      <c r="K747" s="657" t="e">
        <f ca="1">J747*K$646/(J$647+J$668+J$685+J$708+J$709+J$710+J$711+J$730+J$731+J$747+J$748+J$750+J$752+J$754+J$756+J$760+J$763+J$765)</f>
        <v>#DIV/0!</v>
      </c>
      <c r="L747" s="581" t="e">
        <f ca="1">K747/J747</f>
        <v>#DIV/0!</v>
      </c>
      <c r="M747" s="1058"/>
      <c r="N747" s="683"/>
      <c r="O747" s="683"/>
      <c r="P747" s="920"/>
      <c r="Q747" s="574"/>
      <c r="R747" s="575" t="e">
        <f ca="1">K747</f>
        <v>#DIV/0!</v>
      </c>
      <c r="S747" s="114" t="s">
        <v>345</v>
      </c>
      <c r="T747" s="115" t="s">
        <v>1083</v>
      </c>
    </row>
    <row r="748" spans="1:61" ht="15.95" customHeight="1">
      <c r="A748" s="919" t="s">
        <v>1084</v>
      </c>
      <c r="B748" s="920">
        <v>250</v>
      </c>
      <c r="C748" s="920">
        <v>50</v>
      </c>
      <c r="D748" s="940" t="s">
        <v>645</v>
      </c>
      <c r="E748" s="859" t="s">
        <v>336</v>
      </c>
      <c r="F748" s="654" t="s">
        <v>243</v>
      </c>
      <c r="G748" s="654" t="s">
        <v>49</v>
      </c>
      <c r="H748" s="655" cm="1">
        <f t="array" aca="1" ref="H748" ca="1">IFERROR(
    INDIRECT(
        "RawData!" &amp;
        ADDRESS(
            2,
            MATCH(
                TRIM(MID(A748, SEARCH(". ", A748) + 2, LEN(A748))) &amp; ".Import_kWh",
                RawData!$1:$1,
                0
            ),
            4
        )
    ),
    0
)</f>
        <v>0</v>
      </c>
      <c r="I748" s="655" cm="1">
        <f t="array" aca="1" ref="I748" ca="1">IFERROR(
    INDIRECT(
        "RawData!" &amp;
        ADDRESS(
            COUNTA(RawData!A:A),
            MATCH(
                TRIM(MID(A748, SEARCH(". ", A748) + 2, LEN(A748))) &amp; ".Import_kWh",
                RawData!$1:$1,
                0
            ),
            4
        )
    ),
    0
)</f>
        <v>0</v>
      </c>
      <c r="J748" s="680">
        <f ca="1">(I748-H748)*C748</f>
        <v>0</v>
      </c>
      <c r="K748" s="657" t="e">
        <f ca="1">J748*K$646/(J$647+J$668+J$685+J$708+J$709+J$710+J$711+J$730+J$731+J$747+J$748+J$750+J$752+J$754+J$756+J$760+J$763+J$765)</f>
        <v>#DIV/0!</v>
      </c>
      <c r="L748" s="581" t="e">
        <f ca="1">K748/J748</f>
        <v>#DIV/0!</v>
      </c>
      <c r="M748" s="1058"/>
      <c r="N748" s="683"/>
      <c r="O748" s="683"/>
      <c r="P748" s="920"/>
      <c r="Q748" s="574"/>
      <c r="R748" s="575" t="e">
        <f ca="1">K748</f>
        <v>#DIV/0!</v>
      </c>
      <c r="S748" s="114" t="s">
        <v>345</v>
      </c>
      <c r="T748" s="283" t="s">
        <v>1085</v>
      </c>
    </row>
    <row r="749" spans="1:61" ht="15.95" customHeight="1">
      <c r="A749" s="555" t="s">
        <v>1086</v>
      </c>
      <c r="B749" s="800"/>
      <c r="C749" s="800"/>
      <c r="D749" s="800"/>
      <c r="E749" s="800"/>
      <c r="F749" s="800"/>
      <c r="G749" s="800"/>
      <c r="H749" s="762"/>
      <c r="I749" s="762"/>
      <c r="J749" s="666"/>
      <c r="K749" s="667"/>
      <c r="L749" s="801"/>
      <c r="M749" s="705"/>
      <c r="N749" s="669"/>
      <c r="O749" s="669"/>
      <c r="P749" s="800"/>
      <c r="Q749" s="563"/>
      <c r="R749" s="569"/>
      <c r="T749" s="580"/>
    </row>
    <row r="750" spans="1:61" ht="15.95" customHeight="1">
      <c r="A750" s="919" t="s">
        <v>1087</v>
      </c>
      <c r="B750" s="920">
        <v>250</v>
      </c>
      <c r="C750" s="920">
        <v>50</v>
      </c>
      <c r="D750" s="940" t="s">
        <v>645</v>
      </c>
      <c r="E750" s="859" t="s">
        <v>336</v>
      </c>
      <c r="F750" s="654" t="s">
        <v>243</v>
      </c>
      <c r="G750" s="654" t="s">
        <v>49</v>
      </c>
      <c r="H750" s="655" cm="1">
        <f t="array" aca="1" ref="H750" ca="1">IFERROR(
    INDIRECT(
        "RawData!" &amp;
        ADDRESS(
            2,
            MATCH(
                TRIM(MID(A750, SEARCH(". ", A750) + 2, LEN(A750))) &amp; ".Import_kWh",
                RawData!$1:$1,
                0
            ),
            4
        )
    ),
    0
)</f>
        <v>0</v>
      </c>
      <c r="I750" s="655" cm="1">
        <f t="array" aca="1" ref="I750" ca="1">IFERROR(
    INDIRECT(
        "RawData!" &amp;
        ADDRESS(
            COUNTA(RawData!A:A),
            MATCH(
                TRIM(MID(A750, SEARCH(". ", A750) + 2, LEN(A750))) &amp; ".Import_kWh",
                RawData!$1:$1,
                0
            ),
            4
        )
    ),
    0
)</f>
        <v>0</v>
      </c>
      <c r="J750" s="680">
        <f ca="1">(I750-H750)*C750</f>
        <v>0</v>
      </c>
      <c r="K750" s="657" t="e">
        <f ca="1">J750*K$646/(J$647+J$668+J$685+J$708+J$709+J$710+J$711+J$730+J$731+J$747+J$748+J$750+J$752+J$754+J$756+J$760+J$763+J$765)</f>
        <v>#DIV/0!</v>
      </c>
      <c r="L750" s="581" t="e">
        <f ca="1">K750/J750</f>
        <v>#DIV/0!</v>
      </c>
      <c r="M750" s="1058"/>
      <c r="N750" s="683"/>
      <c r="O750" s="683"/>
      <c r="P750" s="920"/>
      <c r="Q750" s="574"/>
      <c r="R750" s="575" t="e">
        <f ca="1">K750</f>
        <v>#DIV/0!</v>
      </c>
      <c r="S750" s="114" t="s">
        <v>345</v>
      </c>
      <c r="T750" s="283" t="s">
        <v>648</v>
      </c>
    </row>
    <row r="751" spans="1:61" ht="15.95" customHeight="1">
      <c r="A751" s="804" t="s">
        <v>1088</v>
      </c>
      <c r="B751" s="888"/>
      <c r="C751" s="888"/>
      <c r="D751" s="888"/>
      <c r="E751" s="888"/>
      <c r="F751" s="888"/>
      <c r="G751" s="888"/>
      <c r="H751" s="907"/>
      <c r="I751" s="907"/>
      <c r="J751" s="742"/>
      <c r="K751" s="743"/>
      <c r="L751" s="1132"/>
      <c r="M751" s="701"/>
      <c r="N751" s="887"/>
      <c r="O751" s="887"/>
      <c r="P751" s="888"/>
      <c r="Q751" s="571"/>
      <c r="R751" s="704"/>
      <c r="T751" s="580"/>
    </row>
    <row r="752" spans="1:61" ht="15.95" customHeight="1">
      <c r="A752" s="919" t="s">
        <v>1089</v>
      </c>
      <c r="B752" s="920">
        <v>250</v>
      </c>
      <c r="C752" s="920">
        <v>50</v>
      </c>
      <c r="D752" s="940" t="s">
        <v>645</v>
      </c>
      <c r="E752" s="859" t="s">
        <v>336</v>
      </c>
      <c r="F752" s="654" t="s">
        <v>243</v>
      </c>
      <c r="G752" s="654" t="s">
        <v>49</v>
      </c>
      <c r="H752" s="655" cm="1">
        <f t="array" aca="1" ref="H752" ca="1">IFERROR(
    INDIRECT(
        "RawData!" &amp;
        ADDRESS(
            2,
            MATCH(
                TRIM(MID(A752, SEARCH(". ", A752) + 2, LEN(A752))) &amp; ".Import_kWh",
                RawData!$1:$1,
                0
            ),
            4
        )
    ),
    0
)</f>
        <v>0</v>
      </c>
      <c r="I752" s="655" cm="1">
        <f t="array" aca="1" ref="I752" ca="1">IFERROR(
    INDIRECT(
        "RawData!" &amp;
        ADDRESS(
            COUNTA(RawData!A:A),
            MATCH(
                TRIM(MID(A752, SEARCH(". ", A752) + 2, LEN(A752))) &amp; ".Import_kWh",
                RawData!$1:$1,
                0
            ),
            4
        )
    ),
    0
)</f>
        <v>0</v>
      </c>
      <c r="J752" s="680">
        <f ca="1">(I752-H752)*C752</f>
        <v>0</v>
      </c>
      <c r="K752" s="657" t="e">
        <f ca="1">J752*K$646/(J$647+J$668+J$685+J$708+J$709+J$710+J$711+J$730+J$731+J$747+J$748+J$750+J$752+J$754+J$756+J$760+J$763+J$765)</f>
        <v>#DIV/0!</v>
      </c>
      <c r="L752" s="581" t="e">
        <f ca="1">K752/J752</f>
        <v>#DIV/0!</v>
      </c>
      <c r="M752" s="1058"/>
      <c r="N752" s="683"/>
      <c r="O752" s="683"/>
      <c r="P752" s="920"/>
      <c r="Q752" s="574"/>
      <c r="R752" s="575" t="e">
        <f ca="1">K752</f>
        <v>#DIV/0!</v>
      </c>
      <c r="S752" s="114" t="s">
        <v>345</v>
      </c>
      <c r="T752" s="283" t="s">
        <v>355</v>
      </c>
    </row>
    <row r="753" spans="1:20" ht="15.95" customHeight="1">
      <c r="A753" s="555" t="s">
        <v>1090</v>
      </c>
      <c r="B753" s="800"/>
      <c r="C753" s="800"/>
      <c r="D753" s="800"/>
      <c r="E753" s="800"/>
      <c r="F753" s="800"/>
      <c r="G753" s="800"/>
      <c r="H753" s="762"/>
      <c r="I753" s="762"/>
      <c r="J753" s="666"/>
      <c r="K753" s="667"/>
      <c r="L753" s="801"/>
      <c r="M753" s="705"/>
      <c r="N753" s="669"/>
      <c r="O753" s="669"/>
      <c r="P753" s="800"/>
      <c r="Q753" s="563"/>
      <c r="R753" s="569"/>
      <c r="T753" s="580"/>
    </row>
    <row r="754" spans="1:20" ht="15.95" customHeight="1">
      <c r="A754" s="919" t="s">
        <v>1091</v>
      </c>
      <c r="B754" s="920">
        <v>250</v>
      </c>
      <c r="C754" s="920">
        <v>50</v>
      </c>
      <c r="D754" s="940" t="s">
        <v>645</v>
      </c>
      <c r="E754" s="859" t="s">
        <v>336</v>
      </c>
      <c r="F754" s="654" t="s">
        <v>243</v>
      </c>
      <c r="G754" s="654" t="s">
        <v>49</v>
      </c>
      <c r="H754" s="655" cm="1">
        <f t="array" aca="1" ref="H754" ca="1">IFERROR(
    INDIRECT(
        "RawData!" &amp;
        ADDRESS(
            2,
            MATCH(
                TRIM(MID(A754, SEARCH(". ", A754) + 2, LEN(A754))) &amp; ".Import_kWh",
                RawData!$1:$1,
                0
            ),
            4
        )
    ),
    0
)</f>
        <v>0</v>
      </c>
      <c r="I754" s="655" cm="1">
        <f t="array" aca="1" ref="I754" ca="1">IFERROR(
    INDIRECT(
        "RawData!" &amp;
        ADDRESS(
            COUNTA(RawData!A:A),
            MATCH(
                TRIM(MID(A754, SEARCH(". ", A754) + 2, LEN(A754))) &amp; ".Import_kWh",
                RawData!$1:$1,
                0
            ),
            4
        )
    ),
    0
)</f>
        <v>0</v>
      </c>
      <c r="J754" s="680">
        <f ca="1">(I754-H754)*C754</f>
        <v>0</v>
      </c>
      <c r="K754" s="657" t="e">
        <f ca="1">J754*K$646/(J$647+J$668+J$685+J$708+J$709+J$710+J$711+J$730+J$731+J$747+J$748+J$750+J$752+J$754+J$756+J$760+J$763+J$765)</f>
        <v>#DIV/0!</v>
      </c>
      <c r="L754" s="581" t="e">
        <f ca="1">K754/J754</f>
        <v>#DIV/0!</v>
      </c>
      <c r="M754" s="1058"/>
      <c r="N754" s="683"/>
      <c r="O754" s="683"/>
      <c r="P754" s="920"/>
      <c r="Q754" s="574"/>
      <c r="R754" s="575" t="e">
        <f ca="1">K754</f>
        <v>#DIV/0!</v>
      </c>
      <c r="S754" s="114" t="s">
        <v>345</v>
      </c>
      <c r="T754" s="283" t="s">
        <v>357</v>
      </c>
    </row>
    <row r="755" spans="1:20" ht="15.95" customHeight="1">
      <c r="A755" s="555" t="s">
        <v>1092</v>
      </c>
      <c r="B755" s="800"/>
      <c r="C755" s="800"/>
      <c r="D755" s="800"/>
      <c r="E755" s="800"/>
      <c r="F755" s="800"/>
      <c r="G755" s="800"/>
      <c r="H755" s="1159"/>
      <c r="I755" s="1160"/>
      <c r="J755" s="666"/>
      <c r="K755" s="667"/>
      <c r="L755" s="801"/>
      <c r="M755" s="705"/>
      <c r="N755" s="669"/>
      <c r="O755" s="669"/>
      <c r="P755" s="800"/>
      <c r="Q755" s="563"/>
      <c r="R755" s="569"/>
    </row>
    <row r="756" spans="1:20" ht="15.95" customHeight="1">
      <c r="A756" s="1090" t="s">
        <v>1093</v>
      </c>
      <c r="B756" s="940">
        <v>250</v>
      </c>
      <c r="C756" s="940">
        <v>1</v>
      </c>
      <c r="D756" s="1017" t="s">
        <v>47</v>
      </c>
      <c r="E756" s="654"/>
      <c r="F756" s="1017" t="s">
        <v>48</v>
      </c>
      <c r="G756" s="654" t="s">
        <v>49</v>
      </c>
      <c r="H756" s="655" cm="1">
        <f t="array" aca="1" ref="H756" ca="1">IFERROR(
    INDIRECT(
        "RawData!" &amp;
        ADDRESS(
            2,
            MATCH(
                TRIM(MID(A756, SEARCH(". ", A756) + 2, LEN(A756))) &amp; ".Import_kWh",
                RawData!$1:$1,
                0
            ),
            4
        )
    ),
    0
)</f>
        <v>0</v>
      </c>
      <c r="I756" s="655" cm="1">
        <f t="array" aca="1" ref="I756" ca="1">IFERROR(
    INDIRECT(
        "RawData!" &amp;
        ADDRESS(
            COUNTA(RawData!A:A),
            MATCH(
                TRIM(MID(A756, SEARCH(". ", A756) + 2, LEN(A756))) &amp; ".Import_kWh",
                RawData!$1:$1,
                0
            ),
            4
        )
    ),
    0
)</f>
        <v>0</v>
      </c>
      <c r="J756" s="680">
        <f ca="1">(I756-H756)*C756</f>
        <v>0</v>
      </c>
      <c r="K756" s="657" t="e">
        <f ca="1">J756*K$646/(J$647+J$668+J$685+J$708+J$709+J$710+J$711+J$730+J$731+J$747+J$748+J$750+J$752+J$754+J$756+J$760+J$763+J$765)</f>
        <v>#DIV/0!</v>
      </c>
      <c r="L756" s="581" t="e">
        <f ca="1">K756/J756</f>
        <v>#DIV/0!</v>
      </c>
      <c r="M756" s="1134" t="e">
        <f ca="1">R757+R758</f>
        <v>#DIV/0!</v>
      </c>
      <c r="N756" s="1138"/>
      <c r="O756" s="1138"/>
      <c r="P756" s="940"/>
      <c r="Q756" s="567"/>
      <c r="R756" s="1139"/>
    </row>
    <row r="757" spans="1:20" ht="15.95" customHeight="1">
      <c r="A757" s="555" t="s">
        <v>1094</v>
      </c>
      <c r="B757" s="595"/>
      <c r="C757" s="595"/>
      <c r="D757" s="595"/>
      <c r="E757" s="595"/>
      <c r="F757" s="595"/>
      <c r="G757" s="595"/>
      <c r="H757" s="594"/>
      <c r="I757" s="594"/>
      <c r="J757" s="673"/>
      <c r="K757" s="568"/>
      <c r="L757" s="840"/>
      <c r="M757" s="570">
        <v>14.16</v>
      </c>
      <c r="N757" s="669">
        <v>34</v>
      </c>
      <c r="O757" s="669">
        <v>35</v>
      </c>
      <c r="P757" s="800">
        <f>M757*O757</f>
        <v>495.6</v>
      </c>
      <c r="Q757" s="563">
        <f>P757/(P$757+P$758)</f>
        <v>0.53428201811125486</v>
      </c>
      <c r="R757" s="569" t="e">
        <f ca="1">K$756*Q757</f>
        <v>#DIV/0!</v>
      </c>
    </row>
    <row r="758" spans="1:20" ht="15.95" customHeight="1">
      <c r="A758" s="555" t="s">
        <v>1095</v>
      </c>
      <c r="B758" s="595"/>
      <c r="C758" s="595"/>
      <c r="D758" s="595"/>
      <c r="E758" s="595"/>
      <c r="F758" s="595"/>
      <c r="G758" s="595"/>
      <c r="H758" s="594"/>
      <c r="I758" s="724"/>
      <c r="J758" s="673"/>
      <c r="K758" s="568"/>
      <c r="L758" s="840"/>
      <c r="M758" s="570">
        <v>12</v>
      </c>
      <c r="N758" s="669">
        <v>32</v>
      </c>
      <c r="O758" s="669">
        <v>36</v>
      </c>
      <c r="P758" s="800">
        <f>M758*O758</f>
        <v>432</v>
      </c>
      <c r="Q758" s="563">
        <f>P758/(P$757+P$758)</f>
        <v>0.46571798188874514</v>
      </c>
      <c r="R758" s="569" t="e">
        <f ca="1">K$756*Q758</f>
        <v>#DIV/0!</v>
      </c>
    </row>
    <row r="759" spans="1:20" ht="15.95" customHeight="1">
      <c r="A759" s="1023"/>
      <c r="B759" s="800"/>
      <c r="C759" s="800"/>
      <c r="D759" s="800"/>
      <c r="E759" s="800"/>
      <c r="F759" s="800"/>
      <c r="G759" s="800"/>
      <c r="H759" s="762"/>
      <c r="I759" s="762"/>
      <c r="J759" s="666"/>
      <c r="K759" s="568"/>
      <c r="L759" s="801"/>
      <c r="M759" s="705"/>
      <c r="N759" s="669"/>
      <c r="O759" s="669"/>
      <c r="P759" s="800"/>
      <c r="Q759" s="563"/>
      <c r="R759" s="569"/>
    </row>
    <row r="760" spans="1:20" ht="15.95" customHeight="1">
      <c r="A760" s="1090" t="s">
        <v>1096</v>
      </c>
      <c r="B760" s="940" t="s">
        <v>185</v>
      </c>
      <c r="C760" s="940">
        <v>50</v>
      </c>
      <c r="D760" s="940" t="s">
        <v>645</v>
      </c>
      <c r="E760" s="859" t="s">
        <v>336</v>
      </c>
      <c r="F760" s="654" t="s">
        <v>243</v>
      </c>
      <c r="G760" s="654" t="s">
        <v>49</v>
      </c>
      <c r="H760" s="655" cm="1">
        <f t="array" aca="1" ref="H760" ca="1">IFERROR(
    INDIRECT(
        "RawData!" &amp;
        ADDRESS(
            2,
            MATCH(
                TRIM(MID(A760, SEARCH(". ", A760) + 2, LEN(A760))) &amp; ".Import_kWh",
                RawData!$1:$1,
                0
            ),
            4
        )
    ),
    0
)</f>
        <v>0</v>
      </c>
      <c r="I760" s="655" cm="1">
        <f t="array" aca="1" ref="I760" ca="1">IFERROR(
    INDIRECT(
        "RawData!" &amp;
        ADDRESS(
            COUNTA(RawData!A:A),
            MATCH(
                TRIM(MID(A760, SEARCH(". ", A760) + 2, LEN(A760))) &amp; ".Import_kWh",
                RawData!$1:$1,
                0
            ),
            4
        )
    ),
    0
)</f>
        <v>0</v>
      </c>
      <c r="J760" s="680">
        <f ca="1">(I760-H760)*C760</f>
        <v>0</v>
      </c>
      <c r="K760" s="657" t="e">
        <f ca="1">J760*K$646/(J$647+J$668+J$685+J$708+J$709+J$710+J$711+J$730+J$731+J$747+J$748+J$750+J$752+J$754+J$756+J$760+J$763+J$765)</f>
        <v>#DIV/0!</v>
      </c>
      <c r="L760" s="581" t="e">
        <f ca="1">K760/J760</f>
        <v>#DIV/0!</v>
      </c>
      <c r="M760" s="1161"/>
      <c r="N760" s="1138"/>
      <c r="O760" s="1138"/>
      <c r="P760" s="940"/>
      <c r="Q760" s="567"/>
      <c r="R760" s="1139" t="e">
        <f ca="1">K760</f>
        <v>#DIV/0!</v>
      </c>
      <c r="S760" s="7"/>
      <c r="T760" s="7"/>
    </row>
    <row r="761" spans="1:20" ht="15.95" customHeight="1">
      <c r="A761" s="555" t="s">
        <v>1097</v>
      </c>
      <c r="B761" s="800"/>
      <c r="C761" s="800"/>
      <c r="D761" s="800"/>
      <c r="E761" s="800"/>
      <c r="F761" s="800"/>
      <c r="G761" s="800"/>
      <c r="H761" s="762"/>
      <c r="I761" s="762"/>
      <c r="J761" s="666"/>
      <c r="K761" s="667"/>
      <c r="L761" s="801"/>
      <c r="M761" s="705"/>
      <c r="N761" s="669"/>
      <c r="O761" s="669"/>
      <c r="P761" s="800"/>
      <c r="Q761" s="563"/>
      <c r="R761" s="569"/>
    </row>
    <row r="762" spans="1:20" ht="15.95" customHeight="1">
      <c r="A762" s="555"/>
      <c r="B762" s="800"/>
      <c r="C762" s="800"/>
      <c r="D762" s="800"/>
      <c r="E762" s="800"/>
      <c r="F762" s="800"/>
      <c r="G762" s="800"/>
      <c r="H762" s="762"/>
      <c r="I762" s="762"/>
      <c r="J762" s="666"/>
      <c r="K762" s="667"/>
      <c r="L762" s="801"/>
      <c r="M762" s="705"/>
      <c r="N762" s="669"/>
      <c r="O762" s="669"/>
      <c r="P762" s="800"/>
      <c r="Q762" s="563"/>
      <c r="R762" s="569"/>
    </row>
    <row r="763" spans="1:20" ht="15.95" customHeight="1">
      <c r="A763" s="1090" t="s">
        <v>1098</v>
      </c>
      <c r="B763" s="940" t="s">
        <v>185</v>
      </c>
      <c r="C763" s="940">
        <v>50</v>
      </c>
      <c r="D763" s="940" t="s">
        <v>645</v>
      </c>
      <c r="E763" s="859" t="s">
        <v>336</v>
      </c>
      <c r="F763" s="654" t="s">
        <v>243</v>
      </c>
      <c r="G763" s="654" t="s">
        <v>49</v>
      </c>
      <c r="H763" s="655" cm="1">
        <f t="array" aca="1" ref="H763" ca="1">IFERROR(
    INDIRECT(
        "RawData!" &amp;
        ADDRESS(
            2,
            MATCH(
                TRIM(MID(A763, SEARCH(". ", A763) + 2, LEN(A763))) &amp; ".Import_kWh",
                RawData!$1:$1,
                0
            ),
            4
        )
    ),
    0
)</f>
        <v>0</v>
      </c>
      <c r="I763" s="655" cm="1">
        <f t="array" aca="1" ref="I763" ca="1">IFERROR(
    INDIRECT(
        "RawData!" &amp;
        ADDRESS(
            COUNTA(RawData!A:A),
            MATCH(
                TRIM(MID(A763, SEARCH(". ", A763) + 2, LEN(A763))) &amp; ".Import_kWh",
                RawData!$1:$1,
                0
            ),
            4
        )
    ),
    0
)</f>
        <v>0</v>
      </c>
      <c r="J763" s="680">
        <f ca="1">(I763-H763)*C763</f>
        <v>0</v>
      </c>
      <c r="K763" s="657" t="e">
        <f ca="1">J763*K$646/(J$647+J$668+J$685+J$708+J$709+J$710+J$711+J$730+J$731+J$747+J$748+J$750+J$752+J$754+J$756+J$760+J$763+J$765)</f>
        <v>#DIV/0!</v>
      </c>
      <c r="L763" s="581" t="e">
        <f ca="1">K763/J763</f>
        <v>#DIV/0!</v>
      </c>
      <c r="M763" s="1161"/>
      <c r="N763" s="1138"/>
      <c r="O763" s="1138"/>
      <c r="P763" s="940"/>
      <c r="Q763" s="567"/>
      <c r="R763" s="1139" t="e">
        <f ca="1">K763</f>
        <v>#DIV/0!</v>
      </c>
      <c r="S763" s="114" t="s">
        <v>345</v>
      </c>
      <c r="T763" s="283" t="s">
        <v>367</v>
      </c>
    </row>
    <row r="764" spans="1:20" ht="15.95" customHeight="1">
      <c r="A764" s="555" t="s">
        <v>1099</v>
      </c>
      <c r="B764" s="800"/>
      <c r="C764" s="800"/>
      <c r="D764" s="800"/>
      <c r="E764" s="800"/>
      <c r="F764" s="800"/>
      <c r="G764" s="800"/>
      <c r="H764" s="762"/>
      <c r="I764" s="762"/>
      <c r="J764" s="666"/>
      <c r="K764" s="667"/>
      <c r="L764" s="801"/>
      <c r="M764" s="705"/>
      <c r="N764" s="669"/>
      <c r="O764" s="669"/>
      <c r="P764" s="800"/>
      <c r="Q764" s="563"/>
      <c r="R764" s="569"/>
    </row>
    <row r="765" spans="1:20" ht="21.95" customHeight="1">
      <c r="A765" s="1090" t="s">
        <v>1100</v>
      </c>
      <c r="B765" s="940" t="s">
        <v>185</v>
      </c>
      <c r="C765" s="940">
        <v>50</v>
      </c>
      <c r="D765" s="940" t="s">
        <v>645</v>
      </c>
      <c r="E765" s="859" t="s">
        <v>336</v>
      </c>
      <c r="F765" s="654" t="s">
        <v>243</v>
      </c>
      <c r="G765" s="654" t="s">
        <v>49</v>
      </c>
      <c r="H765" s="655" cm="1">
        <f t="array" aca="1" ref="H765" ca="1">IFERROR(
    INDIRECT(
        "RawData!" &amp;
        ADDRESS(
            2,
            MATCH(
                TRIM(MID(A765, SEARCH(". ", A765) + 2, LEN(A765))) &amp; ".Import_kWh",
                RawData!$1:$1,
                0
            ),
            4
        )
    ),
    0
)</f>
        <v>0</v>
      </c>
      <c r="I765" s="655" cm="1">
        <f t="array" aca="1" ref="I765" ca="1">IFERROR(
    INDIRECT(
        "RawData!" &amp;
        ADDRESS(
            COUNTA(RawData!A:A),
            MATCH(
                TRIM(MID(A765, SEARCH(". ", A765) + 2, LEN(A765))) &amp; ".Import_kWh",
                RawData!$1:$1,
                0
            ),
            4
        )
    ),
    0
)</f>
        <v>0</v>
      </c>
      <c r="J765" s="680">
        <f ca="1">(I765-H765)*C765</f>
        <v>0</v>
      </c>
      <c r="K765" s="657" t="e">
        <f ca="1">J765*K$646/(J$647+J$668+J$685+J$708+J$709+J$710+J$711+J$730+J$731+J$747+J$748+J$750+J$752+J$754+J$756+J$760+J$763+J$765)</f>
        <v>#DIV/0!</v>
      </c>
      <c r="L765" s="581" t="e">
        <f ca="1">K765/J765</f>
        <v>#DIV/0!</v>
      </c>
      <c r="M765" s="1161"/>
      <c r="N765" s="1138"/>
      <c r="O765" s="1138"/>
      <c r="P765" s="940"/>
      <c r="Q765" s="567"/>
      <c r="R765" s="1139" t="e">
        <f ca="1">K765</f>
        <v>#DIV/0!</v>
      </c>
      <c r="S765" s="114" t="s">
        <v>345</v>
      </c>
      <c r="T765" s="283" t="s">
        <v>367</v>
      </c>
    </row>
    <row r="766" spans="1:20" ht="21.95" customHeight="1">
      <c r="A766" s="555" t="s">
        <v>1101</v>
      </c>
      <c r="B766" s="800"/>
      <c r="C766" s="800"/>
      <c r="D766" s="800"/>
      <c r="E766" s="800"/>
      <c r="F766" s="800"/>
      <c r="G766" s="800"/>
      <c r="H766" s="762"/>
      <c r="I766" s="762"/>
      <c r="J766" s="666"/>
      <c r="K766" s="667"/>
      <c r="L766" s="801"/>
      <c r="M766" s="705"/>
      <c r="N766" s="669"/>
      <c r="O766" s="669"/>
      <c r="P766" s="800"/>
      <c r="Q766" s="563"/>
      <c r="R766" s="597"/>
    </row>
    <row r="767" spans="1:20" ht="21.95" customHeight="1">
      <c r="A767" s="617"/>
      <c r="B767" s="582"/>
      <c r="C767" s="582"/>
      <c r="D767" s="582"/>
      <c r="E767" s="582"/>
      <c r="F767" s="582"/>
      <c r="G767" s="582"/>
      <c r="H767" s="611"/>
      <c r="I767" s="611"/>
      <c r="J767" s="583" t="s">
        <v>1102</v>
      </c>
      <c r="K767" s="584" t="s">
        <v>1103</v>
      </c>
      <c r="L767" s="585"/>
      <c r="M767" s="586"/>
      <c r="N767" s="587"/>
      <c r="O767" s="587"/>
      <c r="P767" s="586"/>
      <c r="Q767" s="588"/>
      <c r="R767" s="589"/>
    </row>
    <row r="768" spans="1:20" ht="21.95" customHeight="1">
      <c r="A768" s="590" t="s">
        <v>1104</v>
      </c>
      <c r="B768" s="591"/>
      <c r="C768" s="591"/>
      <c r="D768" s="591"/>
      <c r="E768" s="591"/>
      <c r="F768" s="591"/>
      <c r="G768" s="591"/>
      <c r="H768" s="1162"/>
      <c r="I768" s="1162"/>
      <c r="J768" s="1163">
        <f ca="1">J5+J65+J72+J81+J89+J138+J212+J285+J306+J373+J388+J396+J397+J450+J463+J471+J513+J564+J603+J646</f>
        <v>0</v>
      </c>
      <c r="K768" s="1164" t="e">
        <f ca="1">K5+K65+K72+K81+K89+K138+K212+K285+K306+K373+K388+K396+K397+K450+K463+K471+K513+K564+K603+K646</f>
        <v>#DIV/0!</v>
      </c>
      <c r="L768" s="1165" t="e">
        <f ca="1">K768/J768</f>
        <v>#DIV/0!</v>
      </c>
      <c r="M768" s="591" t="s">
        <v>1105</v>
      </c>
      <c r="N768" s="593"/>
      <c r="O768" s="593"/>
      <c r="P768" s="592" t="e">
        <f ca="1">K768-R768</f>
        <v>#DIV/0!</v>
      </c>
      <c r="Q768" s="593"/>
      <c r="R768" s="1166" t="e">
        <f ca="1">SUM(R8:R766)</f>
        <v>#DIV/0!</v>
      </c>
    </row>
    <row r="769" spans="1:61" ht="21.95" customHeight="1">
      <c r="A769" s="594" t="s">
        <v>1106</v>
      </c>
      <c r="B769" s="595"/>
      <c r="C769" s="595"/>
      <c r="D769" s="595"/>
      <c r="E769" s="595"/>
      <c r="F769" s="595"/>
      <c r="G769" s="595"/>
      <c r="H769" s="594"/>
      <c r="I769" s="594"/>
      <c r="J769" s="1167"/>
      <c r="K769" s="596" t="s">
        <v>1107</v>
      </c>
      <c r="L769" s="1168"/>
      <c r="M769" s="1169"/>
      <c r="N769" s="570"/>
      <c r="O769" s="570"/>
      <c r="P769" s="568"/>
      <c r="Q769" s="570"/>
      <c r="R769" s="597"/>
    </row>
    <row r="770" spans="1:61" ht="21.95" customHeight="1">
      <c r="A770" s="594" t="s">
        <v>1108</v>
      </c>
      <c r="B770" s="598">
        <v>9</v>
      </c>
      <c r="C770" s="595">
        <v>1</v>
      </c>
      <c r="D770" s="595"/>
      <c r="E770" s="595"/>
      <c r="F770" s="595"/>
      <c r="G770" s="595"/>
      <c r="H770" s="655" cm="1">
        <f t="array" aca="1" ref="H770" ca="1">IFERROR(
    INDIRECT(
        "RawData!" &amp;
        ADDRESS(
            2,
            MATCH(
                TRIM(MID(A770, SEARCH(". ", A770) + 2, LEN(A770))) &amp; ".Import_kWh",
                RawData!$1:$1,
                0
            ),
            4
        )
    ),
    0
)</f>
        <v>0</v>
      </c>
      <c r="I770" s="655" cm="1">
        <f t="array" aca="1" ref="I770" ca="1">IFERROR(
    INDIRECT(
        "RawData!" &amp;
        ADDRESS(
            COUNTA(RawData!A:A),
            MATCH(
                TRIM(MID(A770, SEARCH(". ", A770) + 2, LEN(A770))) &amp; ".Import_kWh",
                RawData!$1:$1,
                0
            ),
            4
        )
    ),
    0
)</f>
        <v>0</v>
      </c>
      <c r="J770" s="599">
        <f t="shared" ref="J770:J775" ca="1" si="109">(I770-H770)*C770</f>
        <v>0</v>
      </c>
      <c r="K770" s="600">
        <f ca="1">J770*74.14</f>
        <v>0</v>
      </c>
      <c r="L770" s="1168"/>
      <c r="M770" s="617">
        <f>6144*74.14</f>
        <v>455516.16000000003</v>
      </c>
      <c r="N770" s="604"/>
      <c r="O770" s="604"/>
      <c r="P770" s="601"/>
      <c r="Q770" s="570"/>
      <c r="R770" s="597"/>
    </row>
    <row r="771" spans="1:61" ht="21.95" customHeight="1">
      <c r="A771" s="594" t="s">
        <v>1109</v>
      </c>
      <c r="B771" s="598">
        <v>10</v>
      </c>
      <c r="C771" s="595">
        <v>1</v>
      </c>
      <c r="D771" s="595"/>
      <c r="E771" s="595"/>
      <c r="F771" s="595"/>
      <c r="G771" s="595"/>
      <c r="H771" s="655" cm="1">
        <f t="array" aca="1" ref="H771" ca="1">IFERROR(
    INDIRECT(
        "RawData!" &amp;
        ADDRESS(
            2,
            MATCH(
                TRIM(MID(A771, SEARCH(". ", A771) + 2, LEN(A771))) &amp; ".Import_kWh",
                RawData!$1:$1,
                0
            ),
            4
        )
    ),
    0
)</f>
        <v>0</v>
      </c>
      <c r="I771" s="655" cm="1">
        <f t="array" aca="1" ref="I771" ca="1">IFERROR(
    INDIRECT(
        "RawData!" &amp;
        ADDRESS(
            COUNTA(RawData!A:A),
            MATCH(
                TRIM(MID(A771, SEARCH(". ", A771) + 2, LEN(A771))) &amp; ".Import_kWh",
                RawData!$1:$1,
                0
            ),
            4
        )
    ),
    0
)</f>
        <v>0</v>
      </c>
      <c r="J771" s="599">
        <f t="shared" ca="1" si="109"/>
        <v>0</v>
      </c>
      <c r="K771" s="602" t="s">
        <v>717</v>
      </c>
      <c r="L771" s="603"/>
      <c r="M771" s="778"/>
      <c r="N771" s="604"/>
      <c r="O771" s="604"/>
      <c r="P771" s="569"/>
      <c r="Q771" s="570"/>
      <c r="R771" s="597"/>
    </row>
    <row r="772" spans="1:61" ht="21.95" customHeight="1">
      <c r="A772" s="594" t="s">
        <v>1110</v>
      </c>
      <c r="B772" s="598">
        <v>11</v>
      </c>
      <c r="C772" s="595">
        <v>1</v>
      </c>
      <c r="D772" s="595"/>
      <c r="E772" s="595"/>
      <c r="F772" s="595"/>
      <c r="G772" s="595"/>
      <c r="H772" s="655" cm="1">
        <f t="array" aca="1" ref="H772" ca="1">IFERROR(
    INDIRECT(
        "RawData!" &amp;
        ADDRESS(
            2,
            MATCH(
                TRIM(MID(A772, SEARCH(". ", A772) + 2, LEN(A772))) &amp; ".Import_kWh",
                RawData!$1:$1,
                0
            ),
            4
        )
    ),
    0
)</f>
        <v>0</v>
      </c>
      <c r="I772" s="655" cm="1">
        <f t="array" aca="1" ref="I772" ca="1">IFERROR(
    INDIRECT(
        "RawData!" &amp;
        ADDRESS(
            COUNTA(RawData!A:A),
            MATCH(
                TRIM(MID(A772, SEARCH(". ", A772) + 2, LEN(A772))) &amp; ".Import_kWh",
                RawData!$1:$1,
                0
            ),
            4
        )
    ),
    0
)</f>
        <v>0</v>
      </c>
      <c r="J772" s="599">
        <f ca="1">(I772-H772)*C772</f>
        <v>0</v>
      </c>
      <c r="K772" s="602" t="s">
        <v>717</v>
      </c>
      <c r="L772" s="603"/>
      <c r="M772" s="617"/>
      <c r="N772" s="604"/>
      <c r="O772" s="604"/>
      <c r="P772" s="597"/>
      <c r="Q772" s="570"/>
      <c r="R772" s="617"/>
      <c r="BA772" s="553"/>
      <c r="BB772" s="553"/>
      <c r="BC772" s="553"/>
      <c r="BD772" s="553"/>
      <c r="BE772" s="554"/>
      <c r="BF772" s="554"/>
      <c r="BG772" s="554"/>
      <c r="BH772" s="554"/>
      <c r="BI772" s="554"/>
    </row>
    <row r="773" spans="1:61" ht="21.95" customHeight="1">
      <c r="A773" s="594" t="s">
        <v>1111</v>
      </c>
      <c r="B773" s="598">
        <v>7</v>
      </c>
      <c r="C773" s="595">
        <v>1</v>
      </c>
      <c r="D773" s="595"/>
      <c r="E773" s="595"/>
      <c r="F773" s="595"/>
      <c r="G773" s="595"/>
      <c r="H773" s="655" cm="1">
        <f t="array" aca="1" ref="H773" ca="1">IFERROR(
    INDIRECT(
        "RawData!" &amp;
        ADDRESS(
            2,
            MATCH(
                TRIM(MID(A773, SEARCH(". ", A773) + 2, LEN(A773))) &amp; ".Import_kWh",
                RawData!$1:$1,
                0
            ),
            4
        )
    ),
    0
)</f>
        <v>0</v>
      </c>
      <c r="I773" s="655" cm="1">
        <f t="array" aca="1" ref="I773" ca="1">IFERROR(
    INDIRECT(
        "RawData!" &amp;
        ADDRESS(
            COUNTA(RawData!A:A),
            MATCH(
                TRIM(MID(A773, SEARCH(". ", A773) + 2, LEN(A773))) &amp; ".Import_kWh",
                RawData!$1:$1,
                0
            ),
            4
        )
    ),
    0
)</f>
        <v>0</v>
      </c>
      <c r="J773" s="599">
        <f ca="1">(I773-H773)*C773</f>
        <v>0</v>
      </c>
      <c r="K773" s="605">
        <f ca="1">J773*4.1025</f>
        <v>0</v>
      </c>
      <c r="L773" s="603"/>
      <c r="M773" s="1170"/>
      <c r="N773" s="606"/>
      <c r="O773" s="606"/>
      <c r="P773" s="607"/>
      <c r="Q773" s="570"/>
      <c r="R773" s="608"/>
    </row>
    <row r="774" spans="1:61" ht="21.95" customHeight="1">
      <c r="A774" s="594" t="s">
        <v>1112</v>
      </c>
      <c r="B774" s="598">
        <v>8</v>
      </c>
      <c r="C774" s="595">
        <v>1</v>
      </c>
      <c r="D774" s="595"/>
      <c r="E774" s="595"/>
      <c r="F774" s="595"/>
      <c r="G774" s="595"/>
      <c r="H774" s="655" cm="1">
        <f t="array" aca="1" ref="H774" ca="1">IFERROR(
    INDIRECT(
        "RawData!" &amp;
        ADDRESS(
            2,
            MATCH(
                TRIM(MID(A774, SEARCH(". ", A774) + 2, LEN(A774))) &amp; ".Import_kWh",
                RawData!$1:$1,
                0
            ),
            4
        )
    ),
    0
)</f>
        <v>0</v>
      </c>
      <c r="I774" s="655" cm="1">
        <f t="array" aca="1" ref="I774" ca="1">IFERROR(
    INDIRECT(
        "RawData!" &amp;
        ADDRESS(
            COUNTA(RawData!A:A),
            MATCH(
                TRIM(MID(A774, SEARCH(". ", A774) + 2, LEN(A774))) &amp; ".Import_kWh",
                RawData!$1:$1,
                0
            ),
            4
        )
    ),
    0
)</f>
        <v>0</v>
      </c>
      <c r="J774" s="599">
        <f t="shared" ca="1" si="109"/>
        <v>0</v>
      </c>
      <c r="K774" s="605">
        <f ca="1">J774*2.5849</f>
        <v>0</v>
      </c>
      <c r="L774" s="603"/>
      <c r="M774" s="1171"/>
      <c r="N774" s="604"/>
      <c r="O774" s="604"/>
      <c r="P774" s="597"/>
      <c r="Q774" s="570"/>
      <c r="R774" s="617"/>
    </row>
    <row r="775" spans="1:61" ht="21.95" customHeight="1">
      <c r="A775" s="594" t="s">
        <v>1113</v>
      </c>
      <c r="B775" s="598">
        <v>9</v>
      </c>
      <c r="C775" s="595">
        <v>1</v>
      </c>
      <c r="D775" s="595"/>
      <c r="E775" s="595"/>
      <c r="F775" s="595"/>
      <c r="G775" s="595"/>
      <c r="H775" s="655" cm="1">
        <f t="array" aca="1" ref="H775" ca="1">IFERROR(
    INDIRECT(
        "RawData!" &amp;
        ADDRESS(
            2,
            MATCH(
                TRIM(MID(A775, SEARCH(". ", A775) + 2, LEN(A775))) &amp; ".Import_kWh",
                RawData!$1:$1,
                0
            ),
            4
        )
    ),
    0
)</f>
        <v>0</v>
      </c>
      <c r="I775" s="655" cm="1">
        <f t="array" aca="1" ref="I775" ca="1">IFERROR(
    INDIRECT(
        "RawData!" &amp;
        ADDRESS(
            COUNTA(RawData!A:A),
            MATCH(
                TRIM(MID(A775, SEARCH(". ", A775) + 2, LEN(A775))) &amp; ".Import_kWh",
                RawData!$1:$1,
                0
            ),
            4
        )
    ),
    0
)</f>
        <v>0</v>
      </c>
      <c r="J775" s="599">
        <f t="shared" ca="1" si="109"/>
        <v>0</v>
      </c>
      <c r="K775" s="605">
        <f ca="1">J775*2.5849</f>
        <v>0</v>
      </c>
      <c r="L775" s="603"/>
      <c r="M775" s="1172"/>
      <c r="N775" s="604"/>
      <c r="O775" s="604"/>
      <c r="P775" s="609"/>
      <c r="Q775" s="570"/>
      <c r="R775" s="610"/>
    </row>
    <row r="776" spans="1:61" ht="21.95" customHeight="1">
      <c r="A776" s="594" t="s">
        <v>699</v>
      </c>
      <c r="B776" s="598"/>
      <c r="C776" s="595"/>
      <c r="D776" s="595"/>
      <c r="E776" s="595"/>
      <c r="F776" s="595"/>
      <c r="G776" s="595"/>
      <c r="H776" s="1014"/>
      <c r="I776" s="1014"/>
      <c r="J776" s="599">
        <v>0</v>
      </c>
      <c r="K776" s="605">
        <f>J776*2.176</f>
        <v>0</v>
      </c>
      <c r="L776" s="603"/>
      <c r="M776" s="1172"/>
      <c r="N776" s="604"/>
      <c r="O776" s="604"/>
      <c r="P776" s="609"/>
      <c r="Q776" s="570"/>
      <c r="R776" s="610"/>
    </row>
    <row r="777" spans="1:61" s="52" customFormat="1" ht="21.95" customHeight="1">
      <c r="A777" s="611" t="s">
        <v>1114</v>
      </c>
      <c r="B777" s="612"/>
      <c r="C777" s="612"/>
      <c r="D777" s="613"/>
      <c r="E777" s="613"/>
      <c r="F777" s="613"/>
      <c r="G777" s="613"/>
      <c r="H777" s="1014"/>
      <c r="I777" s="1014"/>
      <c r="J777" s="599">
        <f ca="1">J773+J774+J775+J776</f>
        <v>0</v>
      </c>
      <c r="K777" s="614">
        <f ca="1">SUM(K773:K776)</f>
        <v>0</v>
      </c>
      <c r="L777" s="615"/>
      <c r="M777" s="1173">
        <f ca="1">K770+K777</f>
        <v>0</v>
      </c>
      <c r="N777" s="616"/>
      <c r="O777" s="616"/>
      <c r="P777" s="617"/>
      <c r="Q777" s="617"/>
      <c r="R777" s="610"/>
      <c r="U777" s="7"/>
      <c r="V777" s="7"/>
      <c r="W777" s="7"/>
      <c r="X777" s="7"/>
      <c r="Y777" s="7"/>
      <c r="Z777" s="7"/>
      <c r="AA777" s="449"/>
      <c r="AB777" s="22"/>
      <c r="AC777" s="7"/>
      <c r="AD777" s="7"/>
      <c r="AE777" s="7"/>
      <c r="AF777" s="7"/>
      <c r="AG777" s="7"/>
      <c r="AH777" s="7"/>
      <c r="AI777" s="7"/>
      <c r="AJ777" s="7"/>
      <c r="AK777" s="7"/>
      <c r="AL777" s="7"/>
      <c r="AM777" s="7"/>
      <c r="AN777" s="7"/>
      <c r="AO777" s="7"/>
      <c r="AP777" s="7"/>
      <c r="AQ777" s="7"/>
      <c r="AR777" s="7"/>
      <c r="AS777" s="7"/>
      <c r="AT777" s="7"/>
      <c r="AU777" s="49"/>
      <c r="AV777" s="7"/>
      <c r="AW777" s="7"/>
      <c r="AX777" s="7"/>
      <c r="AY777" s="7"/>
      <c r="AZ777" s="7"/>
      <c r="BA777" s="67"/>
      <c r="BB777" s="67"/>
      <c r="BC777" s="67"/>
      <c r="BD777" s="67"/>
      <c r="BE777" s="68"/>
      <c r="BF777" s="68"/>
      <c r="BG777" s="68"/>
      <c r="BH777" s="68"/>
      <c r="BI777" s="68"/>
    </row>
    <row r="778" spans="1:61" s="52" customFormat="1" ht="21.95" customHeight="1">
      <c r="A778" s="618" t="s">
        <v>1115</v>
      </c>
      <c r="B778" s="619">
        <v>16</v>
      </c>
      <c r="C778" s="619">
        <v>1</v>
      </c>
      <c r="D778" s="619"/>
      <c r="E778" s="619"/>
      <c r="F778" s="619"/>
      <c r="G778" s="619"/>
      <c r="H778" s="655" cm="1">
        <f t="array" aca="1" ref="H778" ca="1">IFERROR(
    INDIRECT(
        "RawData!" &amp;
        ADDRESS(
            2,
            MATCH(
                TRIM(MID(A778, SEARCH(". ", A778) + 2, LEN(A778))) &amp; ".Import_kWh",
                RawData!$1:$1,
                0
            ),
            4
        )
    ),
    0
)</f>
        <v>0</v>
      </c>
      <c r="I778" s="655" cm="1">
        <f t="array" aca="1" ref="I778" ca="1">IFERROR(
    INDIRECT(
        "RawData!" &amp;
        ADDRESS(
            COUNTA(RawData!A:A),
            MATCH(
                TRIM(MID(A778, SEARCH(". ", A778) + 2, LEN(A778))) &amp; ".Import_kWh",
                RawData!$1:$1,
                0
            ),
            4
        )
    ),
    0
)</f>
        <v>0</v>
      </c>
      <c r="J778" s="620">
        <f ca="1">(I778-H778)*C778</f>
        <v>0</v>
      </c>
      <c r="K778" s="621"/>
      <c r="L778" s="622"/>
      <c r="M778" s="618"/>
      <c r="N778" s="623"/>
      <c r="O778" s="623"/>
      <c r="P778" s="624"/>
      <c r="Q778" s="625"/>
      <c r="R778" s="626"/>
      <c r="U778" s="7"/>
      <c r="V778" s="7"/>
      <c r="W778" s="7"/>
      <c r="X778" s="7"/>
      <c r="Y778" s="7"/>
      <c r="Z778" s="7"/>
      <c r="AA778" s="449"/>
      <c r="AB778" s="22"/>
      <c r="AC778" s="7"/>
      <c r="AD778" s="7"/>
      <c r="AE778" s="7"/>
      <c r="AF778" s="7"/>
      <c r="AG778" s="7"/>
      <c r="AH778" s="7"/>
      <c r="AI778" s="7"/>
      <c r="AJ778" s="7"/>
      <c r="AK778" s="7"/>
      <c r="AL778" s="7"/>
      <c r="AM778" s="7"/>
      <c r="AN778" s="7"/>
      <c r="AO778" s="7"/>
      <c r="AP778" s="7"/>
      <c r="AQ778" s="7"/>
      <c r="AR778" s="7"/>
      <c r="AS778" s="7"/>
      <c r="AT778" s="7"/>
      <c r="AU778" s="49"/>
      <c r="AV778" s="7"/>
      <c r="AW778" s="7"/>
      <c r="AX778" s="7"/>
      <c r="AY778" s="7"/>
      <c r="AZ778" s="7"/>
      <c r="BA778" s="67"/>
      <c r="BB778" s="67"/>
      <c r="BC778" s="67"/>
      <c r="BD778" s="67"/>
      <c r="BE778" s="68"/>
      <c r="BF778" s="68"/>
      <c r="BG778" s="68"/>
      <c r="BH778" s="68"/>
      <c r="BI778" s="68"/>
    </row>
    <row r="779" spans="1:61" s="52" customFormat="1" ht="21.95" customHeight="1">
      <c r="A779" s="627" t="s">
        <v>1116</v>
      </c>
      <c r="B779" s="80" t="s">
        <v>1117</v>
      </c>
      <c r="C779" s="13"/>
      <c r="D779" s="13"/>
      <c r="E779" s="13"/>
      <c r="F779" s="13"/>
      <c r="G779" s="13"/>
      <c r="H779" s="13"/>
      <c r="I779" s="551"/>
      <c r="J779" s="628"/>
      <c r="K779" s="628"/>
      <c r="L779" s="628"/>
      <c r="M779" s="13"/>
      <c r="N779" s="13"/>
      <c r="O779" s="13"/>
      <c r="P779" s="13"/>
      <c r="Q779" s="13"/>
      <c r="R779" s="13"/>
      <c r="U779" s="7"/>
      <c r="V779" s="7"/>
      <c r="W779" s="7"/>
      <c r="X779" s="7"/>
      <c r="Y779" s="7"/>
      <c r="Z779" s="7"/>
      <c r="AA779" s="449"/>
      <c r="AB779" s="22"/>
      <c r="AC779" s="7"/>
      <c r="AD779" s="7"/>
      <c r="AE779" s="7"/>
      <c r="AF779" s="7"/>
      <c r="AG779" s="7"/>
      <c r="AH779" s="7"/>
      <c r="AI779" s="7"/>
      <c r="AJ779" s="7"/>
      <c r="AK779" s="7"/>
      <c r="AL779" s="7"/>
      <c r="AM779" s="7"/>
      <c r="AN779" s="7"/>
      <c r="AO779" s="7"/>
      <c r="AP779" s="7"/>
      <c r="AQ779" s="7"/>
      <c r="AR779" s="7"/>
      <c r="AS779" s="7"/>
      <c r="AT779" s="7"/>
      <c r="AU779" s="49"/>
      <c r="AV779" s="7"/>
      <c r="AW779" s="7"/>
      <c r="AX779" s="7"/>
      <c r="AY779" s="7"/>
      <c r="AZ779" s="7"/>
      <c r="BA779" s="67"/>
      <c r="BB779" s="67"/>
      <c r="BC779" s="67"/>
      <c r="BD779" s="67"/>
      <c r="BE779" s="68"/>
      <c r="BF779" s="68"/>
      <c r="BG779" s="68"/>
      <c r="BH779" s="68"/>
      <c r="BI779" s="68"/>
    </row>
    <row r="780" spans="1:61" s="52" customFormat="1" ht="21.95" customHeight="1">
      <c r="A780" s="13"/>
      <c r="B780" s="13"/>
      <c r="C780" s="13"/>
      <c r="D780" s="13"/>
      <c r="E780" s="13"/>
      <c r="F780" s="13"/>
      <c r="G780" s="13"/>
      <c r="H780" s="13"/>
      <c r="I780" s="551"/>
      <c r="J780" s="1174"/>
      <c r="K780" s="628" t="s">
        <v>1118</v>
      </c>
      <c r="L780" s="13"/>
      <c r="M780" s="13"/>
      <c r="N780" s="13"/>
      <c r="O780" s="13"/>
      <c r="P780" s="13"/>
      <c r="Q780" s="13"/>
      <c r="R780" s="13"/>
      <c r="U780" s="7"/>
      <c r="V780" s="7"/>
      <c r="W780" s="7"/>
      <c r="X780" s="7"/>
      <c r="Y780" s="7"/>
      <c r="Z780" s="7"/>
      <c r="AA780" s="449"/>
      <c r="AB780" s="22"/>
      <c r="AC780" s="7"/>
      <c r="AD780" s="7"/>
      <c r="AE780" s="7"/>
      <c r="AF780" s="7"/>
      <c r="AG780" s="7"/>
      <c r="AH780" s="7"/>
      <c r="AI780" s="7"/>
      <c r="AJ780" s="7"/>
      <c r="AK780" s="7"/>
      <c r="AL780" s="7"/>
      <c r="AM780" s="7"/>
      <c r="AN780" s="7"/>
      <c r="AO780" s="7"/>
      <c r="AP780" s="7"/>
      <c r="AQ780" s="7"/>
      <c r="AR780" s="7"/>
      <c r="AS780" s="7"/>
      <c r="AT780" s="7"/>
      <c r="AU780" s="49"/>
      <c r="AV780" s="7"/>
      <c r="AW780" s="7"/>
      <c r="AX780" s="7"/>
      <c r="AY780" s="7"/>
      <c r="AZ780" s="7"/>
      <c r="BA780" s="67"/>
      <c r="BB780" s="67"/>
      <c r="BC780" s="67"/>
      <c r="BD780" s="67"/>
      <c r="BE780" s="68"/>
      <c r="BF780" s="68"/>
      <c r="BG780" s="68"/>
      <c r="BH780" s="68"/>
      <c r="BI780" s="68"/>
    </row>
    <row r="781" spans="1:61" s="52" customFormat="1" ht="21.95" customHeight="1">
      <c r="A781" s="13"/>
      <c r="B781" s="13">
        <v>1</v>
      </c>
      <c r="C781" s="629" t="s">
        <v>1119</v>
      </c>
      <c r="D781" s="13"/>
      <c r="E781" s="13"/>
      <c r="F781" s="13"/>
      <c r="G781" s="13"/>
      <c r="H781" s="13"/>
      <c r="I781" s="630"/>
      <c r="J781" s="13"/>
      <c r="K781" s="13" t="s">
        <v>463</v>
      </c>
      <c r="L781" s="13"/>
      <c r="M781" s="13"/>
      <c r="N781" s="13"/>
      <c r="O781" s="13"/>
      <c r="P781" s="13"/>
      <c r="Q781" s="13"/>
      <c r="R781" s="13"/>
      <c r="U781" s="7"/>
      <c r="V781" s="7"/>
      <c r="W781" s="7"/>
      <c r="X781" s="7"/>
      <c r="Y781" s="7"/>
      <c r="Z781" s="7"/>
      <c r="AA781" s="449"/>
      <c r="AB781" s="22"/>
      <c r="AC781" s="7"/>
      <c r="AD781" s="7"/>
      <c r="AE781" s="7"/>
      <c r="AF781" s="7"/>
      <c r="AG781" s="7"/>
      <c r="AH781" s="7"/>
      <c r="AI781" s="7"/>
      <c r="AJ781" s="7"/>
      <c r="AK781" s="7"/>
      <c r="AL781" s="7"/>
      <c r="AM781" s="7"/>
      <c r="AN781" s="7"/>
      <c r="AO781" s="7"/>
      <c r="AP781" s="7"/>
      <c r="AQ781" s="7"/>
      <c r="AR781" s="7"/>
      <c r="AS781" s="7"/>
      <c r="AT781" s="7"/>
      <c r="AU781" s="49"/>
      <c r="AV781" s="7"/>
      <c r="AW781" s="7"/>
      <c r="AX781" s="7"/>
      <c r="AY781" s="7"/>
      <c r="AZ781" s="7"/>
      <c r="BA781" s="67"/>
      <c r="BB781" s="67"/>
      <c r="BC781" s="67"/>
      <c r="BD781" s="67"/>
      <c r="BE781" s="68"/>
      <c r="BF781" s="68"/>
      <c r="BG781" s="68"/>
      <c r="BH781" s="68"/>
      <c r="BI781" s="68"/>
    </row>
    <row r="782" spans="1:61" s="52" customFormat="1" ht="21.95" customHeight="1">
      <c r="A782" s="80"/>
      <c r="B782" s="13">
        <v>2</v>
      </c>
      <c r="C782" s="629" t="s">
        <v>1120</v>
      </c>
      <c r="D782" s="13"/>
      <c r="E782" s="13"/>
      <c r="F782" s="13"/>
      <c r="G782" s="13"/>
      <c r="H782" s="13"/>
      <c r="I782" s="630"/>
      <c r="J782" s="13"/>
      <c r="K782" s="13" t="s">
        <v>1121</v>
      </c>
      <c r="L782" s="13"/>
      <c r="M782" s="555" t="s">
        <v>1066</v>
      </c>
      <c r="N782" s="13"/>
      <c r="O782" s="13"/>
      <c r="P782" s="13"/>
      <c r="Q782" s="13"/>
      <c r="R782" s="13"/>
      <c r="U782" s="7"/>
      <c r="V782" s="7"/>
      <c r="W782" s="7"/>
      <c r="X782" s="7"/>
      <c r="Y782" s="7"/>
      <c r="Z782" s="7"/>
      <c r="AA782" s="449"/>
      <c r="AB782" s="22"/>
      <c r="AC782" s="7"/>
      <c r="AD782" s="7"/>
      <c r="AE782" s="7"/>
      <c r="AF782" s="7"/>
      <c r="AG782" s="7"/>
      <c r="AH782" s="7"/>
      <c r="AI782" s="7"/>
      <c r="AJ782" s="7"/>
      <c r="AK782" s="7"/>
      <c r="AL782" s="7"/>
      <c r="AM782" s="7"/>
      <c r="AN782" s="7"/>
      <c r="AO782" s="7"/>
      <c r="AP782" s="7"/>
      <c r="AQ782" s="7"/>
      <c r="AR782" s="7"/>
      <c r="AS782" s="7"/>
      <c r="AT782" s="7"/>
      <c r="AU782" s="49"/>
      <c r="AV782" s="7"/>
      <c r="AW782" s="7"/>
      <c r="AX782" s="7"/>
      <c r="AY782" s="7"/>
      <c r="AZ782" s="7"/>
      <c r="BA782" s="67"/>
      <c r="BB782" s="67"/>
      <c r="BC782" s="67"/>
      <c r="BD782" s="67"/>
      <c r="BE782" s="68"/>
      <c r="BF782" s="68"/>
      <c r="BG782" s="68"/>
      <c r="BH782" s="68"/>
      <c r="BI782" s="68"/>
    </row>
    <row r="783" spans="1:61" s="52" customFormat="1" ht="21.95" customHeight="1">
      <c r="A783" s="80"/>
      <c r="B783" s="13">
        <v>3</v>
      </c>
      <c r="C783" s="629" t="s">
        <v>1122</v>
      </c>
      <c r="D783" s="629"/>
      <c r="E783" s="13"/>
      <c r="F783" s="13"/>
      <c r="G783" s="13"/>
      <c r="H783" s="13"/>
      <c r="I783" s="13"/>
      <c r="J783" s="551"/>
      <c r="K783" s="13"/>
      <c r="L783" s="13"/>
      <c r="M783" s="555" t="s">
        <v>1067</v>
      </c>
      <c r="N783" s="13"/>
      <c r="O783" s="13"/>
      <c r="P783" s="13"/>
      <c r="Q783" s="13"/>
      <c r="R783" s="13"/>
      <c r="U783" s="7"/>
      <c r="V783" s="7"/>
      <c r="W783" s="7"/>
      <c r="X783" s="7"/>
      <c r="Y783" s="7"/>
      <c r="Z783" s="7"/>
      <c r="AA783" s="449"/>
      <c r="AB783" s="22"/>
      <c r="AC783" s="7"/>
      <c r="AD783" s="7"/>
      <c r="AE783" s="7"/>
      <c r="AF783" s="7"/>
      <c r="AG783" s="7"/>
      <c r="AH783" s="7"/>
      <c r="AI783" s="7"/>
      <c r="AJ783" s="7"/>
      <c r="AK783" s="7"/>
      <c r="AL783" s="7"/>
      <c r="AM783" s="7"/>
      <c r="AN783" s="7"/>
      <c r="AO783" s="7"/>
      <c r="AP783" s="7"/>
      <c r="AQ783" s="7"/>
      <c r="AR783" s="7"/>
      <c r="AS783" s="7"/>
      <c r="AT783" s="7"/>
      <c r="AU783" s="49"/>
      <c r="AV783" s="7"/>
      <c r="AW783" s="7"/>
      <c r="AX783" s="7"/>
      <c r="AY783" s="7"/>
      <c r="AZ783" s="7"/>
      <c r="BA783" s="67"/>
      <c r="BB783" s="67"/>
      <c r="BC783" s="67"/>
      <c r="BD783" s="67"/>
      <c r="BE783" s="68"/>
      <c r="BF783" s="68"/>
      <c r="BG783" s="68"/>
      <c r="BH783" s="68"/>
      <c r="BI783" s="68"/>
    </row>
    <row r="784" spans="1:61" s="52" customFormat="1" ht="21.95" customHeight="1">
      <c r="A784" s="80"/>
      <c r="B784" s="13">
        <v>4</v>
      </c>
      <c r="C784" s="629" t="s">
        <v>1123</v>
      </c>
      <c r="D784" s="13"/>
      <c r="E784" s="13"/>
      <c r="F784" s="13"/>
      <c r="G784" s="13"/>
      <c r="H784" s="13"/>
      <c r="I784" s="551"/>
      <c r="J784" s="13"/>
      <c r="K784" s="901" t="s">
        <v>1124</v>
      </c>
      <c r="L784" s="1201" t="s">
        <v>1125</v>
      </c>
      <c r="M784" s="13"/>
      <c r="N784" s="13"/>
      <c r="O784" s="13"/>
      <c r="P784" s="13"/>
      <c r="Q784" s="13"/>
      <c r="R784" s="13"/>
      <c r="U784" s="7"/>
      <c r="V784" s="7"/>
      <c r="W784" s="7"/>
      <c r="X784" s="7"/>
      <c r="Y784" s="7"/>
      <c r="Z784" s="7"/>
      <c r="AA784" s="449"/>
      <c r="AB784" s="22"/>
      <c r="AC784" s="7"/>
      <c r="AD784" s="7"/>
      <c r="AE784" s="7"/>
      <c r="AF784" s="7"/>
      <c r="AG784" s="7"/>
      <c r="AH784" s="7"/>
      <c r="AI784" s="7"/>
      <c r="AJ784" s="7"/>
      <c r="AK784" s="7"/>
      <c r="AL784" s="7"/>
      <c r="AM784" s="7"/>
      <c r="AN784" s="7"/>
      <c r="AO784" s="7"/>
      <c r="AP784" s="7"/>
      <c r="AQ784" s="7"/>
      <c r="AR784" s="7"/>
      <c r="AS784" s="7"/>
      <c r="AT784" s="7"/>
      <c r="AU784" s="49"/>
      <c r="AV784" s="7"/>
      <c r="AW784" s="7"/>
      <c r="AX784" s="7"/>
      <c r="AY784" s="7"/>
      <c r="AZ784" s="7"/>
      <c r="BA784" s="67"/>
      <c r="BB784" s="67"/>
      <c r="BC784" s="67"/>
      <c r="BD784" s="67"/>
      <c r="BE784" s="68"/>
      <c r="BF784" s="68"/>
      <c r="BG784" s="68"/>
      <c r="BH784" s="68"/>
      <c r="BI784" s="68"/>
    </row>
    <row r="785" spans="1:61" s="52" customFormat="1" ht="21.95" customHeight="1">
      <c r="A785" s="13"/>
      <c r="B785" s="13">
        <v>5</v>
      </c>
      <c r="C785" s="13" t="s">
        <v>1126</v>
      </c>
      <c r="D785" s="13"/>
      <c r="E785" s="13"/>
      <c r="F785" s="13"/>
      <c r="G785" s="13"/>
      <c r="H785" s="13"/>
      <c r="I785" s="551"/>
      <c r="J785" s="1174"/>
      <c r="K785" s="901" t="s">
        <v>1127</v>
      </c>
      <c r="L785" s="1201"/>
      <c r="M785" s="13"/>
      <c r="N785" s="555" t="s">
        <v>1128</v>
      </c>
      <c r="O785" s="13"/>
      <c r="P785" s="13"/>
      <c r="Q785" s="13"/>
      <c r="R785" s="13"/>
      <c r="U785" s="7"/>
      <c r="V785" s="7"/>
      <c r="W785" s="7"/>
      <c r="X785" s="7"/>
      <c r="Y785" s="7"/>
      <c r="Z785" s="7"/>
      <c r="AA785" s="449"/>
      <c r="AB785" s="22"/>
      <c r="AC785" s="7"/>
      <c r="AD785" s="7"/>
      <c r="AE785" s="7"/>
      <c r="AF785" s="7"/>
      <c r="AG785" s="7"/>
      <c r="AH785" s="7"/>
      <c r="AI785" s="7"/>
      <c r="AJ785" s="7"/>
      <c r="AK785" s="7"/>
      <c r="AL785" s="7"/>
      <c r="AM785" s="7"/>
      <c r="AN785" s="7"/>
      <c r="AO785" s="7"/>
      <c r="AP785" s="7"/>
      <c r="AQ785" s="7"/>
      <c r="AR785" s="7"/>
      <c r="AS785" s="7"/>
      <c r="AT785" s="7"/>
      <c r="AU785" s="49"/>
      <c r="AV785" s="7"/>
      <c r="AW785" s="7"/>
      <c r="AX785" s="7"/>
      <c r="AY785" s="7"/>
      <c r="AZ785" s="7"/>
      <c r="BA785" s="67"/>
      <c r="BB785" s="67"/>
      <c r="BC785" s="67"/>
      <c r="BD785" s="67"/>
      <c r="BE785" s="68"/>
      <c r="BF785" s="68"/>
      <c r="BG785" s="68"/>
      <c r="BH785" s="68"/>
      <c r="BI785" s="68"/>
    </row>
    <row r="786" spans="1:61" s="52" customFormat="1" ht="21.95" customHeight="1">
      <c r="A786" s="13"/>
      <c r="B786" s="13">
        <v>6</v>
      </c>
      <c r="C786" s="629" t="s">
        <v>1129</v>
      </c>
      <c r="D786" s="13"/>
      <c r="E786" s="13"/>
      <c r="F786" s="13"/>
      <c r="G786" s="13"/>
      <c r="H786" s="13"/>
      <c r="I786" s="551"/>
      <c r="J786" s="13"/>
      <c r="K786" s="901" t="s">
        <v>1130</v>
      </c>
      <c r="L786" s="1201"/>
      <c r="M786" s="13"/>
      <c r="N786" s="804" t="s">
        <v>1131</v>
      </c>
      <c r="O786" s="1175"/>
      <c r="P786" s="1202" t="s">
        <v>1132</v>
      </c>
      <c r="Q786" s="13"/>
      <c r="R786" s="13"/>
      <c r="U786" s="7"/>
      <c r="V786" s="7"/>
      <c r="W786" s="7"/>
      <c r="X786" s="7"/>
      <c r="Y786" s="7"/>
      <c r="Z786" s="7"/>
      <c r="AA786" s="449"/>
      <c r="AB786" s="22"/>
      <c r="AC786" s="7"/>
      <c r="AD786" s="7"/>
      <c r="AE786" s="7"/>
      <c r="AF786" s="7"/>
      <c r="AG786" s="7"/>
      <c r="AH786" s="7"/>
      <c r="AI786" s="7"/>
      <c r="AJ786" s="7"/>
      <c r="AK786" s="7"/>
      <c r="AL786" s="7"/>
      <c r="AM786" s="7"/>
      <c r="AN786" s="7"/>
      <c r="AO786" s="7"/>
      <c r="AP786" s="7"/>
      <c r="AQ786" s="7"/>
      <c r="AR786" s="7"/>
      <c r="AS786" s="7"/>
      <c r="AT786" s="7"/>
      <c r="AU786" s="49"/>
      <c r="AV786" s="7"/>
      <c r="AW786" s="7"/>
      <c r="AX786" s="7"/>
      <c r="AY786" s="7"/>
      <c r="AZ786" s="7"/>
      <c r="BA786" s="67"/>
      <c r="BB786" s="67"/>
      <c r="BC786" s="67"/>
      <c r="BD786" s="67"/>
      <c r="BE786" s="68"/>
      <c r="BF786" s="68"/>
      <c r="BG786" s="68"/>
      <c r="BH786" s="68"/>
      <c r="BI786" s="68"/>
    </row>
    <row r="787" spans="1:61" s="52" customFormat="1" ht="21.95" customHeight="1">
      <c r="A787" s="13"/>
      <c r="B787" s="13">
        <v>7</v>
      </c>
      <c r="C787" s="629" t="s">
        <v>1133</v>
      </c>
      <c r="D787" s="13"/>
      <c r="E787" s="13"/>
      <c r="F787" s="13"/>
      <c r="G787" s="13"/>
      <c r="H787" s="13"/>
      <c r="I787" s="551"/>
      <c r="J787" s="13"/>
      <c r="K787" s="901" t="s">
        <v>1134</v>
      </c>
      <c r="L787" s="1201"/>
      <c r="M787" s="13"/>
      <c r="N787" s="804" t="s">
        <v>1135</v>
      </c>
      <c r="O787" s="1175"/>
      <c r="P787" s="1202"/>
      <c r="Q787" s="13"/>
      <c r="R787" s="13"/>
      <c r="U787" s="7"/>
      <c r="V787" s="7"/>
      <c r="W787" s="7"/>
      <c r="X787" s="7"/>
      <c r="Y787" s="7"/>
      <c r="Z787" s="7"/>
      <c r="AA787" s="449"/>
      <c r="AB787" s="22"/>
      <c r="AC787" s="7"/>
      <c r="AD787" s="7"/>
      <c r="AE787" s="7"/>
      <c r="AF787" s="7"/>
      <c r="AG787" s="7"/>
      <c r="AH787" s="7"/>
      <c r="AI787" s="7"/>
      <c r="AJ787" s="7"/>
      <c r="AK787" s="7"/>
      <c r="AL787" s="7"/>
      <c r="AM787" s="7"/>
      <c r="AN787" s="7"/>
      <c r="AO787" s="7"/>
      <c r="AP787" s="7"/>
      <c r="AQ787" s="7"/>
      <c r="AR787" s="7"/>
      <c r="AS787" s="7"/>
      <c r="AT787" s="7"/>
      <c r="AU787" s="49"/>
      <c r="AV787" s="7"/>
      <c r="AW787" s="7"/>
      <c r="AX787" s="7"/>
      <c r="AY787" s="7"/>
      <c r="AZ787" s="7"/>
      <c r="BA787" s="67"/>
      <c r="BB787" s="67"/>
      <c r="BC787" s="67"/>
      <c r="BD787" s="67"/>
      <c r="BE787" s="68"/>
      <c r="BF787" s="68"/>
      <c r="BG787" s="68"/>
      <c r="BH787" s="68"/>
      <c r="BI787" s="68"/>
    </row>
    <row r="788" spans="1:61" s="52" customFormat="1" ht="21.95" customHeight="1">
      <c r="A788" s="13"/>
      <c r="B788" s="13">
        <v>8</v>
      </c>
      <c r="C788" s="13" t="s">
        <v>1136</v>
      </c>
      <c r="D788" s="13"/>
      <c r="E788" s="13"/>
      <c r="F788" s="13"/>
      <c r="G788" s="13"/>
      <c r="H788" s="13"/>
      <c r="I788" s="551"/>
      <c r="J788" s="13"/>
      <c r="K788" s="13"/>
      <c r="L788" s="13"/>
      <c r="M788" s="13"/>
      <c r="N788" s="13"/>
      <c r="O788" s="13"/>
      <c r="P788" s="13"/>
      <c r="Q788" s="13"/>
      <c r="R788" s="13"/>
      <c r="U788" s="7"/>
      <c r="V788" s="7"/>
      <c r="W788" s="7"/>
      <c r="X788" s="7"/>
      <c r="Y788" s="7"/>
      <c r="Z788" s="7"/>
      <c r="AA788" s="449"/>
      <c r="AB788" s="22"/>
      <c r="AC788" s="7"/>
      <c r="AD788" s="7"/>
      <c r="AE788" s="7"/>
      <c r="AF788" s="7"/>
      <c r="AG788" s="7"/>
      <c r="AH788" s="7"/>
      <c r="AI788" s="7"/>
      <c r="AJ788" s="7"/>
      <c r="AK788" s="7"/>
      <c r="AL788" s="7"/>
      <c r="AM788" s="7"/>
      <c r="AN788" s="7"/>
      <c r="AO788" s="7"/>
      <c r="AP788" s="7"/>
      <c r="AQ788" s="7"/>
      <c r="AR788" s="7"/>
      <c r="AS788" s="7"/>
      <c r="AT788" s="7"/>
      <c r="AU788" s="49"/>
      <c r="AV788" s="7"/>
      <c r="AW788" s="7"/>
      <c r="AX788" s="7"/>
      <c r="AY788" s="7"/>
      <c r="AZ788" s="7"/>
      <c r="BA788" s="67"/>
      <c r="BB788" s="67"/>
      <c r="BC788" s="67"/>
      <c r="BD788" s="67"/>
      <c r="BE788" s="68"/>
      <c r="BF788" s="68"/>
      <c r="BG788" s="68"/>
      <c r="BH788" s="68"/>
      <c r="BI788" s="68"/>
    </row>
    <row r="789" spans="1:61" s="52" customFormat="1" ht="21.95" customHeight="1">
      <c r="A789" s="13"/>
      <c r="B789" s="13"/>
      <c r="C789" s="13" t="s">
        <v>1137</v>
      </c>
      <c r="D789" s="13"/>
      <c r="E789" s="13"/>
      <c r="F789" s="13"/>
      <c r="G789" s="13"/>
      <c r="H789" s="13"/>
      <c r="I789" s="551"/>
      <c r="J789" s="13"/>
      <c r="K789" s="1176"/>
      <c r="L789" s="13"/>
      <c r="M789" s="13"/>
      <c r="N789" s="13"/>
      <c r="O789" s="13"/>
      <c r="P789" s="13"/>
      <c r="Q789" s="13"/>
      <c r="R789" s="13"/>
      <c r="U789" s="7"/>
      <c r="V789" s="7"/>
      <c r="W789" s="7"/>
      <c r="X789" s="7"/>
      <c r="Y789" s="7"/>
      <c r="Z789" s="7"/>
      <c r="AA789" s="449"/>
      <c r="AB789" s="22"/>
      <c r="AC789" s="7"/>
      <c r="AD789" s="7"/>
      <c r="AE789" s="7"/>
      <c r="AF789" s="7"/>
      <c r="AG789" s="7"/>
      <c r="AH789" s="7"/>
      <c r="AI789" s="7"/>
      <c r="AJ789" s="7"/>
      <c r="AK789" s="7"/>
      <c r="AL789" s="7"/>
      <c r="AM789" s="7"/>
      <c r="AN789" s="7"/>
      <c r="AO789" s="7"/>
      <c r="AP789" s="7"/>
      <c r="AQ789" s="7"/>
      <c r="AR789" s="7"/>
      <c r="AS789" s="7"/>
      <c r="AT789" s="7"/>
      <c r="AU789" s="49"/>
      <c r="AV789" s="7"/>
      <c r="AW789" s="7"/>
      <c r="AX789" s="7"/>
      <c r="AY789" s="7"/>
      <c r="AZ789" s="7"/>
      <c r="BA789" s="67"/>
      <c r="BB789" s="67"/>
      <c r="BC789" s="67"/>
      <c r="BD789" s="67"/>
      <c r="BE789" s="68"/>
      <c r="BF789" s="68"/>
      <c r="BG789" s="68"/>
      <c r="BH789" s="68"/>
      <c r="BI789" s="68"/>
    </row>
    <row r="790" spans="1:61" s="52" customFormat="1" ht="21.95" customHeight="1">
      <c r="A790" s="13"/>
      <c r="B790" s="13"/>
      <c r="C790" s="13" t="s">
        <v>1138</v>
      </c>
      <c r="D790" s="13"/>
      <c r="E790" s="13"/>
      <c r="F790" s="13"/>
      <c r="G790" s="13"/>
      <c r="H790" s="13"/>
      <c r="I790" s="551"/>
      <c r="J790" s="13"/>
      <c r="K790" s="628"/>
      <c r="L790" s="13"/>
      <c r="M790" s="13"/>
      <c r="N790" s="13"/>
      <c r="O790" s="13"/>
      <c r="P790" s="13"/>
      <c r="Q790" s="13"/>
      <c r="R790" s="13"/>
      <c r="U790" s="7"/>
      <c r="V790" s="7"/>
      <c r="W790" s="7"/>
      <c r="X790" s="7"/>
      <c r="Y790" s="7"/>
      <c r="Z790" s="7"/>
      <c r="AA790" s="449"/>
      <c r="AB790" s="22"/>
      <c r="AC790" s="7"/>
      <c r="AD790" s="7"/>
      <c r="AE790" s="7"/>
      <c r="AF790" s="7"/>
      <c r="AG790" s="7"/>
      <c r="AH790" s="7"/>
      <c r="AI790" s="7"/>
      <c r="AJ790" s="7"/>
      <c r="AK790" s="7"/>
      <c r="AL790" s="7"/>
      <c r="AM790" s="7"/>
      <c r="AN790" s="7"/>
      <c r="AO790" s="7"/>
      <c r="AP790" s="7"/>
      <c r="AQ790" s="7"/>
      <c r="AR790" s="7"/>
      <c r="AS790" s="7"/>
      <c r="AT790" s="7"/>
      <c r="AU790" s="49"/>
      <c r="AV790" s="7"/>
      <c r="AW790" s="7"/>
      <c r="AX790" s="7"/>
      <c r="AY790" s="7"/>
      <c r="AZ790" s="7"/>
      <c r="BA790" s="67"/>
      <c r="BB790" s="67"/>
      <c r="BC790" s="67"/>
      <c r="BD790" s="67"/>
      <c r="BE790" s="68"/>
      <c r="BF790" s="68"/>
      <c r="BG790" s="68"/>
      <c r="BH790" s="68"/>
      <c r="BI790" s="68"/>
    </row>
    <row r="791" spans="1:61" s="52" customFormat="1" ht="21.95" customHeight="1">
      <c r="A791" s="13"/>
      <c r="B791" s="13">
        <v>9</v>
      </c>
      <c r="C791" s="13" t="s">
        <v>1139</v>
      </c>
      <c r="D791" s="13"/>
      <c r="E791" s="13"/>
      <c r="F791" s="13"/>
      <c r="G791" s="13"/>
      <c r="H791" s="13"/>
      <c r="I791" s="551"/>
      <c r="J791" s="13"/>
      <c r="K791" s="628"/>
      <c r="L791" s="13"/>
      <c r="M791" s="13"/>
      <c r="N791" s="13"/>
      <c r="O791" s="13"/>
      <c r="P791" s="13"/>
      <c r="Q791" s="13"/>
      <c r="R791" s="13"/>
      <c r="U791" s="7"/>
      <c r="V791" s="7"/>
      <c r="W791" s="7"/>
      <c r="X791" s="7"/>
      <c r="Y791" s="7"/>
      <c r="Z791" s="7"/>
      <c r="AA791" s="449"/>
      <c r="AB791" s="22"/>
      <c r="AC791" s="7"/>
      <c r="AD791" s="7"/>
      <c r="AE791" s="7"/>
      <c r="AF791" s="7"/>
      <c r="AG791" s="7"/>
      <c r="AH791" s="7"/>
      <c r="AI791" s="7"/>
      <c r="AJ791" s="7"/>
      <c r="AK791" s="7"/>
      <c r="AL791" s="7"/>
      <c r="AM791" s="7"/>
      <c r="AN791" s="7"/>
      <c r="AO791" s="7"/>
      <c r="AP791" s="7"/>
      <c r="AQ791" s="7"/>
      <c r="AR791" s="7"/>
      <c r="AS791" s="7"/>
      <c r="AT791" s="7"/>
      <c r="AU791" s="49"/>
      <c r="AV791" s="7"/>
      <c r="AW791" s="7"/>
      <c r="AX791" s="7"/>
      <c r="AY791" s="7"/>
      <c r="AZ791" s="7"/>
      <c r="BA791" s="67"/>
      <c r="BB791" s="67"/>
      <c r="BC791" s="67"/>
      <c r="BD791" s="67"/>
      <c r="BE791" s="68"/>
      <c r="BF791" s="68"/>
      <c r="BG791" s="68"/>
      <c r="BH791" s="68"/>
      <c r="BI791" s="68"/>
    </row>
    <row r="792" spans="1:61" s="52" customFormat="1" ht="21.95" customHeight="1">
      <c r="A792" s="13"/>
      <c r="B792" s="13"/>
      <c r="C792" s="13" t="s">
        <v>1140</v>
      </c>
      <c r="D792" s="13"/>
      <c r="E792" s="13"/>
      <c r="F792" s="13"/>
      <c r="G792" s="13"/>
      <c r="H792" s="13"/>
      <c r="I792" s="551"/>
      <c r="J792" s="13"/>
      <c r="K792" s="628"/>
      <c r="L792" s="13"/>
      <c r="M792" s="13"/>
      <c r="N792" s="13"/>
      <c r="O792" s="13"/>
      <c r="P792" s="13"/>
      <c r="Q792" s="13"/>
      <c r="R792" s="13"/>
      <c r="S792" s="7"/>
      <c r="T792" s="7"/>
      <c r="U792" s="7"/>
      <c r="V792" s="7"/>
      <c r="W792" s="7"/>
      <c r="X792" s="7"/>
      <c r="Y792" s="7"/>
      <c r="Z792" s="7"/>
      <c r="AA792" s="449"/>
      <c r="AB792" s="22"/>
      <c r="AC792" s="7"/>
      <c r="AD792" s="7"/>
      <c r="AE792" s="7"/>
      <c r="AF792" s="7"/>
      <c r="AG792" s="7"/>
      <c r="AH792" s="7"/>
      <c r="AI792" s="7"/>
      <c r="AJ792" s="7"/>
      <c r="AK792" s="7"/>
      <c r="AL792" s="7"/>
      <c r="AM792" s="7"/>
      <c r="AN792" s="7"/>
      <c r="AO792" s="7"/>
      <c r="AP792" s="7"/>
      <c r="AQ792" s="7"/>
      <c r="AR792" s="7"/>
      <c r="AS792" s="7"/>
      <c r="AT792" s="7"/>
      <c r="AU792" s="49"/>
      <c r="AV792" s="7"/>
      <c r="AW792" s="7"/>
      <c r="AX792" s="7"/>
      <c r="AY792" s="7"/>
      <c r="AZ792" s="7"/>
      <c r="BA792" s="67"/>
      <c r="BB792" s="67"/>
      <c r="BC792" s="67"/>
      <c r="BD792" s="67"/>
      <c r="BE792" s="68"/>
      <c r="BF792" s="68"/>
      <c r="BG792" s="68"/>
      <c r="BH792" s="68"/>
      <c r="BI792" s="68"/>
    </row>
    <row r="793" spans="1:61" s="52" customFormat="1" ht="21.95" customHeight="1">
      <c r="A793" s="13"/>
      <c r="B793" s="13"/>
      <c r="C793" s="1177" t="s">
        <v>1141</v>
      </c>
      <c r="D793" s="13"/>
      <c r="E793" s="13"/>
      <c r="F793" s="13"/>
      <c r="G793" s="13"/>
      <c r="H793" s="13"/>
      <c r="I793" s="551"/>
      <c r="J793" s="13"/>
      <c r="K793" s="1178"/>
      <c r="L793" s="13"/>
      <c r="M793" s="13"/>
      <c r="N793" s="13"/>
      <c r="O793" s="13"/>
      <c r="P793" s="13"/>
      <c r="Q793" s="13"/>
      <c r="R793" s="13"/>
      <c r="S793" s="7"/>
      <c r="T793" s="7"/>
      <c r="U793" s="7"/>
      <c r="V793" s="7"/>
      <c r="W793" s="7"/>
      <c r="X793" s="7"/>
      <c r="Y793" s="7"/>
      <c r="Z793" s="7"/>
      <c r="AA793" s="449"/>
      <c r="AB793" s="22"/>
      <c r="AC793" s="7"/>
      <c r="AD793" s="7"/>
      <c r="AE793" s="7"/>
      <c r="AF793" s="7"/>
      <c r="AG793" s="7"/>
      <c r="AH793" s="7"/>
      <c r="AI793" s="7"/>
      <c r="AJ793" s="7"/>
      <c r="AK793" s="7"/>
      <c r="AL793" s="7"/>
      <c r="AM793" s="7"/>
      <c r="AN793" s="7"/>
      <c r="AO793" s="7"/>
      <c r="AP793" s="7"/>
      <c r="AQ793" s="7"/>
      <c r="AR793" s="7"/>
      <c r="AS793" s="7"/>
      <c r="AT793" s="7"/>
      <c r="AU793" s="49"/>
      <c r="AV793" s="7"/>
      <c r="AW793" s="7"/>
      <c r="AX793" s="7"/>
      <c r="AY793" s="7"/>
      <c r="AZ793" s="7"/>
      <c r="BA793" s="67"/>
      <c r="BB793" s="67"/>
      <c r="BC793" s="67"/>
      <c r="BD793" s="67"/>
      <c r="BE793" s="68"/>
      <c r="BF793" s="68"/>
      <c r="BG793" s="68"/>
      <c r="BH793" s="68"/>
      <c r="BI793" s="68"/>
    </row>
    <row r="794" spans="1:61" ht="21.95" customHeight="1">
      <c r="B794" s="13">
        <v>10</v>
      </c>
      <c r="C794" s="629" t="s">
        <v>1142</v>
      </c>
      <c r="I794" s="551"/>
      <c r="K794" s="628"/>
      <c r="S794" s="7"/>
      <c r="T794" s="7"/>
    </row>
    <row r="795" spans="1:61" ht="21.95" customHeight="1">
      <c r="B795" s="1175" t="s">
        <v>1143</v>
      </c>
      <c r="C795" s="1175"/>
      <c r="D795" s="1175"/>
      <c r="E795" s="1175"/>
      <c r="F795" s="1175"/>
      <c r="G795" s="1175"/>
      <c r="H795" s="1175"/>
      <c r="I795" s="1179"/>
      <c r="K795" s="628"/>
      <c r="S795" s="7"/>
      <c r="T795" s="7"/>
    </row>
    <row r="796" spans="1:61" ht="21.95" customHeight="1">
      <c r="B796" s="1193"/>
      <c r="C796" s="1193"/>
      <c r="I796" s="551"/>
      <c r="K796" s="628"/>
      <c r="S796" s="7"/>
      <c r="T796" s="7"/>
    </row>
    <row r="797" spans="1:61" ht="21.95" customHeight="1">
      <c r="I797" s="551"/>
      <c r="K797" s="628"/>
      <c r="S797" s="7"/>
      <c r="T797" s="7"/>
    </row>
    <row r="798" spans="1:61" ht="21.95" customHeight="1">
      <c r="I798" s="551"/>
      <c r="S798" s="7"/>
      <c r="T798" s="7"/>
    </row>
    <row r="799" spans="1:61" ht="21.95" customHeight="1">
      <c r="I799" s="551"/>
      <c r="S799" s="7"/>
      <c r="T799" s="7"/>
    </row>
    <row r="800" spans="1:61" ht="21.95" customHeight="1">
      <c r="I800" s="551"/>
      <c r="S800" s="7"/>
      <c r="T800" s="7"/>
    </row>
    <row r="801" spans="2:61" ht="21.95" customHeight="1">
      <c r="I801" s="551"/>
      <c r="S801" s="7"/>
      <c r="T801" s="7"/>
    </row>
    <row r="802" spans="2:61" ht="21.95" customHeight="1">
      <c r="I802" s="551"/>
      <c r="S802" s="7"/>
      <c r="T802" s="7"/>
    </row>
    <row r="803" spans="2:61" ht="21.95" customHeight="1">
      <c r="I803" s="551"/>
      <c r="S803" s="7"/>
      <c r="T803" s="7"/>
    </row>
    <row r="804" spans="2:61" ht="21.95" customHeight="1">
      <c r="I804" s="551"/>
      <c r="S804" s="7"/>
      <c r="T804" s="7"/>
    </row>
    <row r="805" spans="2:61" ht="21.95" customHeight="1">
      <c r="B805" s="1180"/>
      <c r="I805" s="551"/>
      <c r="S805" s="7"/>
      <c r="T805" s="7"/>
    </row>
    <row r="806" spans="2:61" ht="21.95" customHeight="1">
      <c r="I806" s="551"/>
      <c r="S806" s="7"/>
      <c r="T806" s="7"/>
    </row>
    <row r="807" spans="2:61" ht="21.95" customHeight="1">
      <c r="I807" s="1181"/>
      <c r="S807" s="7"/>
      <c r="T807" s="7"/>
    </row>
    <row r="808" spans="2:61" ht="21.95" customHeight="1">
      <c r="I808" s="551"/>
      <c r="S808" s="7"/>
      <c r="T808" s="7"/>
    </row>
    <row r="809" spans="2:61" ht="21.95" customHeight="1">
      <c r="I809" s="551"/>
      <c r="S809" s="7"/>
      <c r="T809" s="7"/>
      <c r="BA809" s="7"/>
      <c r="BB809" s="7"/>
      <c r="BC809" s="7"/>
      <c r="BD809" s="7"/>
      <c r="BE809" s="7"/>
      <c r="BF809" s="7"/>
      <c r="BG809" s="7"/>
      <c r="BH809" s="7"/>
      <c r="BI809" s="7"/>
    </row>
    <row r="810" spans="2:61" ht="21.95" customHeight="1">
      <c r="B810" s="1180"/>
      <c r="I810" s="551"/>
      <c r="S810" s="7"/>
      <c r="T810" s="7"/>
      <c r="AU810" s="7"/>
      <c r="BA810" s="7"/>
      <c r="BB810" s="7"/>
      <c r="BC810" s="7"/>
      <c r="BD810" s="7"/>
      <c r="BE810" s="7"/>
      <c r="BF810" s="7"/>
      <c r="BG810" s="7"/>
      <c r="BH810" s="7"/>
      <c r="BI810" s="7"/>
    </row>
    <row r="811" spans="2:61" ht="21.95" customHeight="1">
      <c r="I811" s="551"/>
      <c r="S811" s="7"/>
      <c r="T811" s="7"/>
      <c r="AU811" s="7"/>
      <c r="BA811" s="7"/>
      <c r="BB811" s="7"/>
      <c r="BC811" s="7"/>
      <c r="BD811" s="7"/>
      <c r="BE811" s="7"/>
      <c r="BF811" s="7"/>
      <c r="BG811" s="7"/>
      <c r="BH811" s="7"/>
      <c r="BI811" s="7"/>
    </row>
    <row r="812" spans="2:61" ht="21.95" customHeight="1">
      <c r="I812" s="551"/>
      <c r="S812" s="7"/>
      <c r="T812" s="7"/>
      <c r="AU812" s="7"/>
      <c r="BA812" s="7"/>
      <c r="BB812" s="7"/>
      <c r="BC812" s="7"/>
      <c r="BD812" s="7"/>
      <c r="BE812" s="7"/>
      <c r="BF812" s="7"/>
      <c r="BG812" s="7"/>
      <c r="BH812" s="7"/>
      <c r="BI812" s="7"/>
    </row>
    <row r="813" spans="2:61" ht="21.95" customHeight="1">
      <c r="I813" s="551"/>
      <c r="S813" s="7"/>
      <c r="T813" s="7"/>
      <c r="AA813" s="7"/>
      <c r="AB813" s="7"/>
      <c r="AU813" s="7"/>
      <c r="BA813" s="7"/>
      <c r="BB813" s="7"/>
      <c r="BC813" s="7"/>
      <c r="BD813" s="7"/>
      <c r="BE813" s="7"/>
      <c r="BF813" s="7"/>
      <c r="BG813" s="7"/>
      <c r="BH813" s="7"/>
      <c r="BI813" s="7"/>
    </row>
    <row r="814" spans="2:61" ht="21.95" customHeight="1">
      <c r="I814" s="551"/>
      <c r="S814" s="7"/>
      <c r="T814" s="7"/>
      <c r="AA814" s="7"/>
      <c r="AB814" s="7"/>
      <c r="AU814" s="7"/>
      <c r="BA814" s="7"/>
      <c r="BB814" s="7"/>
      <c r="BC814" s="7"/>
      <c r="BD814" s="7"/>
      <c r="BE814" s="7"/>
      <c r="BF814" s="7"/>
      <c r="BG814" s="7"/>
      <c r="BH814" s="7"/>
      <c r="BI814" s="7"/>
    </row>
    <row r="815" spans="2:61" ht="21.95" customHeight="1">
      <c r="I815" s="551"/>
      <c r="S815" s="7"/>
      <c r="T815" s="7"/>
      <c r="AA815" s="7"/>
      <c r="AB815" s="7"/>
      <c r="AU815" s="7"/>
      <c r="BA815" s="7"/>
      <c r="BB815" s="7"/>
      <c r="BC815" s="7"/>
      <c r="BD815" s="7"/>
      <c r="BE815" s="7"/>
      <c r="BF815" s="7"/>
      <c r="BG815" s="7"/>
      <c r="BH815" s="7"/>
      <c r="BI815" s="7"/>
    </row>
    <row r="816" spans="2:61" ht="21.95" customHeight="1">
      <c r="I816" s="551"/>
      <c r="S816" s="7"/>
      <c r="T816" s="7"/>
      <c r="AA816" s="7"/>
      <c r="AB816" s="7"/>
      <c r="AU816" s="7"/>
      <c r="BA816" s="7"/>
      <c r="BB816" s="7"/>
      <c r="BC816" s="7"/>
      <c r="BD816" s="7"/>
      <c r="BE816" s="7"/>
      <c r="BF816" s="7"/>
      <c r="BG816" s="7"/>
      <c r="BH816" s="7"/>
      <c r="BI816" s="7"/>
    </row>
    <row r="817" spans="9:61" ht="21.95" customHeight="1">
      <c r="I817" s="551"/>
      <c r="S817" s="7"/>
      <c r="T817" s="7"/>
      <c r="AA817" s="7"/>
      <c r="AB817" s="7"/>
      <c r="AU817" s="7"/>
      <c r="BA817" s="7"/>
      <c r="BB817" s="7"/>
      <c r="BC817" s="7"/>
      <c r="BD817" s="7"/>
      <c r="BE817" s="7"/>
      <c r="BF817" s="7"/>
      <c r="BG817" s="7"/>
      <c r="BH817" s="7"/>
      <c r="BI817" s="7"/>
    </row>
    <row r="818" spans="9:61" ht="21.95" customHeight="1">
      <c r="I818" s="551"/>
      <c r="S818" s="7"/>
      <c r="T818" s="7"/>
      <c r="AA818" s="7"/>
      <c r="AB818" s="7"/>
      <c r="AU818" s="7"/>
      <c r="BA818" s="7"/>
      <c r="BB818" s="7"/>
      <c r="BC818" s="7"/>
      <c r="BD818" s="7"/>
      <c r="BE818" s="7"/>
      <c r="BF818" s="7"/>
      <c r="BG818" s="7"/>
      <c r="BH818" s="7"/>
      <c r="BI818" s="7"/>
    </row>
    <row r="819" spans="9:61" ht="21.95" customHeight="1">
      <c r="I819" s="551"/>
      <c r="S819" s="7"/>
      <c r="T819" s="7"/>
      <c r="AA819" s="7"/>
      <c r="AB819" s="7"/>
      <c r="AU819" s="7"/>
      <c r="BA819" s="7"/>
      <c r="BB819" s="7"/>
      <c r="BC819" s="7"/>
      <c r="BD819" s="7"/>
      <c r="BE819" s="7"/>
      <c r="BF819" s="7"/>
      <c r="BG819" s="7"/>
      <c r="BH819" s="7"/>
      <c r="BI819" s="7"/>
    </row>
    <row r="820" spans="9:61" ht="21.95" customHeight="1">
      <c r="I820" s="551"/>
      <c r="S820" s="7"/>
      <c r="T820" s="7"/>
      <c r="AA820" s="7"/>
      <c r="AB820" s="7"/>
      <c r="AU820" s="7"/>
      <c r="BA820" s="7"/>
      <c r="BB820" s="7"/>
      <c r="BC820" s="7"/>
      <c r="BD820" s="7"/>
      <c r="BE820" s="7"/>
      <c r="BF820" s="7"/>
      <c r="BG820" s="7"/>
      <c r="BH820" s="7"/>
      <c r="BI820" s="7"/>
    </row>
    <row r="821" spans="9:61" ht="21.95" customHeight="1">
      <c r="I821" s="551"/>
      <c r="S821" s="7"/>
      <c r="T821" s="7"/>
      <c r="AA821" s="7"/>
      <c r="AB821" s="7"/>
      <c r="AU821" s="7"/>
      <c r="BA821" s="7"/>
      <c r="BB821" s="7"/>
      <c r="BC821" s="7"/>
      <c r="BD821" s="7"/>
      <c r="BE821" s="7"/>
      <c r="BF821" s="7"/>
      <c r="BG821" s="7"/>
      <c r="BH821" s="7"/>
      <c r="BI821" s="7"/>
    </row>
    <row r="822" spans="9:61" ht="21.95" customHeight="1">
      <c r="I822" s="551"/>
      <c r="S822" s="7"/>
      <c r="T822" s="7"/>
      <c r="AA822" s="7"/>
      <c r="AB822" s="7"/>
      <c r="AU822" s="7"/>
      <c r="BA822" s="7"/>
      <c r="BB822" s="7"/>
      <c r="BC822" s="7"/>
      <c r="BD822" s="7"/>
      <c r="BE822" s="7"/>
      <c r="BF822" s="7"/>
      <c r="BG822" s="7"/>
      <c r="BH822" s="7"/>
      <c r="BI822" s="7"/>
    </row>
    <row r="823" spans="9:61" ht="21.95" customHeight="1">
      <c r="I823" s="551"/>
      <c r="S823" s="7"/>
      <c r="T823" s="7"/>
      <c r="AA823" s="7"/>
      <c r="AB823" s="7"/>
      <c r="AU823" s="7"/>
      <c r="BA823" s="7"/>
      <c r="BB823" s="7"/>
      <c r="BC823" s="7"/>
      <c r="BD823" s="7"/>
      <c r="BE823" s="7"/>
      <c r="BF823" s="7"/>
      <c r="BG823" s="7"/>
      <c r="BH823" s="7"/>
      <c r="BI823" s="7"/>
    </row>
    <row r="824" spans="9:61" ht="21.95" customHeight="1">
      <c r="I824" s="551"/>
      <c r="S824" s="7"/>
      <c r="T824" s="7"/>
      <c r="AA824" s="7"/>
      <c r="AB824" s="7"/>
      <c r="AU824" s="7"/>
      <c r="BA824" s="7"/>
      <c r="BB824" s="7"/>
      <c r="BC824" s="7"/>
      <c r="BD824" s="7"/>
      <c r="BE824" s="7"/>
      <c r="BF824" s="7"/>
      <c r="BG824" s="7"/>
      <c r="BH824" s="7"/>
      <c r="BI824" s="7"/>
    </row>
    <row r="825" spans="9:61" ht="21.95" customHeight="1">
      <c r="I825" s="551"/>
      <c r="S825" s="7"/>
      <c r="T825" s="7"/>
      <c r="AA825" s="7"/>
      <c r="AB825" s="7"/>
      <c r="AU825" s="7"/>
      <c r="BA825" s="7"/>
      <c r="BB825" s="7"/>
      <c r="BC825" s="7"/>
      <c r="BD825" s="7"/>
      <c r="BE825" s="7"/>
      <c r="BF825" s="7"/>
      <c r="BG825" s="7"/>
      <c r="BH825" s="7"/>
      <c r="BI825" s="7"/>
    </row>
    <row r="826" spans="9:61" ht="21.95" customHeight="1">
      <c r="I826" s="551"/>
      <c r="S826" s="7"/>
      <c r="T826" s="7"/>
      <c r="AA826" s="7"/>
      <c r="AB826" s="7"/>
      <c r="AU826" s="7"/>
      <c r="BA826" s="7"/>
      <c r="BB826" s="7"/>
      <c r="BC826" s="7"/>
      <c r="BD826" s="7"/>
      <c r="BE826" s="7"/>
      <c r="BF826" s="7"/>
      <c r="BG826" s="7"/>
      <c r="BH826" s="7"/>
      <c r="BI826" s="7"/>
    </row>
    <row r="827" spans="9:61" ht="21.95" customHeight="1">
      <c r="I827" s="551"/>
      <c r="S827" s="7"/>
      <c r="T827" s="7"/>
      <c r="AA827" s="7"/>
      <c r="AB827" s="7"/>
      <c r="AU827" s="7"/>
      <c r="BA827" s="7"/>
      <c r="BB827" s="7"/>
      <c r="BC827" s="7"/>
      <c r="BD827" s="7"/>
      <c r="BE827" s="7"/>
      <c r="BF827" s="7"/>
      <c r="BG827" s="7"/>
      <c r="BH827" s="7"/>
      <c r="BI827" s="7"/>
    </row>
    <row r="828" spans="9:61" ht="21.95" customHeight="1">
      <c r="I828" s="551"/>
      <c r="S828" s="7"/>
      <c r="T828" s="7"/>
      <c r="AA828" s="7"/>
      <c r="AB828" s="7"/>
      <c r="AU828" s="7"/>
      <c r="BA828" s="7"/>
      <c r="BB828" s="7"/>
      <c r="BC828" s="7"/>
      <c r="BD828" s="7"/>
      <c r="BE828" s="7"/>
      <c r="BF828" s="7"/>
      <c r="BG828" s="7"/>
      <c r="BH828" s="7"/>
      <c r="BI828" s="7"/>
    </row>
    <row r="829" spans="9:61" ht="21.95" customHeight="1">
      <c r="I829" s="551"/>
      <c r="S829" s="7"/>
      <c r="T829" s="7"/>
      <c r="AA829" s="7"/>
      <c r="AB829" s="7"/>
      <c r="AU829" s="7"/>
      <c r="BA829" s="7"/>
      <c r="BB829" s="7"/>
      <c r="BC829" s="7"/>
      <c r="BD829" s="7"/>
      <c r="BE829" s="7"/>
      <c r="BF829" s="7"/>
      <c r="BG829" s="7"/>
      <c r="BH829" s="7"/>
      <c r="BI829" s="7"/>
    </row>
    <row r="830" spans="9:61" ht="21.95" customHeight="1">
      <c r="I830" s="551"/>
      <c r="S830" s="7"/>
      <c r="T830" s="7"/>
      <c r="AA830" s="7"/>
      <c r="AB830" s="7"/>
      <c r="AU830" s="7"/>
      <c r="BA830" s="7"/>
      <c r="BB830" s="7"/>
      <c r="BC830" s="7"/>
      <c r="BD830" s="7"/>
      <c r="BE830" s="7"/>
      <c r="BF830" s="7"/>
      <c r="BG830" s="7"/>
      <c r="BH830" s="7"/>
      <c r="BI830" s="7"/>
    </row>
    <row r="831" spans="9:61" ht="21.95" customHeight="1">
      <c r="I831" s="551"/>
      <c r="S831" s="7"/>
      <c r="T831" s="7"/>
      <c r="AA831" s="7"/>
      <c r="AB831" s="7"/>
      <c r="AU831" s="7"/>
      <c r="BA831" s="7"/>
      <c r="BB831" s="7"/>
      <c r="BC831" s="7"/>
      <c r="BD831" s="7"/>
      <c r="BE831" s="7"/>
      <c r="BF831" s="7"/>
      <c r="BG831" s="7"/>
      <c r="BH831" s="7"/>
      <c r="BI831" s="7"/>
    </row>
    <row r="832" spans="9:61" ht="21.95" customHeight="1">
      <c r="I832" s="551"/>
      <c r="S832" s="7"/>
      <c r="T832" s="7"/>
      <c r="AA832" s="7"/>
      <c r="AB832" s="7"/>
      <c r="AU832" s="7"/>
      <c r="BA832" s="7"/>
      <c r="BB832" s="7"/>
      <c r="BC832" s="7"/>
      <c r="BD832" s="7"/>
      <c r="BE832" s="7"/>
      <c r="BF832" s="7"/>
      <c r="BG832" s="7"/>
      <c r="BH832" s="7"/>
      <c r="BI832" s="7"/>
    </row>
    <row r="833" spans="9:61" ht="21.95" customHeight="1">
      <c r="I833" s="551"/>
      <c r="S833" s="7"/>
      <c r="T833" s="7"/>
      <c r="AA833" s="7"/>
      <c r="AB833" s="7"/>
      <c r="AU833" s="7"/>
      <c r="BA833" s="7"/>
      <c r="BB833" s="7"/>
      <c r="BC833" s="7"/>
      <c r="BD833" s="7"/>
      <c r="BE833" s="7"/>
      <c r="BF833" s="7"/>
      <c r="BG833" s="7"/>
      <c r="BH833" s="7"/>
      <c r="BI833" s="7"/>
    </row>
    <row r="834" spans="9:61" ht="21.95" customHeight="1">
      <c r="I834" s="551"/>
      <c r="S834" s="7"/>
      <c r="T834" s="7"/>
      <c r="AA834" s="7"/>
      <c r="AB834" s="7"/>
      <c r="AU834" s="7"/>
      <c r="BA834" s="7"/>
      <c r="BB834" s="7"/>
      <c r="BC834" s="7"/>
      <c r="BD834" s="7"/>
      <c r="BE834" s="7"/>
      <c r="BF834" s="7"/>
      <c r="BG834" s="7"/>
      <c r="BH834" s="7"/>
      <c r="BI834" s="7"/>
    </row>
    <row r="835" spans="9:61" ht="21.95" customHeight="1">
      <c r="I835" s="551"/>
      <c r="S835" s="7"/>
      <c r="T835" s="7"/>
      <c r="AA835" s="7"/>
      <c r="AB835" s="7"/>
      <c r="AU835" s="7"/>
      <c r="BA835" s="7"/>
      <c r="BB835" s="7"/>
      <c r="BC835" s="7"/>
      <c r="BD835" s="7"/>
      <c r="BE835" s="7"/>
      <c r="BF835" s="7"/>
      <c r="BG835" s="7"/>
      <c r="BH835" s="7"/>
      <c r="BI835" s="7"/>
    </row>
    <row r="836" spans="9:61" ht="21.95" customHeight="1">
      <c r="I836" s="551"/>
      <c r="S836" s="7"/>
      <c r="T836" s="7"/>
      <c r="AA836" s="7"/>
      <c r="AB836" s="7"/>
      <c r="AU836" s="7"/>
      <c r="BA836" s="7"/>
      <c r="BB836" s="7"/>
      <c r="BC836" s="7"/>
      <c r="BD836" s="7"/>
      <c r="BE836" s="7"/>
      <c r="BF836" s="7"/>
      <c r="BG836" s="7"/>
      <c r="BH836" s="7"/>
      <c r="BI836" s="7"/>
    </row>
    <row r="837" spans="9:61" ht="21.95" customHeight="1">
      <c r="I837" s="551"/>
      <c r="S837" s="7"/>
      <c r="T837" s="7"/>
      <c r="AA837" s="7"/>
      <c r="AB837" s="7"/>
      <c r="AU837" s="7"/>
      <c r="BA837" s="7"/>
      <c r="BB837" s="7"/>
      <c r="BC837" s="7"/>
      <c r="BD837" s="7"/>
      <c r="BE837" s="7"/>
      <c r="BF837" s="7"/>
      <c r="BG837" s="7"/>
      <c r="BH837" s="7"/>
      <c r="BI837" s="7"/>
    </row>
    <row r="838" spans="9:61" ht="21.95" customHeight="1">
      <c r="I838" s="551"/>
      <c r="S838" s="7"/>
      <c r="T838" s="7"/>
      <c r="AA838" s="7"/>
      <c r="AB838" s="7"/>
      <c r="AU838" s="7"/>
      <c r="BA838" s="7"/>
      <c r="BB838" s="7"/>
      <c r="BC838" s="7"/>
      <c r="BD838" s="7"/>
      <c r="BE838" s="7"/>
      <c r="BF838" s="7"/>
      <c r="BG838" s="7"/>
      <c r="BH838" s="7"/>
      <c r="BI838" s="7"/>
    </row>
    <row r="839" spans="9:61" ht="21.95" customHeight="1">
      <c r="I839" s="551"/>
      <c r="S839" s="7"/>
      <c r="T839" s="7"/>
      <c r="AA839" s="7"/>
      <c r="AB839" s="7"/>
      <c r="AU839" s="7"/>
      <c r="BA839" s="7"/>
      <c r="BB839" s="7"/>
      <c r="BC839" s="7"/>
      <c r="BD839" s="7"/>
      <c r="BE839" s="7"/>
      <c r="BF839" s="7"/>
      <c r="BG839" s="7"/>
      <c r="BH839" s="7"/>
      <c r="BI839" s="7"/>
    </row>
    <row r="840" spans="9:61" ht="21.95" customHeight="1">
      <c r="I840" s="551"/>
      <c r="S840" s="7"/>
      <c r="T840" s="7"/>
      <c r="AA840" s="7"/>
      <c r="AB840" s="7"/>
      <c r="AU840" s="7"/>
      <c r="BA840" s="7"/>
      <c r="BB840" s="7"/>
      <c r="BC840" s="7"/>
      <c r="BD840" s="7"/>
      <c r="BE840" s="7"/>
      <c r="BF840" s="7"/>
      <c r="BG840" s="7"/>
      <c r="BH840" s="7"/>
      <c r="BI840" s="7"/>
    </row>
    <row r="841" spans="9:61" ht="21.95" customHeight="1">
      <c r="I841" s="551"/>
      <c r="S841" s="7"/>
      <c r="T841" s="7"/>
      <c r="AA841" s="7"/>
      <c r="AB841" s="7"/>
      <c r="AU841" s="7"/>
      <c r="BA841" s="7"/>
      <c r="BB841" s="7"/>
      <c r="BC841" s="7"/>
      <c r="BD841" s="7"/>
      <c r="BE841" s="7"/>
      <c r="BF841" s="7"/>
      <c r="BG841" s="7"/>
      <c r="BH841" s="7"/>
      <c r="BI841" s="7"/>
    </row>
    <row r="842" spans="9:61" ht="21.95" customHeight="1">
      <c r="I842" s="551"/>
      <c r="S842" s="7"/>
      <c r="T842" s="7"/>
      <c r="AA842" s="7"/>
      <c r="AB842" s="7"/>
      <c r="AU842" s="7"/>
      <c r="BA842" s="7"/>
      <c r="BB842" s="7"/>
      <c r="BC842" s="7"/>
      <c r="BD842" s="7"/>
      <c r="BE842" s="7"/>
      <c r="BF842" s="7"/>
      <c r="BG842" s="7"/>
      <c r="BH842" s="7"/>
      <c r="BI842" s="7"/>
    </row>
    <row r="843" spans="9:61" ht="21.95" customHeight="1">
      <c r="I843" s="551"/>
      <c r="S843" s="7"/>
      <c r="T843" s="7"/>
      <c r="AA843" s="7"/>
      <c r="AB843" s="7"/>
      <c r="AU843" s="7"/>
      <c r="BA843" s="7"/>
      <c r="BB843" s="7"/>
      <c r="BC843" s="7"/>
      <c r="BD843" s="7"/>
      <c r="BE843" s="7"/>
      <c r="BF843" s="7"/>
      <c r="BG843" s="7"/>
      <c r="BH843" s="7"/>
      <c r="BI843" s="7"/>
    </row>
    <row r="844" spans="9:61" ht="21.95" customHeight="1">
      <c r="I844" s="551"/>
      <c r="S844" s="7"/>
      <c r="T844" s="7"/>
      <c r="AA844" s="7"/>
      <c r="AB844" s="7"/>
      <c r="AU844" s="7"/>
      <c r="BA844" s="7"/>
      <c r="BB844" s="7"/>
      <c r="BC844" s="7"/>
      <c r="BD844" s="7"/>
      <c r="BE844" s="7"/>
      <c r="BF844" s="7"/>
      <c r="BG844" s="7"/>
      <c r="BH844" s="7"/>
      <c r="BI844" s="7"/>
    </row>
    <row r="845" spans="9:61" ht="21.95" customHeight="1">
      <c r="I845" s="551"/>
      <c r="S845" s="7"/>
      <c r="T845" s="7"/>
      <c r="AA845" s="7"/>
      <c r="AB845" s="7"/>
      <c r="AU845" s="7"/>
      <c r="BA845" s="7"/>
      <c r="BB845" s="7"/>
      <c r="BC845" s="7"/>
      <c r="BD845" s="7"/>
      <c r="BE845" s="7"/>
      <c r="BF845" s="7"/>
      <c r="BG845" s="7"/>
      <c r="BH845" s="7"/>
      <c r="BI845" s="7"/>
    </row>
    <row r="846" spans="9:61" ht="21.95" customHeight="1">
      <c r="I846" s="551"/>
      <c r="S846" s="7"/>
      <c r="T846" s="7"/>
      <c r="AA846" s="7"/>
      <c r="AB846" s="7"/>
      <c r="AU846" s="7"/>
      <c r="BA846" s="7"/>
      <c r="BB846" s="7"/>
      <c r="BC846" s="7"/>
      <c r="BD846" s="7"/>
      <c r="BE846" s="7"/>
      <c r="BF846" s="7"/>
      <c r="BG846" s="7"/>
      <c r="BH846" s="7"/>
      <c r="BI846" s="7"/>
    </row>
    <row r="847" spans="9:61" ht="21.95" customHeight="1">
      <c r="I847" s="551"/>
      <c r="S847" s="7"/>
      <c r="T847" s="7"/>
      <c r="AA847" s="7"/>
      <c r="AB847" s="7"/>
      <c r="AU847" s="7"/>
      <c r="BA847" s="7"/>
      <c r="BB847" s="7"/>
      <c r="BC847" s="7"/>
      <c r="BD847" s="7"/>
      <c r="BE847" s="7"/>
      <c r="BF847" s="7"/>
      <c r="BG847" s="7"/>
      <c r="BH847" s="7"/>
      <c r="BI847" s="7"/>
    </row>
    <row r="848" spans="9:61" ht="21.95" customHeight="1">
      <c r="I848" s="551"/>
      <c r="S848" s="7"/>
      <c r="T848" s="7"/>
      <c r="AA848" s="7"/>
      <c r="AB848" s="7"/>
      <c r="AU848" s="7"/>
      <c r="BA848" s="7"/>
      <c r="BB848" s="7"/>
      <c r="BC848" s="7"/>
      <c r="BD848" s="7"/>
      <c r="BE848" s="7"/>
      <c r="BF848" s="7"/>
      <c r="BG848" s="7"/>
      <c r="BH848" s="7"/>
      <c r="BI848" s="7"/>
    </row>
    <row r="849" spans="9:61" ht="21.95" customHeight="1">
      <c r="I849" s="551"/>
      <c r="S849" s="7"/>
      <c r="T849" s="7"/>
      <c r="AA849" s="7"/>
      <c r="AB849" s="7"/>
      <c r="AU849" s="7"/>
      <c r="BA849" s="7"/>
      <c r="BB849" s="7"/>
      <c r="BC849" s="7"/>
      <c r="BD849" s="7"/>
      <c r="BE849" s="7"/>
      <c r="BF849" s="7"/>
      <c r="BG849" s="7"/>
      <c r="BH849" s="7"/>
      <c r="BI849" s="7"/>
    </row>
    <row r="850" spans="9:61" ht="21.95" customHeight="1">
      <c r="I850" s="551"/>
      <c r="S850" s="7"/>
      <c r="T850" s="7"/>
      <c r="AA850" s="7"/>
      <c r="AB850" s="7"/>
      <c r="AU850" s="7"/>
      <c r="BA850" s="7"/>
      <c r="BB850" s="7"/>
      <c r="BC850" s="7"/>
      <c r="BD850" s="7"/>
      <c r="BE850" s="7"/>
      <c r="BF850" s="7"/>
      <c r="BG850" s="7"/>
      <c r="BH850" s="7"/>
      <c r="BI850" s="7"/>
    </row>
    <row r="851" spans="9:61" ht="21.95" customHeight="1">
      <c r="I851" s="551"/>
      <c r="S851" s="7"/>
      <c r="T851" s="7"/>
      <c r="AA851" s="7"/>
      <c r="AB851" s="7"/>
      <c r="AU851" s="7"/>
      <c r="BA851" s="7"/>
      <c r="BB851" s="7"/>
      <c r="BC851" s="7"/>
      <c r="BD851" s="7"/>
      <c r="BE851" s="7"/>
      <c r="BF851" s="7"/>
      <c r="BG851" s="7"/>
      <c r="BH851" s="7"/>
      <c r="BI851" s="7"/>
    </row>
    <row r="852" spans="9:61" ht="21.95" customHeight="1">
      <c r="I852" s="551"/>
      <c r="S852" s="7"/>
      <c r="T852" s="7"/>
      <c r="AA852" s="7"/>
      <c r="AB852" s="7"/>
      <c r="AU852" s="7"/>
      <c r="BA852" s="7"/>
      <c r="BB852" s="7"/>
      <c r="BC852" s="7"/>
      <c r="BD852" s="7"/>
      <c r="BE852" s="7"/>
      <c r="BF852" s="7"/>
      <c r="BG852" s="7"/>
      <c r="BH852" s="7"/>
      <c r="BI852" s="7"/>
    </row>
    <row r="853" spans="9:61" ht="21.95" customHeight="1">
      <c r="I853" s="551"/>
      <c r="S853" s="7"/>
      <c r="T853" s="7"/>
      <c r="AA853" s="7"/>
      <c r="AB853" s="7"/>
      <c r="AU853" s="7"/>
      <c r="BA853" s="7"/>
      <c r="BB853" s="7"/>
      <c r="BC853" s="7"/>
      <c r="BD853" s="7"/>
      <c r="BE853" s="7"/>
      <c r="BF853" s="7"/>
      <c r="BG853" s="7"/>
      <c r="BH853" s="7"/>
      <c r="BI853" s="7"/>
    </row>
    <row r="854" spans="9:61" ht="21.95" customHeight="1">
      <c r="I854" s="551"/>
      <c r="S854" s="7"/>
      <c r="T854" s="7"/>
      <c r="AA854" s="7"/>
      <c r="AB854" s="7"/>
      <c r="AU854" s="7"/>
      <c r="BA854" s="7"/>
      <c r="BB854" s="7"/>
      <c r="BC854" s="7"/>
      <c r="BD854" s="7"/>
      <c r="BE854" s="7"/>
      <c r="BF854" s="7"/>
      <c r="BG854" s="7"/>
      <c r="BH854" s="7"/>
      <c r="BI854" s="7"/>
    </row>
    <row r="855" spans="9:61" ht="21.95" customHeight="1">
      <c r="I855" s="551"/>
      <c r="S855" s="7"/>
      <c r="T855" s="7"/>
      <c r="AA855" s="7"/>
      <c r="AB855" s="7"/>
      <c r="AU855" s="7"/>
      <c r="BA855" s="7"/>
      <c r="BB855" s="7"/>
      <c r="BC855" s="7"/>
      <c r="BD855" s="7"/>
      <c r="BE855" s="7"/>
      <c r="BF855" s="7"/>
      <c r="BG855" s="7"/>
      <c r="BH855" s="7"/>
      <c r="BI855" s="7"/>
    </row>
    <row r="856" spans="9:61" ht="21.95" customHeight="1">
      <c r="I856" s="551"/>
      <c r="S856" s="7"/>
      <c r="T856" s="7"/>
      <c r="AA856" s="7"/>
      <c r="AB856" s="7"/>
      <c r="AU856" s="7"/>
      <c r="BA856" s="7"/>
      <c r="BB856" s="7"/>
      <c r="BC856" s="7"/>
      <c r="BD856" s="7"/>
      <c r="BE856" s="7"/>
      <c r="BF856" s="7"/>
      <c r="BG856" s="7"/>
      <c r="BH856" s="7"/>
      <c r="BI856" s="7"/>
    </row>
    <row r="857" spans="9:61" ht="21.95" customHeight="1">
      <c r="I857" s="551"/>
      <c r="S857" s="7"/>
      <c r="T857" s="7"/>
      <c r="AA857" s="7"/>
      <c r="AB857" s="7"/>
      <c r="AU857" s="7"/>
      <c r="BA857" s="7"/>
      <c r="BB857" s="7"/>
      <c r="BC857" s="7"/>
      <c r="BD857" s="7"/>
      <c r="BE857" s="7"/>
      <c r="BF857" s="7"/>
      <c r="BG857" s="7"/>
      <c r="BH857" s="7"/>
      <c r="BI857" s="7"/>
    </row>
    <row r="858" spans="9:61" ht="21.95" customHeight="1">
      <c r="I858" s="551"/>
      <c r="S858" s="7"/>
      <c r="T858" s="7"/>
      <c r="AA858" s="7"/>
      <c r="AB858" s="7"/>
      <c r="AU858" s="7"/>
      <c r="BA858" s="7"/>
      <c r="BB858" s="7"/>
      <c r="BC858" s="7"/>
      <c r="BD858" s="7"/>
      <c r="BE858" s="7"/>
      <c r="BF858" s="7"/>
      <c r="BG858" s="7"/>
      <c r="BH858" s="7"/>
      <c r="BI858" s="7"/>
    </row>
    <row r="859" spans="9:61" ht="21.95" customHeight="1">
      <c r="I859" s="551"/>
      <c r="S859" s="7"/>
      <c r="T859" s="7"/>
      <c r="AA859" s="7"/>
      <c r="AB859" s="7"/>
      <c r="AU859" s="7"/>
      <c r="BA859" s="7"/>
      <c r="BB859" s="7"/>
      <c r="BC859" s="7"/>
      <c r="BD859" s="7"/>
      <c r="BE859" s="7"/>
      <c r="BF859" s="7"/>
      <c r="BG859" s="7"/>
      <c r="BH859" s="7"/>
      <c r="BI859" s="7"/>
    </row>
    <row r="860" spans="9:61" ht="21.95" customHeight="1">
      <c r="I860" s="551"/>
      <c r="S860" s="7"/>
      <c r="T860" s="7"/>
      <c r="AA860" s="7"/>
      <c r="AB860" s="7"/>
      <c r="AU860" s="7"/>
      <c r="BA860" s="7"/>
      <c r="BB860" s="7"/>
      <c r="BC860" s="7"/>
      <c r="BD860" s="7"/>
      <c r="BE860" s="7"/>
      <c r="BF860" s="7"/>
      <c r="BG860" s="7"/>
      <c r="BH860" s="7"/>
      <c r="BI860" s="7"/>
    </row>
    <row r="861" spans="9:61" ht="21.95" customHeight="1">
      <c r="I861" s="551"/>
      <c r="S861" s="7"/>
      <c r="T861" s="7"/>
      <c r="AA861" s="7"/>
      <c r="AB861" s="7"/>
      <c r="AU861" s="7"/>
      <c r="BA861" s="7"/>
      <c r="BB861" s="7"/>
      <c r="BC861" s="7"/>
      <c r="BD861" s="7"/>
      <c r="BE861" s="7"/>
      <c r="BF861" s="7"/>
      <c r="BG861" s="7"/>
      <c r="BH861" s="7"/>
      <c r="BI861" s="7"/>
    </row>
    <row r="862" spans="9:61" ht="21.95" customHeight="1">
      <c r="I862" s="551"/>
      <c r="S862" s="7"/>
      <c r="T862" s="7"/>
      <c r="AA862" s="7"/>
      <c r="AB862" s="7"/>
      <c r="AU862" s="7"/>
      <c r="BA862" s="7"/>
      <c r="BB862" s="7"/>
      <c r="BC862" s="7"/>
      <c r="BD862" s="7"/>
      <c r="BE862" s="7"/>
      <c r="BF862" s="7"/>
      <c r="BG862" s="7"/>
      <c r="BH862" s="7"/>
      <c r="BI862" s="7"/>
    </row>
    <row r="863" spans="9:61" ht="21.95" customHeight="1">
      <c r="I863" s="551"/>
      <c r="S863" s="7"/>
      <c r="T863" s="7"/>
      <c r="AA863" s="7"/>
      <c r="AB863" s="7"/>
      <c r="AU863" s="7"/>
      <c r="BA863" s="7"/>
      <c r="BB863" s="7"/>
      <c r="BC863" s="7"/>
      <c r="BD863" s="7"/>
      <c r="BE863" s="7"/>
      <c r="BF863" s="7"/>
      <c r="BG863" s="7"/>
      <c r="BH863" s="7"/>
      <c r="BI863" s="7"/>
    </row>
    <row r="864" spans="9:61" ht="21.95" customHeight="1">
      <c r="I864" s="551"/>
      <c r="S864" s="7"/>
      <c r="T864" s="7"/>
      <c r="AA864" s="7"/>
      <c r="AB864" s="7"/>
      <c r="AU864" s="7"/>
      <c r="BA864" s="7"/>
      <c r="BB864" s="7"/>
      <c r="BC864" s="7"/>
      <c r="BD864" s="7"/>
      <c r="BE864" s="7"/>
      <c r="BF864" s="7"/>
      <c r="BG864" s="7"/>
      <c r="BH864" s="7"/>
      <c r="BI864" s="7"/>
    </row>
    <row r="865" spans="9:61" ht="21.95" customHeight="1">
      <c r="I865" s="551"/>
      <c r="S865" s="7"/>
      <c r="T865" s="7"/>
      <c r="AA865" s="7"/>
      <c r="AB865" s="7"/>
      <c r="AU865" s="7"/>
      <c r="BA865" s="7"/>
      <c r="BB865" s="7"/>
      <c r="BC865" s="7"/>
      <c r="BD865" s="7"/>
      <c r="BE865" s="7"/>
      <c r="BF865" s="7"/>
      <c r="BG865" s="7"/>
      <c r="BH865" s="7"/>
      <c r="BI865" s="7"/>
    </row>
    <row r="866" spans="9:61" ht="21.95" customHeight="1">
      <c r="I866" s="551"/>
      <c r="S866" s="7"/>
      <c r="T866" s="7"/>
      <c r="AA866" s="7"/>
      <c r="AB866" s="7"/>
      <c r="AU866" s="7"/>
      <c r="BA866" s="7"/>
      <c r="BB866" s="7"/>
      <c r="BC866" s="7"/>
      <c r="BD866" s="7"/>
      <c r="BE866" s="7"/>
      <c r="BF866" s="7"/>
      <c r="BG866" s="7"/>
      <c r="BH866" s="7"/>
      <c r="BI866" s="7"/>
    </row>
    <row r="867" spans="9:61" ht="21.95" customHeight="1">
      <c r="I867" s="551"/>
      <c r="S867" s="7"/>
      <c r="T867" s="7"/>
      <c r="AA867" s="7"/>
      <c r="AB867" s="7"/>
      <c r="AU867" s="7"/>
      <c r="BA867" s="7"/>
      <c r="BB867" s="7"/>
      <c r="BC867" s="7"/>
      <c r="BD867" s="7"/>
      <c r="BE867" s="7"/>
      <c r="BF867" s="7"/>
      <c r="BG867" s="7"/>
      <c r="BH867" s="7"/>
      <c r="BI867" s="7"/>
    </row>
    <row r="868" spans="9:61" ht="21.95" customHeight="1">
      <c r="I868" s="481"/>
      <c r="S868" s="7"/>
      <c r="T868" s="7"/>
      <c r="AA868" s="7"/>
      <c r="AB868" s="7"/>
      <c r="AU868" s="7"/>
      <c r="BA868" s="7"/>
      <c r="BB868" s="7"/>
      <c r="BC868" s="7"/>
      <c r="BD868" s="7"/>
      <c r="BE868" s="7"/>
      <c r="BF868" s="7"/>
      <c r="BG868" s="7"/>
      <c r="BH868" s="7"/>
      <c r="BI868" s="7"/>
    </row>
    <row r="869" spans="9:61" ht="21.95" customHeight="1">
      <c r="I869" s="551"/>
      <c r="S869" s="7"/>
      <c r="T869" s="7"/>
      <c r="AA869" s="7"/>
      <c r="AB869" s="7"/>
      <c r="AU869" s="7"/>
      <c r="BA869" s="7"/>
      <c r="BB869" s="7"/>
      <c r="BC869" s="7"/>
      <c r="BD869" s="7"/>
      <c r="BE869" s="7"/>
      <c r="BF869" s="7"/>
      <c r="BG869" s="7"/>
      <c r="BH869" s="7"/>
      <c r="BI869" s="7"/>
    </row>
    <row r="870" spans="9:61" ht="21.95" customHeight="1">
      <c r="I870" s="551"/>
      <c r="S870" s="7"/>
      <c r="T870" s="7"/>
      <c r="AA870" s="7"/>
      <c r="AB870" s="7"/>
      <c r="AU870" s="7"/>
      <c r="BA870" s="7"/>
      <c r="BB870" s="7"/>
      <c r="BC870" s="7"/>
      <c r="BD870" s="7"/>
      <c r="BE870" s="7"/>
      <c r="BF870" s="7"/>
      <c r="BG870" s="7"/>
      <c r="BH870" s="7"/>
      <c r="BI870" s="7"/>
    </row>
    <row r="871" spans="9:61" ht="21.95" customHeight="1">
      <c r="I871" s="551"/>
      <c r="S871" s="7"/>
      <c r="T871" s="7"/>
      <c r="AA871" s="7"/>
      <c r="AB871" s="7"/>
      <c r="AU871" s="7"/>
      <c r="BA871" s="7"/>
      <c r="BB871" s="7"/>
      <c r="BC871" s="7"/>
      <c r="BD871" s="7"/>
      <c r="BE871" s="7"/>
      <c r="BF871" s="7"/>
      <c r="BG871" s="7"/>
      <c r="BH871" s="7"/>
      <c r="BI871" s="7"/>
    </row>
    <row r="872" spans="9:61" ht="21.95" customHeight="1">
      <c r="I872" s="551"/>
      <c r="S872" s="7"/>
      <c r="T872" s="7"/>
      <c r="AA872" s="7"/>
      <c r="AB872" s="7"/>
      <c r="AU872" s="7"/>
      <c r="BA872" s="7"/>
      <c r="BB872" s="7"/>
      <c r="BC872" s="7"/>
      <c r="BD872" s="7"/>
      <c r="BE872" s="7"/>
      <c r="BF872" s="7"/>
      <c r="BG872" s="7"/>
      <c r="BH872" s="7"/>
      <c r="BI872" s="7"/>
    </row>
    <row r="873" spans="9:61" ht="21.95" customHeight="1">
      <c r="I873" s="551"/>
      <c r="S873" s="7"/>
      <c r="T873" s="7"/>
      <c r="AA873" s="7"/>
      <c r="AB873" s="7"/>
      <c r="AU873" s="7"/>
      <c r="BA873" s="7"/>
      <c r="BB873" s="7"/>
      <c r="BC873" s="7"/>
      <c r="BD873" s="7"/>
      <c r="BE873" s="7"/>
      <c r="BF873" s="7"/>
      <c r="BG873" s="7"/>
      <c r="BH873" s="7"/>
      <c r="BI873" s="7"/>
    </row>
    <row r="874" spans="9:61" ht="21.95" customHeight="1">
      <c r="I874" s="551"/>
      <c r="S874" s="7"/>
      <c r="T874" s="7"/>
      <c r="AA874" s="7"/>
      <c r="AB874" s="7"/>
      <c r="AU874" s="7"/>
      <c r="BA874" s="7"/>
      <c r="BB874" s="7"/>
      <c r="BC874" s="7"/>
      <c r="BD874" s="7"/>
      <c r="BE874" s="7"/>
      <c r="BF874" s="7"/>
      <c r="BG874" s="7"/>
      <c r="BH874" s="7"/>
      <c r="BI874" s="7"/>
    </row>
    <row r="875" spans="9:61" ht="21.95" customHeight="1">
      <c r="I875" s="481"/>
      <c r="S875" s="7"/>
      <c r="T875" s="7"/>
      <c r="AA875" s="7"/>
      <c r="AB875" s="7"/>
      <c r="AU875" s="7"/>
      <c r="BA875" s="7"/>
      <c r="BB875" s="7"/>
      <c r="BC875" s="7"/>
      <c r="BD875" s="7"/>
      <c r="BE875" s="7"/>
      <c r="BF875" s="7"/>
      <c r="BG875" s="7"/>
      <c r="BH875" s="7"/>
      <c r="BI875" s="7"/>
    </row>
    <row r="876" spans="9:61" ht="21.95" customHeight="1">
      <c r="I876" s="481"/>
      <c r="S876" s="7"/>
      <c r="T876" s="7"/>
      <c r="AA876" s="7"/>
      <c r="AB876" s="7"/>
      <c r="AU876" s="7"/>
      <c r="BA876" s="7"/>
      <c r="BB876" s="7"/>
      <c r="BC876" s="7"/>
      <c r="BD876" s="7"/>
      <c r="BE876" s="7"/>
      <c r="BF876" s="7"/>
      <c r="BG876" s="7"/>
      <c r="BH876" s="7"/>
      <c r="BI876" s="7"/>
    </row>
    <row r="877" spans="9:61" ht="21.95" customHeight="1">
      <c r="I877" s="481"/>
      <c r="S877" s="7"/>
      <c r="T877" s="7"/>
      <c r="AA877" s="7"/>
      <c r="AB877" s="7"/>
      <c r="AU877" s="7"/>
      <c r="BA877" s="7"/>
      <c r="BB877" s="7"/>
      <c r="BC877" s="7"/>
      <c r="BD877" s="7"/>
      <c r="BE877" s="7"/>
      <c r="BF877" s="7"/>
      <c r="BG877" s="7"/>
      <c r="BH877" s="7"/>
      <c r="BI877" s="7"/>
    </row>
    <row r="878" spans="9:61" ht="21.95" customHeight="1">
      <c r="I878" s="630"/>
      <c r="S878" s="7"/>
      <c r="T878" s="7"/>
      <c r="AA878" s="7"/>
      <c r="AB878" s="7"/>
      <c r="AU878" s="7"/>
      <c r="BA878" s="7"/>
      <c r="BB878" s="7"/>
      <c r="BC878" s="7"/>
      <c r="BD878" s="7"/>
      <c r="BE878" s="7"/>
      <c r="BF878" s="7"/>
      <c r="BG878" s="7"/>
      <c r="BH878" s="7"/>
      <c r="BI878" s="7"/>
    </row>
    <row r="879" spans="9:61" ht="21.95" customHeight="1">
      <c r="I879" s="551"/>
      <c r="S879" s="7"/>
      <c r="T879" s="7"/>
      <c r="AA879" s="7"/>
      <c r="AB879" s="7"/>
      <c r="AU879" s="7"/>
      <c r="BA879" s="7"/>
      <c r="BB879" s="7"/>
      <c r="BC879" s="7"/>
      <c r="BD879" s="7"/>
      <c r="BE879" s="7"/>
      <c r="BF879" s="7"/>
      <c r="BG879" s="7"/>
      <c r="BH879" s="7"/>
      <c r="BI879" s="7"/>
    </row>
    <row r="880" spans="9:61" ht="21.95" customHeight="1">
      <c r="I880" s="551"/>
      <c r="S880" s="7"/>
      <c r="T880" s="7"/>
      <c r="AA880" s="7"/>
      <c r="AB880" s="7"/>
      <c r="AU880" s="7"/>
      <c r="BA880" s="7"/>
      <c r="BB880" s="7"/>
      <c r="BC880" s="7"/>
      <c r="BD880" s="7"/>
      <c r="BE880" s="7"/>
      <c r="BF880" s="7"/>
      <c r="BG880" s="7"/>
      <c r="BH880" s="7"/>
      <c r="BI880" s="7"/>
    </row>
    <row r="881" spans="9:61" ht="21.95" customHeight="1">
      <c r="I881" s="551"/>
      <c r="S881" s="7"/>
      <c r="T881" s="7"/>
      <c r="AA881" s="7"/>
      <c r="AB881" s="7"/>
      <c r="AU881" s="7"/>
      <c r="BA881" s="7"/>
      <c r="BB881" s="7"/>
      <c r="BC881" s="7"/>
      <c r="BD881" s="7"/>
      <c r="BE881" s="7"/>
      <c r="BF881" s="7"/>
      <c r="BG881" s="7"/>
      <c r="BH881" s="7"/>
      <c r="BI881" s="7"/>
    </row>
    <row r="882" spans="9:61" ht="21.95" customHeight="1">
      <c r="I882" s="551"/>
      <c r="S882" s="7"/>
      <c r="T882" s="7"/>
      <c r="AA882" s="7"/>
      <c r="AB882" s="7"/>
      <c r="AU882" s="7"/>
      <c r="BA882" s="7"/>
      <c r="BB882" s="7"/>
      <c r="BC882" s="7"/>
      <c r="BD882" s="7"/>
      <c r="BE882" s="7"/>
      <c r="BF882" s="7"/>
      <c r="BG882" s="7"/>
      <c r="BH882" s="7"/>
      <c r="BI882" s="7"/>
    </row>
    <row r="883" spans="9:61" ht="21.95" customHeight="1">
      <c r="I883" s="551"/>
      <c r="S883" s="7"/>
      <c r="T883" s="7"/>
      <c r="AA883" s="7"/>
      <c r="AB883" s="7"/>
      <c r="AU883" s="7"/>
      <c r="BA883" s="7"/>
      <c r="BB883" s="7"/>
      <c r="BC883" s="7"/>
      <c r="BD883" s="7"/>
      <c r="BE883" s="7"/>
      <c r="BF883" s="7"/>
      <c r="BG883" s="7"/>
      <c r="BH883" s="7"/>
      <c r="BI883" s="7"/>
    </row>
    <row r="884" spans="9:61" ht="21.95" customHeight="1">
      <c r="I884" s="551"/>
      <c r="S884" s="7"/>
      <c r="T884" s="7"/>
      <c r="AA884" s="7"/>
      <c r="AB884" s="7"/>
      <c r="AU884" s="7"/>
      <c r="BA884" s="7"/>
      <c r="BB884" s="7"/>
      <c r="BC884" s="7"/>
      <c r="BD884" s="7"/>
      <c r="BE884" s="7"/>
      <c r="BF884" s="7"/>
      <c r="BG884" s="7"/>
      <c r="BH884" s="7"/>
      <c r="BI884" s="7"/>
    </row>
    <row r="885" spans="9:61" ht="21.95" customHeight="1">
      <c r="I885" s="551"/>
      <c r="S885" s="7"/>
      <c r="T885" s="7"/>
      <c r="AA885" s="7"/>
      <c r="AB885" s="7"/>
      <c r="AU885" s="7"/>
      <c r="BA885" s="7"/>
      <c r="BB885" s="7"/>
      <c r="BC885" s="7"/>
      <c r="BD885" s="7"/>
      <c r="BE885" s="7"/>
      <c r="BF885" s="7"/>
      <c r="BG885" s="7"/>
      <c r="BH885" s="7"/>
      <c r="BI885" s="7"/>
    </row>
    <row r="886" spans="9:61" ht="21.95" customHeight="1">
      <c r="I886" s="551"/>
      <c r="S886" s="7"/>
      <c r="T886" s="7"/>
      <c r="AA886" s="7"/>
      <c r="AB886" s="7"/>
      <c r="AU886" s="7"/>
      <c r="BA886" s="7"/>
      <c r="BB886" s="7"/>
      <c r="BC886" s="7"/>
      <c r="BD886" s="7"/>
      <c r="BE886" s="7"/>
      <c r="BF886" s="7"/>
      <c r="BG886" s="7"/>
      <c r="BH886" s="7"/>
      <c r="BI886" s="7"/>
    </row>
    <row r="887" spans="9:61" ht="21.95" customHeight="1">
      <c r="I887" s="551"/>
      <c r="S887" s="7"/>
      <c r="T887" s="7"/>
      <c r="AA887" s="7"/>
      <c r="AB887" s="7"/>
      <c r="AU887" s="7"/>
      <c r="BA887" s="7"/>
      <c r="BB887" s="7"/>
      <c r="BC887" s="7"/>
      <c r="BD887" s="7"/>
      <c r="BE887" s="7"/>
      <c r="BF887" s="7"/>
      <c r="BG887" s="7"/>
      <c r="BH887" s="7"/>
      <c r="BI887" s="7"/>
    </row>
    <row r="888" spans="9:61" ht="21.95" customHeight="1">
      <c r="I888" s="551"/>
      <c r="S888" s="7"/>
      <c r="T888" s="7"/>
      <c r="AA888" s="7"/>
      <c r="AB888" s="7"/>
      <c r="AU888" s="7"/>
      <c r="BA888" s="7"/>
      <c r="BB888" s="7"/>
      <c r="BC888" s="7"/>
      <c r="BD888" s="7"/>
      <c r="BE888" s="7"/>
      <c r="BF888" s="7"/>
      <c r="BG888" s="7"/>
      <c r="BH888" s="7"/>
      <c r="BI888" s="7"/>
    </row>
    <row r="889" spans="9:61" ht="21.95" customHeight="1">
      <c r="I889" s="551"/>
      <c r="S889" s="7"/>
      <c r="T889" s="7"/>
      <c r="AA889" s="7"/>
      <c r="AB889" s="7"/>
      <c r="AU889" s="7"/>
      <c r="BA889" s="7"/>
      <c r="BB889" s="7"/>
      <c r="BC889" s="7"/>
      <c r="BD889" s="7"/>
      <c r="BE889" s="7"/>
      <c r="BF889" s="7"/>
      <c r="BG889" s="7"/>
      <c r="BH889" s="7"/>
      <c r="BI889" s="7"/>
    </row>
    <row r="890" spans="9:61" ht="21.95" customHeight="1">
      <c r="I890" s="551"/>
      <c r="S890" s="7"/>
      <c r="T890" s="7"/>
      <c r="AA890" s="7"/>
      <c r="AB890" s="7"/>
      <c r="AU890" s="7"/>
      <c r="BA890" s="7"/>
      <c r="BB890" s="7"/>
      <c r="BC890" s="7"/>
      <c r="BD890" s="7"/>
      <c r="BE890" s="7"/>
      <c r="BF890" s="7"/>
      <c r="BG890" s="7"/>
      <c r="BH890" s="7"/>
      <c r="BI890" s="7"/>
    </row>
    <row r="891" spans="9:61" ht="21.95" customHeight="1">
      <c r="I891" s="551"/>
      <c r="S891" s="7"/>
      <c r="T891" s="7"/>
      <c r="AA891" s="7"/>
      <c r="AB891" s="7"/>
      <c r="AU891" s="7"/>
      <c r="BA891" s="7"/>
      <c r="BB891" s="7"/>
      <c r="BC891" s="7"/>
      <c r="BD891" s="7"/>
      <c r="BE891" s="7"/>
      <c r="BF891" s="7"/>
      <c r="BG891" s="7"/>
      <c r="BH891" s="7"/>
      <c r="BI891" s="7"/>
    </row>
    <row r="892" spans="9:61" ht="21.95" customHeight="1">
      <c r="I892" s="551"/>
      <c r="S892" s="7"/>
      <c r="T892" s="7"/>
      <c r="AA892" s="7"/>
      <c r="AB892" s="7"/>
      <c r="AU892" s="7"/>
      <c r="BA892" s="7"/>
      <c r="BB892" s="7"/>
      <c r="BC892" s="7"/>
      <c r="BD892" s="7"/>
      <c r="BE892" s="7"/>
      <c r="BF892" s="7"/>
      <c r="BG892" s="7"/>
      <c r="BH892" s="7"/>
      <c r="BI892" s="7"/>
    </row>
    <row r="893" spans="9:61" ht="21.95" customHeight="1">
      <c r="I893" s="551"/>
      <c r="S893" s="7"/>
      <c r="T893" s="7"/>
      <c r="AA893" s="7"/>
      <c r="AB893" s="7"/>
      <c r="AU893" s="7"/>
      <c r="BA893" s="7"/>
      <c r="BB893" s="7"/>
      <c r="BC893" s="7"/>
      <c r="BD893" s="7"/>
      <c r="BE893" s="7"/>
      <c r="BF893" s="7"/>
      <c r="BG893" s="7"/>
      <c r="BH893" s="7"/>
      <c r="BI893" s="7"/>
    </row>
    <row r="894" spans="9:61" ht="21.95" customHeight="1">
      <c r="I894" s="551"/>
      <c r="S894" s="7"/>
      <c r="T894" s="7"/>
      <c r="AA894" s="7"/>
      <c r="AB894" s="7"/>
      <c r="AU894" s="7"/>
      <c r="BA894" s="7"/>
      <c r="BB894" s="7"/>
      <c r="BC894" s="7"/>
      <c r="BD894" s="7"/>
      <c r="BE894" s="7"/>
      <c r="BF894" s="7"/>
      <c r="BG894" s="7"/>
      <c r="BH894" s="7"/>
      <c r="BI894" s="7"/>
    </row>
    <row r="895" spans="9:61" ht="21.95" customHeight="1">
      <c r="I895" s="551"/>
      <c r="S895" s="7"/>
      <c r="T895" s="7"/>
      <c r="AA895" s="7"/>
      <c r="AB895" s="7"/>
      <c r="AU895" s="7"/>
      <c r="BA895" s="7"/>
      <c r="BB895" s="7"/>
      <c r="BC895" s="7"/>
      <c r="BD895" s="7"/>
      <c r="BE895" s="7"/>
      <c r="BF895" s="7"/>
      <c r="BG895" s="7"/>
      <c r="BH895" s="7"/>
      <c r="BI895" s="7"/>
    </row>
    <row r="896" spans="9:61" ht="21.95" customHeight="1">
      <c r="I896" s="481"/>
      <c r="S896" s="7"/>
      <c r="T896" s="7"/>
      <c r="AA896" s="7"/>
      <c r="AB896" s="7"/>
      <c r="AU896" s="7"/>
      <c r="BA896" s="7"/>
      <c r="BB896" s="7"/>
      <c r="BC896" s="7"/>
      <c r="BD896" s="7"/>
      <c r="BE896" s="7"/>
      <c r="BF896" s="7"/>
      <c r="BG896" s="7"/>
      <c r="BH896" s="7"/>
      <c r="BI896" s="7"/>
    </row>
    <row r="897" spans="9:61" ht="21.95" customHeight="1">
      <c r="I897" s="481"/>
      <c r="S897" s="7"/>
      <c r="T897" s="7"/>
      <c r="AA897" s="7"/>
      <c r="AB897" s="7"/>
      <c r="AU897" s="7"/>
      <c r="BA897" s="7"/>
      <c r="BB897" s="7"/>
      <c r="BC897" s="7"/>
      <c r="BD897" s="7"/>
      <c r="BE897" s="7"/>
      <c r="BF897" s="7"/>
      <c r="BG897" s="7"/>
      <c r="BH897" s="7"/>
      <c r="BI897" s="7"/>
    </row>
    <row r="898" spans="9:61" ht="21.95" customHeight="1">
      <c r="I898" s="481"/>
      <c r="S898" s="7"/>
      <c r="T898" s="7"/>
      <c r="AA898" s="7"/>
      <c r="AB898" s="7"/>
      <c r="AU898" s="7"/>
      <c r="BA898" s="7"/>
      <c r="BB898" s="7"/>
      <c r="BC898" s="7"/>
      <c r="BD898" s="7"/>
      <c r="BE898" s="7"/>
      <c r="BF898" s="7"/>
      <c r="BG898" s="7"/>
      <c r="BH898" s="7"/>
      <c r="BI898" s="7"/>
    </row>
    <row r="899" spans="9:61" ht="21.95" customHeight="1">
      <c r="I899" s="551"/>
      <c r="S899" s="7"/>
      <c r="T899" s="7"/>
      <c r="AA899" s="7"/>
      <c r="AB899" s="7"/>
      <c r="AU899" s="7"/>
      <c r="BA899" s="7"/>
      <c r="BB899" s="7"/>
      <c r="BC899" s="7"/>
      <c r="BD899" s="7"/>
      <c r="BE899" s="7"/>
      <c r="BF899" s="7"/>
      <c r="BG899" s="7"/>
      <c r="BH899" s="7"/>
      <c r="BI899" s="7"/>
    </row>
    <row r="900" spans="9:61" ht="21.95" customHeight="1">
      <c r="I900" s="551"/>
      <c r="S900" s="7"/>
      <c r="T900" s="7"/>
      <c r="AA900" s="7"/>
      <c r="AB900" s="7"/>
      <c r="AU900" s="7"/>
      <c r="BA900" s="7"/>
      <c r="BB900" s="7"/>
      <c r="BC900" s="7"/>
      <c r="BD900" s="7"/>
      <c r="BE900" s="7"/>
      <c r="BF900" s="7"/>
      <c r="BG900" s="7"/>
      <c r="BH900" s="7"/>
      <c r="BI900" s="7"/>
    </row>
    <row r="901" spans="9:61" ht="21.95" customHeight="1">
      <c r="I901" s="551"/>
      <c r="S901" s="7"/>
      <c r="T901" s="7"/>
      <c r="AA901" s="7"/>
      <c r="AB901" s="7"/>
      <c r="AU901" s="7"/>
      <c r="BA901" s="7"/>
      <c r="BB901" s="7"/>
      <c r="BC901" s="7"/>
      <c r="BD901" s="7"/>
      <c r="BE901" s="7"/>
      <c r="BF901" s="7"/>
      <c r="BG901" s="7"/>
      <c r="BH901" s="7"/>
      <c r="BI901" s="7"/>
    </row>
    <row r="902" spans="9:61" ht="21.95" customHeight="1">
      <c r="I902" s="551"/>
      <c r="S902" s="7"/>
      <c r="T902" s="7"/>
      <c r="AA902" s="7"/>
      <c r="AB902" s="7"/>
      <c r="AU902" s="7"/>
      <c r="BA902" s="7"/>
      <c r="BB902" s="7"/>
      <c r="BC902" s="7"/>
      <c r="BD902" s="7"/>
      <c r="BE902" s="7"/>
      <c r="BF902" s="7"/>
      <c r="BG902" s="7"/>
      <c r="BH902" s="7"/>
      <c r="BI902" s="7"/>
    </row>
    <row r="903" spans="9:61" ht="21.95" customHeight="1">
      <c r="I903" s="551"/>
      <c r="S903" s="7"/>
      <c r="T903" s="7"/>
      <c r="AA903" s="7"/>
      <c r="AB903" s="7"/>
      <c r="AU903" s="7"/>
      <c r="BA903" s="7"/>
      <c r="BB903" s="7"/>
      <c r="BC903" s="7"/>
      <c r="BD903" s="7"/>
      <c r="BE903" s="7"/>
      <c r="BF903" s="7"/>
      <c r="BG903" s="7"/>
      <c r="BH903" s="7"/>
      <c r="BI903" s="7"/>
    </row>
    <row r="904" spans="9:61" ht="21.95" customHeight="1">
      <c r="I904" s="551"/>
      <c r="S904" s="7"/>
      <c r="T904" s="7"/>
      <c r="AA904" s="7"/>
      <c r="AB904" s="7"/>
      <c r="AU904" s="7"/>
      <c r="BA904" s="7"/>
      <c r="BB904" s="7"/>
      <c r="BC904" s="7"/>
      <c r="BD904" s="7"/>
      <c r="BE904" s="7"/>
      <c r="BF904" s="7"/>
      <c r="BG904" s="7"/>
      <c r="BH904" s="7"/>
      <c r="BI904" s="7"/>
    </row>
    <row r="905" spans="9:61" ht="21.95" customHeight="1">
      <c r="I905" s="551"/>
      <c r="S905" s="7"/>
      <c r="T905" s="7"/>
      <c r="AA905" s="7"/>
      <c r="AB905" s="7"/>
      <c r="AU905" s="7"/>
      <c r="BA905" s="7"/>
      <c r="BB905" s="7"/>
      <c r="BC905" s="7"/>
      <c r="BD905" s="7"/>
      <c r="BE905" s="7"/>
      <c r="BF905" s="7"/>
      <c r="BG905" s="7"/>
      <c r="BH905" s="7"/>
      <c r="BI905" s="7"/>
    </row>
    <row r="906" spans="9:61" ht="21.95" customHeight="1">
      <c r="I906" s="551"/>
      <c r="S906" s="7"/>
      <c r="T906" s="7"/>
      <c r="AA906" s="7"/>
      <c r="AB906" s="7"/>
      <c r="AU906" s="7"/>
      <c r="BA906" s="7"/>
      <c r="BB906" s="7"/>
      <c r="BC906" s="7"/>
      <c r="BD906" s="7"/>
      <c r="BE906" s="7"/>
      <c r="BF906" s="7"/>
      <c r="BG906" s="7"/>
      <c r="BH906" s="7"/>
      <c r="BI906" s="7"/>
    </row>
    <row r="907" spans="9:61" ht="21.95" customHeight="1">
      <c r="I907" s="551"/>
      <c r="S907" s="7"/>
      <c r="T907" s="7"/>
      <c r="AA907" s="7"/>
      <c r="AB907" s="7"/>
      <c r="AU907" s="7"/>
      <c r="BA907" s="7"/>
      <c r="BB907" s="7"/>
      <c r="BC907" s="7"/>
      <c r="BD907" s="7"/>
      <c r="BE907" s="7"/>
      <c r="BF907" s="7"/>
      <c r="BG907" s="7"/>
      <c r="BH907" s="7"/>
      <c r="BI907" s="7"/>
    </row>
    <row r="908" spans="9:61" ht="21.95" customHeight="1">
      <c r="I908" s="551"/>
      <c r="S908" s="7"/>
      <c r="T908" s="7"/>
      <c r="AA908" s="7"/>
      <c r="AB908" s="7"/>
      <c r="AU908" s="7"/>
      <c r="BA908" s="7"/>
      <c r="BB908" s="7"/>
      <c r="BC908" s="7"/>
      <c r="BD908" s="7"/>
      <c r="BE908" s="7"/>
      <c r="BF908" s="7"/>
      <c r="BG908" s="7"/>
      <c r="BH908" s="7"/>
      <c r="BI908" s="7"/>
    </row>
    <row r="909" spans="9:61" ht="21.95" customHeight="1">
      <c r="I909" s="551"/>
      <c r="S909" s="7"/>
      <c r="T909" s="7"/>
      <c r="AA909" s="7"/>
      <c r="AB909" s="7"/>
      <c r="AU909" s="7"/>
      <c r="BA909" s="7"/>
      <c r="BB909" s="7"/>
      <c r="BC909" s="7"/>
      <c r="BD909" s="7"/>
      <c r="BE909" s="7"/>
      <c r="BF909" s="7"/>
      <c r="BG909" s="7"/>
      <c r="BH909" s="7"/>
      <c r="BI909" s="7"/>
    </row>
    <row r="910" spans="9:61" ht="21.95" customHeight="1">
      <c r="I910" s="551"/>
      <c r="S910" s="7"/>
      <c r="T910" s="7"/>
      <c r="AA910" s="7"/>
      <c r="AB910" s="7"/>
      <c r="AU910" s="7"/>
      <c r="BA910" s="7"/>
      <c r="BB910" s="7"/>
      <c r="BC910" s="7"/>
      <c r="BD910" s="7"/>
      <c r="BE910" s="7"/>
      <c r="BF910" s="7"/>
      <c r="BG910" s="7"/>
      <c r="BH910" s="7"/>
      <c r="BI910" s="7"/>
    </row>
    <row r="911" spans="9:61" ht="21.95" customHeight="1">
      <c r="I911" s="551"/>
      <c r="S911" s="7"/>
      <c r="T911" s="7"/>
      <c r="AA911" s="7"/>
      <c r="AB911" s="7"/>
      <c r="AU911" s="7"/>
      <c r="BA911" s="7"/>
      <c r="BB911" s="7"/>
      <c r="BC911" s="7"/>
      <c r="BD911" s="7"/>
      <c r="BE911" s="7"/>
      <c r="BF911" s="7"/>
      <c r="BG911" s="7"/>
      <c r="BH911" s="7"/>
      <c r="BI911" s="7"/>
    </row>
    <row r="912" spans="9:61" ht="21.95" customHeight="1">
      <c r="I912" s="630"/>
      <c r="S912" s="7"/>
      <c r="T912" s="7"/>
      <c r="AA912" s="7"/>
      <c r="AB912" s="7"/>
      <c r="AU912" s="7"/>
      <c r="BA912" s="7"/>
      <c r="BB912" s="7"/>
      <c r="BC912" s="7"/>
      <c r="BD912" s="7"/>
      <c r="BE912" s="7"/>
      <c r="BF912" s="7"/>
      <c r="BG912" s="7"/>
      <c r="BH912" s="7"/>
      <c r="BI912" s="7"/>
    </row>
    <row r="913" spans="9:61" ht="21.95" customHeight="1">
      <c r="I913" s="551"/>
      <c r="S913" s="7"/>
      <c r="T913" s="7"/>
      <c r="AA913" s="7"/>
      <c r="AB913" s="7"/>
      <c r="AU913" s="7"/>
      <c r="BA913" s="7"/>
      <c r="BB913" s="7"/>
      <c r="BC913" s="7"/>
      <c r="BD913" s="7"/>
      <c r="BE913" s="7"/>
      <c r="BF913" s="7"/>
      <c r="BG913" s="7"/>
      <c r="BH913" s="7"/>
      <c r="BI913" s="7"/>
    </row>
    <row r="914" spans="9:61" ht="21.95" customHeight="1">
      <c r="I914" s="551"/>
      <c r="S914" s="7"/>
      <c r="T914" s="7"/>
      <c r="AA914" s="7"/>
      <c r="AB914" s="7"/>
      <c r="AU914" s="7"/>
      <c r="BA914" s="7"/>
      <c r="BB914" s="7"/>
      <c r="BC914" s="7"/>
      <c r="BD914" s="7"/>
      <c r="BE914" s="7"/>
      <c r="BF914" s="7"/>
      <c r="BG914" s="7"/>
      <c r="BH914" s="7"/>
      <c r="BI914" s="7"/>
    </row>
    <row r="915" spans="9:61" ht="21.95" customHeight="1">
      <c r="I915" s="551"/>
      <c r="S915" s="7"/>
      <c r="T915" s="7"/>
      <c r="AA915" s="7"/>
      <c r="AB915" s="7"/>
      <c r="AU915" s="7"/>
      <c r="BA915" s="7"/>
      <c r="BB915" s="7"/>
      <c r="BC915" s="7"/>
      <c r="BD915" s="7"/>
      <c r="BE915" s="7"/>
      <c r="BF915" s="7"/>
      <c r="BG915" s="7"/>
      <c r="BH915" s="7"/>
      <c r="BI915" s="7"/>
    </row>
    <row r="916" spans="9:61" ht="21.95" customHeight="1">
      <c r="I916" s="551"/>
      <c r="S916" s="7"/>
      <c r="T916" s="7"/>
      <c r="AA916" s="7"/>
      <c r="AB916" s="7"/>
      <c r="AU916" s="7"/>
      <c r="BA916" s="7"/>
      <c r="BB916" s="7"/>
      <c r="BC916" s="7"/>
      <c r="BD916" s="7"/>
      <c r="BE916" s="7"/>
      <c r="BF916" s="7"/>
      <c r="BG916" s="7"/>
      <c r="BH916" s="7"/>
      <c r="BI916" s="7"/>
    </row>
    <row r="917" spans="9:61" ht="21.95" customHeight="1">
      <c r="I917" s="551"/>
      <c r="S917" s="7"/>
      <c r="T917" s="7"/>
      <c r="AA917" s="7"/>
      <c r="AB917" s="7"/>
      <c r="AU917" s="7"/>
      <c r="BA917" s="7"/>
      <c r="BB917" s="7"/>
      <c r="BC917" s="7"/>
      <c r="BD917" s="7"/>
      <c r="BE917" s="7"/>
      <c r="BF917" s="7"/>
      <c r="BG917" s="7"/>
      <c r="BH917" s="7"/>
      <c r="BI917" s="7"/>
    </row>
    <row r="918" spans="9:61" ht="21.95" customHeight="1">
      <c r="I918" s="551"/>
      <c r="S918" s="7"/>
      <c r="T918" s="7"/>
      <c r="AA918" s="7"/>
      <c r="AB918" s="7"/>
      <c r="AU918" s="7"/>
      <c r="BA918" s="7"/>
      <c r="BB918" s="7"/>
      <c r="BC918" s="7"/>
      <c r="BD918" s="7"/>
      <c r="BE918" s="7"/>
      <c r="BF918" s="7"/>
      <c r="BG918" s="7"/>
      <c r="BH918" s="7"/>
      <c r="BI918" s="7"/>
    </row>
    <row r="919" spans="9:61" ht="21.95" customHeight="1">
      <c r="I919" s="551"/>
      <c r="S919" s="7"/>
      <c r="T919" s="7"/>
      <c r="AA919" s="7"/>
      <c r="AB919" s="7"/>
      <c r="AU919" s="7"/>
      <c r="BA919" s="7"/>
      <c r="BB919" s="7"/>
      <c r="BC919" s="7"/>
      <c r="BD919" s="7"/>
      <c r="BE919" s="7"/>
      <c r="BF919" s="7"/>
      <c r="BG919" s="7"/>
      <c r="BH919" s="7"/>
      <c r="BI919" s="7"/>
    </row>
    <row r="920" spans="9:61" ht="21.95" customHeight="1">
      <c r="I920" s="551"/>
      <c r="AA920" s="7"/>
      <c r="AB920" s="7"/>
      <c r="AU920" s="7"/>
      <c r="BA920" s="7"/>
      <c r="BB920" s="7"/>
      <c r="BC920" s="7"/>
      <c r="BD920" s="7"/>
      <c r="BE920" s="7"/>
      <c r="BF920" s="7"/>
      <c r="BG920" s="7"/>
      <c r="BH920" s="7"/>
      <c r="BI920" s="7"/>
    </row>
    <row r="921" spans="9:61" ht="21.95" customHeight="1">
      <c r="I921" s="551"/>
      <c r="AA921" s="7"/>
      <c r="AB921" s="7"/>
      <c r="AU921" s="7"/>
      <c r="BA921" s="7"/>
      <c r="BB921" s="7"/>
      <c r="BC921" s="7"/>
      <c r="BD921" s="7"/>
      <c r="BE921" s="7"/>
      <c r="BF921" s="7"/>
      <c r="BG921" s="7"/>
      <c r="BH921" s="7"/>
      <c r="BI921" s="7"/>
    </row>
    <row r="922" spans="9:61" ht="21.95" customHeight="1">
      <c r="I922" s="551"/>
      <c r="AA922" s="7"/>
      <c r="AB922" s="7"/>
      <c r="AU922" s="7"/>
      <c r="BA922" s="7"/>
      <c r="BB922" s="7"/>
      <c r="BC922" s="7"/>
      <c r="BD922" s="7"/>
      <c r="BE922" s="7"/>
      <c r="BF922" s="7"/>
      <c r="BG922" s="7"/>
      <c r="BH922" s="7"/>
      <c r="BI922" s="7"/>
    </row>
    <row r="923" spans="9:61" ht="21.95" customHeight="1">
      <c r="I923" s="551"/>
      <c r="AA923" s="7"/>
      <c r="AB923" s="7"/>
      <c r="AU923" s="7"/>
      <c r="BA923" s="7"/>
      <c r="BB923" s="7"/>
      <c r="BC923" s="7"/>
      <c r="BD923" s="7"/>
      <c r="BE923" s="7"/>
      <c r="BF923" s="7"/>
      <c r="BG923" s="7"/>
      <c r="BH923" s="7"/>
      <c r="BI923" s="7"/>
    </row>
    <row r="924" spans="9:61" ht="21.95" customHeight="1">
      <c r="I924" s="551"/>
      <c r="AA924" s="7"/>
      <c r="AB924" s="7"/>
      <c r="AU924" s="7"/>
      <c r="BA924" s="7"/>
      <c r="BB924" s="7"/>
      <c r="BC924" s="7"/>
      <c r="BD924" s="7"/>
      <c r="BE924" s="7"/>
      <c r="BF924" s="7"/>
      <c r="BG924" s="7"/>
      <c r="BH924" s="7"/>
      <c r="BI924" s="7"/>
    </row>
    <row r="925" spans="9:61" ht="21.95" customHeight="1">
      <c r="I925" s="551"/>
      <c r="AA925" s="7"/>
      <c r="AB925" s="7"/>
      <c r="AU925" s="7"/>
      <c r="BA925" s="7"/>
      <c r="BB925" s="7"/>
      <c r="BC925" s="7"/>
      <c r="BD925" s="7"/>
      <c r="BE925" s="7"/>
      <c r="BF925" s="7"/>
      <c r="BG925" s="7"/>
      <c r="BH925" s="7"/>
      <c r="BI925" s="7"/>
    </row>
    <row r="926" spans="9:61" ht="21.95" customHeight="1">
      <c r="I926" s="551"/>
      <c r="AA926" s="7"/>
      <c r="AB926" s="7"/>
      <c r="AU926" s="7"/>
      <c r="BA926" s="7"/>
      <c r="BB926" s="7"/>
      <c r="BC926" s="7"/>
      <c r="BD926" s="7"/>
      <c r="BE926" s="7"/>
      <c r="BF926" s="7"/>
      <c r="BG926" s="7"/>
      <c r="BH926" s="7"/>
      <c r="BI926" s="7"/>
    </row>
    <row r="927" spans="9:61" ht="21.95" customHeight="1">
      <c r="I927" s="551"/>
      <c r="AA927" s="7"/>
      <c r="AB927" s="7"/>
      <c r="AU927" s="7"/>
      <c r="BA927" s="7"/>
      <c r="BB927" s="7"/>
      <c r="BC927" s="7"/>
      <c r="BD927" s="7"/>
      <c r="BE927" s="7"/>
      <c r="BF927" s="7"/>
      <c r="BG927" s="7"/>
      <c r="BH927" s="7"/>
      <c r="BI927" s="7"/>
    </row>
    <row r="928" spans="9:61" ht="21.95" customHeight="1">
      <c r="I928" s="551"/>
      <c r="AA928" s="7"/>
      <c r="AB928" s="7"/>
      <c r="AU928" s="7"/>
      <c r="BA928" s="7"/>
      <c r="BB928" s="7"/>
      <c r="BC928" s="7"/>
      <c r="BD928" s="7"/>
      <c r="BE928" s="7"/>
      <c r="BF928" s="7"/>
      <c r="BG928" s="7"/>
      <c r="BH928" s="7"/>
      <c r="BI928" s="7"/>
    </row>
    <row r="929" spans="9:61" ht="21.95" customHeight="1">
      <c r="I929" s="551"/>
      <c r="AA929" s="7"/>
      <c r="AB929" s="7"/>
      <c r="AU929" s="7"/>
      <c r="BA929" s="7"/>
      <c r="BB929" s="7"/>
      <c r="BC929" s="7"/>
      <c r="BD929" s="7"/>
      <c r="BE929" s="7"/>
      <c r="BF929" s="7"/>
      <c r="BG929" s="7"/>
      <c r="BH929" s="7"/>
      <c r="BI929" s="7"/>
    </row>
    <row r="930" spans="9:61" ht="21.95" customHeight="1">
      <c r="I930" s="551"/>
      <c r="AA930" s="7"/>
      <c r="AB930" s="7"/>
      <c r="AU930" s="7"/>
      <c r="BA930" s="7"/>
      <c r="BB930" s="7"/>
      <c r="BC930" s="7"/>
      <c r="BD930" s="7"/>
      <c r="BE930" s="7"/>
      <c r="BF930" s="7"/>
      <c r="BG930" s="7"/>
      <c r="BH930" s="7"/>
      <c r="BI930" s="7"/>
    </row>
    <row r="931" spans="9:61" ht="21.95" customHeight="1">
      <c r="I931" s="551"/>
      <c r="AA931" s="7"/>
      <c r="AB931" s="7"/>
      <c r="AU931" s="7"/>
      <c r="BA931" s="7"/>
      <c r="BB931" s="7"/>
      <c r="BC931" s="7"/>
      <c r="BD931" s="7"/>
      <c r="BE931" s="7"/>
      <c r="BF931" s="7"/>
      <c r="BG931" s="7"/>
      <c r="BH931" s="7"/>
      <c r="BI931" s="7"/>
    </row>
    <row r="932" spans="9:61" ht="21.95" customHeight="1">
      <c r="AA932" s="7"/>
      <c r="AB932" s="7"/>
      <c r="AU932" s="7"/>
      <c r="BA932" s="7"/>
      <c r="BB932" s="7"/>
      <c r="BC932" s="7"/>
      <c r="BD932" s="7"/>
      <c r="BE932" s="7"/>
      <c r="BF932" s="7"/>
      <c r="BG932" s="7"/>
      <c r="BH932" s="7"/>
      <c r="BI932" s="7"/>
    </row>
    <row r="933" spans="9:61" ht="21.95" customHeight="1">
      <c r="AA933" s="7"/>
      <c r="AB933" s="7"/>
      <c r="AU933" s="7"/>
      <c r="BA933" s="7"/>
      <c r="BB933" s="7"/>
      <c r="BC933" s="7"/>
      <c r="BD933" s="7"/>
      <c r="BE933" s="7"/>
      <c r="BF933" s="7"/>
      <c r="BG933" s="7"/>
      <c r="BH933" s="7"/>
      <c r="BI933" s="7"/>
    </row>
    <row r="934" spans="9:61" ht="21.95" customHeight="1">
      <c r="AA934" s="7"/>
      <c r="AB934" s="7"/>
      <c r="AU934" s="7"/>
      <c r="BA934" s="7"/>
      <c r="BB934" s="7"/>
      <c r="BC934" s="7"/>
      <c r="BD934" s="7"/>
      <c r="BE934" s="7"/>
      <c r="BF934" s="7"/>
      <c r="BG934" s="7"/>
      <c r="BH934" s="7"/>
      <c r="BI934" s="7"/>
    </row>
    <row r="935" spans="9:61" ht="21.95" customHeight="1">
      <c r="AA935" s="7"/>
      <c r="AB935" s="7"/>
      <c r="AU935" s="7"/>
      <c r="BA935" s="7"/>
      <c r="BB935" s="7"/>
      <c r="BC935" s="7"/>
      <c r="BD935" s="7"/>
      <c r="BE935" s="7"/>
      <c r="BF935" s="7"/>
      <c r="BG935" s="7"/>
      <c r="BH935" s="7"/>
      <c r="BI935" s="7"/>
    </row>
    <row r="936" spans="9:61" ht="21.95" customHeight="1">
      <c r="AA936" s="7"/>
      <c r="AB936" s="7"/>
      <c r="AU936" s="7"/>
      <c r="BA936" s="7"/>
      <c r="BB936" s="7"/>
      <c r="BC936" s="7"/>
      <c r="BD936" s="7"/>
      <c r="BE936" s="7"/>
      <c r="BF936" s="7"/>
      <c r="BG936" s="7"/>
      <c r="BH936" s="7"/>
      <c r="BI936" s="7"/>
    </row>
    <row r="937" spans="9:61" ht="21.95" customHeight="1">
      <c r="AA937" s="7"/>
      <c r="AB937" s="7"/>
      <c r="AU937" s="7"/>
    </row>
    <row r="938" spans="9:61" ht="21.95" customHeight="1">
      <c r="AA938" s="7"/>
      <c r="AB938" s="7"/>
    </row>
    <row r="939" spans="9:61" ht="21.95" customHeight="1">
      <c r="AA939" s="7"/>
      <c r="AB939" s="7"/>
    </row>
    <row r="940" spans="9:61" ht="21.95" customHeight="1">
      <c r="AA940" s="7"/>
      <c r="AB940" s="7"/>
    </row>
    <row r="952" spans="19:61" ht="21.95" customHeight="1">
      <c r="S952" s="7"/>
      <c r="T952" s="7"/>
    </row>
    <row r="953" spans="19:61" ht="21.95" customHeight="1">
      <c r="S953" s="7"/>
      <c r="T953" s="7"/>
      <c r="BA953" s="7"/>
      <c r="BB953" s="7"/>
      <c r="BC953" s="7"/>
      <c r="BD953" s="7"/>
      <c r="BE953" s="7"/>
      <c r="BF953" s="7"/>
      <c r="BG953" s="7"/>
      <c r="BH953" s="7"/>
      <c r="BI953" s="7"/>
    </row>
    <row r="954" spans="19:61" ht="21.95" customHeight="1">
      <c r="S954" s="7"/>
      <c r="T954" s="7"/>
      <c r="BA954" s="7"/>
      <c r="BB954" s="7"/>
      <c r="BC954" s="7"/>
      <c r="BD954" s="7"/>
      <c r="BE954" s="7"/>
      <c r="BF954" s="7"/>
      <c r="BG954" s="7"/>
      <c r="BH954" s="7"/>
      <c r="BI954" s="7"/>
    </row>
    <row r="955" spans="19:61" ht="21.95" customHeight="1">
      <c r="S955" s="7"/>
      <c r="T955" s="7"/>
      <c r="BA955" s="7"/>
      <c r="BB955" s="7"/>
      <c r="BC955" s="7"/>
      <c r="BD955" s="7"/>
      <c r="BE955" s="7"/>
      <c r="BF955" s="7"/>
      <c r="BG955" s="7"/>
      <c r="BH955" s="7"/>
      <c r="BI955" s="7"/>
    </row>
    <row r="956" spans="19:61" ht="21.95" customHeight="1">
      <c r="S956" s="7"/>
      <c r="T956" s="7"/>
      <c r="BA956" s="7"/>
      <c r="BB956" s="7"/>
      <c r="BC956" s="7"/>
      <c r="BD956" s="7"/>
      <c r="BE956" s="7"/>
      <c r="BF956" s="7"/>
      <c r="BG956" s="7"/>
      <c r="BH956" s="7"/>
      <c r="BI956" s="7"/>
    </row>
    <row r="957" spans="19:61" ht="21.95" customHeight="1">
      <c r="S957" s="7"/>
      <c r="T957" s="7"/>
      <c r="BA957" s="7"/>
      <c r="BB957" s="7"/>
      <c r="BC957" s="7"/>
      <c r="BD957" s="7"/>
      <c r="BE957" s="7"/>
      <c r="BF957" s="7"/>
      <c r="BG957" s="7"/>
      <c r="BH957" s="7"/>
      <c r="BI957" s="7"/>
    </row>
    <row r="958" spans="19:61" ht="21.95" customHeight="1">
      <c r="S958" s="7"/>
      <c r="T958" s="7"/>
      <c r="BA958" s="7"/>
      <c r="BB958" s="7"/>
      <c r="BC958" s="7"/>
      <c r="BD958" s="7"/>
      <c r="BE958" s="7"/>
      <c r="BF958" s="7"/>
      <c r="BG958" s="7"/>
      <c r="BH958" s="7"/>
      <c r="BI958" s="7"/>
    </row>
    <row r="959" spans="19:61" ht="21.95" customHeight="1">
      <c r="S959" s="7"/>
      <c r="T959" s="7"/>
      <c r="BA959" s="7"/>
      <c r="BB959" s="7"/>
      <c r="BC959" s="7"/>
      <c r="BD959" s="7"/>
      <c r="BE959" s="7"/>
      <c r="BF959" s="7"/>
      <c r="BG959" s="7"/>
      <c r="BH959" s="7"/>
      <c r="BI959" s="7"/>
    </row>
    <row r="960" spans="19:61" ht="21.95" customHeight="1">
      <c r="S960" s="7"/>
      <c r="T960" s="7"/>
      <c r="BA960" s="7"/>
      <c r="BB960" s="7"/>
      <c r="BC960" s="7"/>
      <c r="BD960" s="7"/>
      <c r="BE960" s="7"/>
      <c r="BF960" s="7"/>
      <c r="BG960" s="7"/>
      <c r="BH960" s="7"/>
      <c r="BI960" s="7"/>
    </row>
    <row r="961" spans="19:61" ht="21.95" customHeight="1">
      <c r="S961" s="7"/>
      <c r="T961" s="7"/>
      <c r="BA961" s="7"/>
      <c r="BB961" s="7"/>
      <c r="BC961" s="7"/>
      <c r="BD961" s="7"/>
      <c r="BE961" s="7"/>
      <c r="BF961" s="7"/>
      <c r="BG961" s="7"/>
      <c r="BH961" s="7"/>
      <c r="BI961" s="7"/>
    </row>
    <row r="962" spans="19:61" ht="21.95" customHeight="1">
      <c r="S962" s="7"/>
      <c r="T962" s="7"/>
      <c r="BA962" s="7"/>
      <c r="BB962" s="7"/>
      <c r="BC962" s="7"/>
      <c r="BD962" s="7"/>
      <c r="BE962" s="7"/>
      <c r="BF962" s="7"/>
      <c r="BG962" s="7"/>
      <c r="BH962" s="7"/>
      <c r="BI962" s="7"/>
    </row>
    <row r="963" spans="19:61" ht="21.95" customHeight="1">
      <c r="S963" s="7"/>
      <c r="T963" s="7"/>
      <c r="BA963" s="7"/>
      <c r="BB963" s="7"/>
      <c r="BC963" s="7"/>
      <c r="BD963" s="7"/>
      <c r="BE963" s="7"/>
      <c r="BF963" s="7"/>
      <c r="BG963" s="7"/>
      <c r="BH963" s="7"/>
      <c r="BI963" s="7"/>
    </row>
    <row r="964" spans="19:61" ht="21.95" customHeight="1">
      <c r="S964" s="7"/>
      <c r="T964" s="7"/>
      <c r="BA964" s="7"/>
      <c r="BB964" s="7"/>
      <c r="BC964" s="7"/>
      <c r="BD964" s="7"/>
      <c r="BE964" s="7"/>
      <c r="BF964" s="7"/>
      <c r="BG964" s="7"/>
      <c r="BH964" s="7"/>
      <c r="BI964" s="7"/>
    </row>
    <row r="965" spans="19:61" ht="21.95" customHeight="1">
      <c r="S965" s="7"/>
      <c r="T965" s="7"/>
      <c r="BA965" s="7"/>
      <c r="BB965" s="7"/>
      <c r="BC965" s="7"/>
      <c r="BD965" s="7"/>
      <c r="BE965" s="7"/>
      <c r="BF965" s="7"/>
      <c r="BG965" s="7"/>
      <c r="BH965" s="7"/>
      <c r="BI965" s="7"/>
    </row>
    <row r="966" spans="19:61" ht="21.95" customHeight="1">
      <c r="S966" s="7"/>
      <c r="T966" s="7"/>
      <c r="BA966" s="7"/>
      <c r="BB966" s="7"/>
      <c r="BC966" s="7"/>
      <c r="BD966" s="7"/>
      <c r="BE966" s="7"/>
      <c r="BF966" s="7"/>
      <c r="BG966" s="7"/>
      <c r="BH966" s="7"/>
      <c r="BI966" s="7"/>
    </row>
    <row r="967" spans="19:61" ht="21.95" customHeight="1">
      <c r="S967" s="7"/>
      <c r="T967" s="7"/>
      <c r="BA967" s="7"/>
      <c r="BB967" s="7"/>
      <c r="BC967" s="7"/>
      <c r="BD967" s="7"/>
      <c r="BE967" s="7"/>
      <c r="BF967" s="7"/>
      <c r="BG967" s="7"/>
      <c r="BH967" s="7"/>
      <c r="BI967" s="7"/>
    </row>
    <row r="968" spans="19:61" ht="21.95" customHeight="1">
      <c r="S968" s="7"/>
      <c r="T968" s="7"/>
      <c r="BA968" s="7"/>
      <c r="BB968" s="7"/>
      <c r="BC968" s="7"/>
      <c r="BD968" s="7"/>
      <c r="BE968" s="7"/>
      <c r="BF968" s="7"/>
      <c r="BG968" s="7"/>
      <c r="BH968" s="7"/>
      <c r="BI968" s="7"/>
    </row>
    <row r="969" spans="19:61" ht="21.95" customHeight="1">
      <c r="S969" s="7"/>
      <c r="T969" s="7"/>
      <c r="BA969" s="7"/>
      <c r="BB969" s="7"/>
      <c r="BC969" s="7"/>
      <c r="BD969" s="7"/>
      <c r="BE969" s="7"/>
      <c r="BF969" s="7"/>
      <c r="BG969" s="7"/>
      <c r="BH969" s="7"/>
      <c r="BI969" s="7"/>
    </row>
    <row r="970" spans="19:61" ht="21.95" customHeight="1">
      <c r="S970" s="7"/>
      <c r="T970" s="7"/>
      <c r="AU970" s="7"/>
      <c r="BA970" s="7"/>
      <c r="BB970" s="7"/>
      <c r="BC970" s="7"/>
      <c r="BD970" s="7"/>
      <c r="BE970" s="7"/>
      <c r="BF970" s="7"/>
      <c r="BG970" s="7"/>
      <c r="BH970" s="7"/>
      <c r="BI970" s="7"/>
    </row>
    <row r="971" spans="19:61" ht="21.95" customHeight="1">
      <c r="S971" s="7"/>
      <c r="T971" s="7"/>
      <c r="AU971" s="7"/>
      <c r="BA971" s="7"/>
      <c r="BB971" s="7"/>
      <c r="BC971" s="7"/>
      <c r="BD971" s="7"/>
      <c r="BE971" s="7"/>
      <c r="BF971" s="7"/>
      <c r="BG971" s="7"/>
      <c r="BH971" s="7"/>
      <c r="BI971" s="7"/>
    </row>
    <row r="972" spans="19:61" ht="21.95" customHeight="1">
      <c r="S972" s="7"/>
      <c r="T972" s="7"/>
      <c r="AU972" s="7"/>
      <c r="BA972" s="7"/>
      <c r="BB972" s="7"/>
      <c r="BC972" s="7"/>
      <c r="BD972" s="7"/>
      <c r="BE972" s="7"/>
      <c r="BF972" s="7"/>
      <c r="BG972" s="7"/>
      <c r="BH972" s="7"/>
      <c r="BI972" s="7"/>
    </row>
    <row r="973" spans="19:61" ht="21.95" customHeight="1">
      <c r="S973" s="7"/>
      <c r="T973" s="7"/>
      <c r="AA973" s="7"/>
      <c r="AB973" s="7"/>
      <c r="AU973" s="7"/>
      <c r="BA973" s="7"/>
      <c r="BB973" s="7"/>
      <c r="BC973" s="7"/>
      <c r="BD973" s="7"/>
      <c r="BE973" s="7"/>
      <c r="BF973" s="7"/>
      <c r="BG973" s="7"/>
      <c r="BH973" s="7"/>
      <c r="BI973" s="7"/>
    </row>
    <row r="974" spans="19:61" ht="21.95" customHeight="1">
      <c r="AA974" s="7"/>
      <c r="AB974" s="7"/>
      <c r="AU974" s="7"/>
      <c r="BA974" s="7"/>
      <c r="BB974" s="7"/>
      <c r="BC974" s="7"/>
      <c r="BD974" s="7"/>
      <c r="BE974" s="7"/>
      <c r="BF974" s="7"/>
      <c r="BG974" s="7"/>
      <c r="BH974" s="7"/>
      <c r="BI974" s="7"/>
    </row>
    <row r="975" spans="19:61" ht="21.95" customHeight="1">
      <c r="AA975" s="7"/>
      <c r="AB975" s="7"/>
      <c r="AU975" s="7"/>
      <c r="BA975" s="7"/>
      <c r="BB975" s="7"/>
      <c r="BC975" s="7"/>
      <c r="BD975" s="7"/>
      <c r="BE975" s="7"/>
      <c r="BF975" s="7"/>
      <c r="BG975" s="7"/>
      <c r="BH975" s="7"/>
      <c r="BI975" s="7"/>
    </row>
    <row r="976" spans="19:61" ht="21.95" customHeight="1">
      <c r="AA976" s="7"/>
      <c r="AB976" s="7"/>
      <c r="AU976" s="7"/>
      <c r="BA976" s="7"/>
      <c r="BB976" s="7"/>
      <c r="BC976" s="7"/>
      <c r="BD976" s="7"/>
      <c r="BE976" s="7"/>
      <c r="BF976" s="7"/>
      <c r="BG976" s="7"/>
      <c r="BH976" s="7"/>
      <c r="BI976" s="7"/>
    </row>
    <row r="977" spans="27:61" ht="21.95" customHeight="1">
      <c r="AA977" s="7"/>
      <c r="AB977" s="7"/>
      <c r="AU977" s="7"/>
      <c r="BA977" s="7"/>
      <c r="BB977" s="7"/>
      <c r="BC977" s="7"/>
      <c r="BD977" s="7"/>
      <c r="BE977" s="7"/>
      <c r="BF977" s="7"/>
      <c r="BG977" s="7"/>
      <c r="BH977" s="7"/>
      <c r="BI977" s="7"/>
    </row>
    <row r="978" spans="27:61" ht="21.95" customHeight="1">
      <c r="AA978" s="7"/>
      <c r="AB978" s="7"/>
      <c r="AU978" s="7"/>
      <c r="BA978" s="7"/>
      <c r="BB978" s="7"/>
      <c r="BC978" s="7"/>
      <c r="BD978" s="7"/>
      <c r="BE978" s="7"/>
      <c r="BF978" s="7"/>
      <c r="BG978" s="7"/>
      <c r="BH978" s="7"/>
      <c r="BI978" s="7"/>
    </row>
    <row r="979" spans="27:61" ht="21.95" customHeight="1">
      <c r="AA979" s="7"/>
      <c r="AB979" s="7"/>
      <c r="AU979" s="7"/>
      <c r="BA979" s="7"/>
      <c r="BB979" s="7"/>
      <c r="BC979" s="7"/>
      <c r="BD979" s="7"/>
      <c r="BE979" s="7"/>
      <c r="BF979" s="7"/>
      <c r="BG979" s="7"/>
      <c r="BH979" s="7"/>
      <c r="BI979" s="7"/>
    </row>
    <row r="980" spans="27:61" ht="21.95" customHeight="1">
      <c r="AA980" s="7"/>
      <c r="AB980" s="7"/>
      <c r="AU980" s="7"/>
      <c r="BA980" s="7"/>
      <c r="BB980" s="7"/>
      <c r="BC980" s="7"/>
      <c r="BD980" s="7"/>
      <c r="BE980" s="7"/>
      <c r="BF980" s="7"/>
      <c r="BG980" s="7"/>
      <c r="BH980" s="7"/>
      <c r="BI980" s="7"/>
    </row>
    <row r="981" spans="27:61" ht="21.95" customHeight="1">
      <c r="AA981" s="7"/>
      <c r="AB981" s="7"/>
      <c r="AU981" s="7"/>
      <c r="BA981" s="7"/>
      <c r="BB981" s="7"/>
      <c r="BC981" s="7"/>
      <c r="BD981" s="7"/>
      <c r="BE981" s="7"/>
      <c r="BF981" s="7"/>
      <c r="BG981" s="7"/>
      <c r="BH981" s="7"/>
      <c r="BI981" s="7"/>
    </row>
    <row r="982" spans="27:61" ht="21.95" customHeight="1">
      <c r="AA982" s="7"/>
      <c r="AB982" s="7"/>
      <c r="AU982" s="7"/>
      <c r="BA982" s="7"/>
      <c r="BB982" s="7"/>
      <c r="BC982" s="7"/>
      <c r="BD982" s="7"/>
      <c r="BE982" s="7"/>
      <c r="BF982" s="7"/>
      <c r="BG982" s="7"/>
      <c r="BH982" s="7"/>
      <c r="BI982" s="7"/>
    </row>
    <row r="983" spans="27:61" ht="21.95" customHeight="1">
      <c r="AA983" s="7"/>
      <c r="AB983" s="7"/>
      <c r="AU983" s="7"/>
      <c r="BA983" s="7"/>
      <c r="BB983" s="7"/>
      <c r="BC983" s="7"/>
      <c r="BD983" s="7"/>
      <c r="BE983" s="7"/>
      <c r="BF983" s="7"/>
      <c r="BG983" s="7"/>
      <c r="BH983" s="7"/>
      <c r="BI983" s="7"/>
    </row>
    <row r="984" spans="27:61" ht="21.95" customHeight="1">
      <c r="AA984" s="7"/>
      <c r="AB984" s="7"/>
      <c r="AU984" s="7"/>
      <c r="BA984" s="7"/>
      <c r="BB984" s="7"/>
      <c r="BC984" s="7"/>
      <c r="BD984" s="7"/>
      <c r="BE984" s="7"/>
      <c r="BF984" s="7"/>
      <c r="BG984" s="7"/>
      <c r="BH984" s="7"/>
      <c r="BI984" s="7"/>
    </row>
    <row r="985" spans="27:61" ht="21.95" customHeight="1">
      <c r="AA985" s="7"/>
      <c r="AB985" s="7"/>
      <c r="AU985" s="7"/>
      <c r="BA985" s="7"/>
      <c r="BB985" s="7"/>
      <c r="BC985" s="7"/>
      <c r="BD985" s="7"/>
      <c r="BE985" s="7"/>
      <c r="BF985" s="7"/>
      <c r="BG985" s="7"/>
      <c r="BH985" s="7"/>
      <c r="BI985" s="7"/>
    </row>
    <row r="986" spans="27:61" ht="21.95" customHeight="1">
      <c r="AA986" s="7"/>
      <c r="AB986" s="7"/>
      <c r="AU986" s="7"/>
      <c r="BA986" s="7"/>
      <c r="BB986" s="7"/>
      <c r="BC986" s="7"/>
      <c r="BD986" s="7"/>
      <c r="BE986" s="7"/>
      <c r="BF986" s="7"/>
      <c r="BG986" s="7"/>
      <c r="BH986" s="7"/>
      <c r="BI986" s="7"/>
    </row>
    <row r="987" spans="27:61" ht="21.95" customHeight="1">
      <c r="AA987" s="7"/>
      <c r="AB987" s="7"/>
      <c r="AU987" s="7"/>
      <c r="BA987" s="7"/>
      <c r="BB987" s="7"/>
      <c r="BC987" s="7"/>
      <c r="BD987" s="7"/>
      <c r="BE987" s="7"/>
      <c r="BF987" s="7"/>
      <c r="BG987" s="7"/>
      <c r="BH987" s="7"/>
      <c r="BI987" s="7"/>
    </row>
    <row r="988" spans="27:61" ht="21.95" customHeight="1">
      <c r="AA988" s="7"/>
      <c r="AB988" s="7"/>
      <c r="AU988" s="7"/>
      <c r="BA988" s="7"/>
      <c r="BB988" s="7"/>
      <c r="BC988" s="7"/>
      <c r="BD988" s="7"/>
      <c r="BE988" s="7"/>
      <c r="BF988" s="7"/>
      <c r="BG988" s="7"/>
      <c r="BH988" s="7"/>
      <c r="BI988" s="7"/>
    </row>
    <row r="989" spans="27:61" ht="21.95" customHeight="1">
      <c r="AA989" s="7"/>
      <c r="AB989" s="7"/>
      <c r="AU989" s="7"/>
      <c r="BA989" s="7"/>
      <c r="BB989" s="7"/>
      <c r="BC989" s="7"/>
      <c r="BD989" s="7"/>
      <c r="BE989" s="7"/>
      <c r="BF989" s="7"/>
      <c r="BG989" s="7"/>
      <c r="BH989" s="7"/>
      <c r="BI989" s="7"/>
    </row>
    <row r="990" spans="27:61" ht="21.95" customHeight="1">
      <c r="AA990" s="7"/>
      <c r="AB990" s="7"/>
      <c r="AU990" s="7"/>
      <c r="BA990" s="7"/>
      <c r="BB990" s="7"/>
      <c r="BC990" s="7"/>
      <c r="BD990" s="7"/>
      <c r="BE990" s="7"/>
      <c r="BF990" s="7"/>
      <c r="BG990" s="7"/>
      <c r="BH990" s="7"/>
      <c r="BI990" s="7"/>
    </row>
    <row r="991" spans="27:61" ht="21.95" customHeight="1">
      <c r="AA991" s="7"/>
      <c r="AB991" s="7"/>
      <c r="AU991" s="7"/>
    </row>
    <row r="992" spans="27:61" ht="21.95" customHeight="1">
      <c r="AA992" s="7"/>
      <c r="AB992" s="7"/>
    </row>
    <row r="993" spans="27:28" ht="21.95" customHeight="1">
      <c r="AA993" s="7"/>
      <c r="AB993" s="7"/>
    </row>
    <row r="994" spans="27:28" ht="21.95" customHeight="1">
      <c r="AA994" s="7"/>
      <c r="AB994" s="7"/>
    </row>
    <row r="1210" spans="19:20" ht="21.95" customHeight="1">
      <c r="S1210" s="7"/>
      <c r="T1210" s="7"/>
    </row>
    <row r="1211" spans="19:20" ht="21.95" customHeight="1">
      <c r="S1211" s="7"/>
      <c r="T1211" s="7"/>
    </row>
    <row r="1212" spans="19:20" ht="21.95" customHeight="1">
      <c r="S1212" s="7"/>
      <c r="T1212" s="7"/>
    </row>
    <row r="1213" spans="19:20" ht="21.95" customHeight="1">
      <c r="S1213" s="7"/>
      <c r="T1213" s="7"/>
    </row>
    <row r="1214" spans="19:20" ht="21.95" customHeight="1">
      <c r="S1214" s="7"/>
      <c r="T1214" s="7"/>
    </row>
    <row r="1215" spans="19:20" ht="21.95" customHeight="1">
      <c r="S1215" s="7"/>
      <c r="T1215" s="7"/>
    </row>
    <row r="1217" spans="19:61" ht="21.95" customHeight="1">
      <c r="S1217" s="7"/>
      <c r="T1217" s="7"/>
    </row>
    <row r="1220" spans="19:61" ht="21.95" customHeight="1">
      <c r="S1220" s="7"/>
      <c r="T1220" s="7"/>
    </row>
    <row r="1227" spans="19:61" ht="21.95" customHeight="1">
      <c r="BA1227" s="7"/>
      <c r="BB1227" s="7"/>
      <c r="BC1227" s="7"/>
      <c r="BD1227" s="7"/>
      <c r="BE1227" s="7"/>
      <c r="BF1227" s="7"/>
      <c r="BG1227" s="7"/>
      <c r="BH1227" s="7"/>
      <c r="BI1227" s="7"/>
    </row>
    <row r="1228" spans="19:61" ht="21.95" customHeight="1">
      <c r="BA1228" s="7"/>
      <c r="BB1228" s="7"/>
      <c r="BC1228" s="7"/>
      <c r="BD1228" s="7"/>
      <c r="BE1228" s="7"/>
      <c r="BF1228" s="7"/>
      <c r="BG1228" s="7"/>
      <c r="BH1228" s="7"/>
      <c r="BI1228" s="7"/>
    </row>
    <row r="1229" spans="19:61" ht="21.95" customHeight="1">
      <c r="BA1229" s="7"/>
      <c r="BB1229" s="7"/>
      <c r="BC1229" s="7"/>
      <c r="BD1229" s="7"/>
      <c r="BE1229" s="7"/>
      <c r="BF1229" s="7"/>
      <c r="BG1229" s="7"/>
      <c r="BH1229" s="7"/>
      <c r="BI1229" s="7"/>
    </row>
    <row r="1230" spans="19:61" ht="21.95" customHeight="1">
      <c r="BA1230" s="7"/>
      <c r="BB1230" s="7"/>
      <c r="BC1230" s="7"/>
      <c r="BD1230" s="7"/>
      <c r="BE1230" s="7"/>
      <c r="BF1230" s="7"/>
      <c r="BG1230" s="7"/>
      <c r="BH1230" s="7"/>
      <c r="BI1230" s="7"/>
    </row>
    <row r="1231" spans="19:61" ht="21.95" customHeight="1">
      <c r="AA1231" s="7"/>
      <c r="AB1231" s="7"/>
      <c r="BA1231" s="7"/>
      <c r="BB1231" s="7"/>
      <c r="BC1231" s="7"/>
      <c r="BD1231" s="7"/>
      <c r="BE1231" s="7"/>
      <c r="BF1231" s="7"/>
      <c r="BG1231" s="7"/>
      <c r="BH1231" s="7"/>
      <c r="BI1231" s="7"/>
    </row>
    <row r="1232" spans="19:61" ht="21.95" customHeight="1">
      <c r="AA1232" s="7"/>
      <c r="AB1232" s="7"/>
      <c r="BA1232" s="7"/>
      <c r="BB1232" s="7"/>
      <c r="BC1232" s="7"/>
      <c r="BD1232" s="7"/>
      <c r="BE1232" s="7"/>
      <c r="BF1232" s="7"/>
      <c r="BG1232" s="7"/>
      <c r="BH1232" s="7"/>
      <c r="BI1232" s="7"/>
    </row>
    <row r="1233" spans="27:61" ht="21.95" customHeight="1">
      <c r="AA1233" s="7"/>
      <c r="AB1233" s="7"/>
    </row>
    <row r="1234" spans="27:61" ht="21.95" customHeight="1">
      <c r="AA1234" s="7"/>
      <c r="AB1234" s="7"/>
      <c r="BA1234" s="7"/>
      <c r="BB1234" s="7"/>
      <c r="BC1234" s="7"/>
      <c r="BD1234" s="7"/>
      <c r="BE1234" s="7"/>
      <c r="BF1234" s="7"/>
      <c r="BG1234" s="7"/>
      <c r="BH1234" s="7"/>
      <c r="BI1234" s="7"/>
    </row>
    <row r="1235" spans="27:61" ht="21.95" customHeight="1">
      <c r="AA1235" s="7"/>
      <c r="AB1235" s="7"/>
    </row>
    <row r="1236" spans="27:61" ht="21.95" customHeight="1">
      <c r="AA1236" s="7"/>
      <c r="AB1236" s="7"/>
    </row>
    <row r="1237" spans="27:61" ht="21.95" customHeight="1">
      <c r="BA1237" s="7"/>
      <c r="BB1237" s="7"/>
      <c r="BC1237" s="7"/>
      <c r="BD1237" s="7"/>
      <c r="BE1237" s="7"/>
      <c r="BF1237" s="7"/>
      <c r="BG1237" s="7"/>
      <c r="BH1237" s="7"/>
      <c r="BI1237" s="7"/>
    </row>
    <row r="1238" spans="27:61" ht="21.95" customHeight="1">
      <c r="AA1238" s="7"/>
      <c r="AB1238" s="7"/>
    </row>
    <row r="1241" spans="27:61" ht="21.95" customHeight="1">
      <c r="AA1241" s="7"/>
      <c r="AB1241" s="7"/>
    </row>
    <row r="1347" spans="1:64" s="52" customFormat="1" ht="21.95" customHeight="1">
      <c r="A1347" s="13"/>
      <c r="B1347" s="13"/>
      <c r="C1347" s="13"/>
      <c r="D1347" s="13"/>
      <c r="E1347" s="13"/>
      <c r="F1347" s="13"/>
      <c r="G1347" s="13"/>
      <c r="H1347" s="13"/>
      <c r="I1347" s="13"/>
      <c r="J1347" s="13"/>
      <c r="K1347" s="13"/>
      <c r="L1347" s="13"/>
      <c r="M1347" s="13"/>
      <c r="N1347" s="13"/>
      <c r="O1347" s="13"/>
      <c r="P1347" s="13"/>
      <c r="Q1347" s="13"/>
      <c r="R1347" s="13"/>
      <c r="U1347" s="7"/>
      <c r="V1347" s="7"/>
      <c r="W1347" s="7"/>
      <c r="X1347" s="7"/>
      <c r="Y1347" s="7"/>
      <c r="Z1347" s="7"/>
      <c r="AA1347" s="449"/>
      <c r="AB1347" s="22"/>
      <c r="AC1347" s="7"/>
      <c r="AD1347" s="7"/>
      <c r="AE1347" s="7"/>
      <c r="AF1347" s="7"/>
      <c r="AG1347" s="7"/>
      <c r="AH1347" s="7"/>
      <c r="AI1347" s="7"/>
      <c r="AJ1347" s="7"/>
      <c r="AK1347" s="7"/>
      <c r="AL1347" s="7"/>
      <c r="AM1347" s="7"/>
      <c r="AN1347" s="7"/>
      <c r="AO1347" s="7"/>
      <c r="AP1347" s="7"/>
      <c r="AQ1347" s="7"/>
      <c r="AR1347" s="7"/>
      <c r="AS1347" s="7"/>
      <c r="AT1347" s="7"/>
      <c r="AU1347" s="49"/>
      <c r="AV1347" s="7"/>
      <c r="AW1347" s="7"/>
      <c r="AX1347" s="7"/>
      <c r="AY1347" s="7"/>
      <c r="AZ1347" s="7"/>
      <c r="BA1347" s="67"/>
      <c r="BB1347" s="67"/>
      <c r="BC1347" s="67"/>
      <c r="BD1347" s="67"/>
      <c r="BE1347" s="68"/>
      <c r="BF1347" s="68"/>
      <c r="BG1347" s="68"/>
      <c r="BH1347" s="68"/>
      <c r="BI1347" s="68"/>
      <c r="BJ1347" s="7"/>
      <c r="BK1347" s="7"/>
      <c r="BL1347" s="7"/>
    </row>
    <row r="1348" spans="1:64" s="52" customFormat="1" ht="21.95" customHeight="1">
      <c r="A1348" s="13"/>
      <c r="B1348" s="13"/>
      <c r="C1348" s="13"/>
      <c r="D1348" s="13"/>
      <c r="E1348" s="13"/>
      <c r="F1348" s="13"/>
      <c r="G1348" s="13"/>
      <c r="H1348" s="13"/>
      <c r="I1348" s="13"/>
      <c r="J1348" s="13"/>
      <c r="K1348" s="13"/>
      <c r="L1348" s="13"/>
      <c r="M1348" s="13"/>
      <c r="N1348" s="13"/>
      <c r="O1348" s="13"/>
      <c r="P1348" s="13"/>
      <c r="Q1348" s="13"/>
      <c r="R1348" s="13"/>
      <c r="U1348" s="7"/>
      <c r="V1348" s="7"/>
      <c r="W1348" s="7"/>
      <c r="X1348" s="7"/>
      <c r="Y1348" s="7"/>
      <c r="Z1348" s="7"/>
      <c r="AA1348" s="449"/>
      <c r="AB1348" s="22"/>
      <c r="AC1348" s="7"/>
      <c r="AD1348" s="7"/>
      <c r="AE1348" s="7"/>
      <c r="AF1348" s="7"/>
      <c r="AG1348" s="7"/>
      <c r="AH1348" s="7"/>
      <c r="AI1348" s="7"/>
      <c r="AJ1348" s="7"/>
      <c r="AK1348" s="7"/>
      <c r="AL1348" s="7"/>
      <c r="AM1348" s="7"/>
      <c r="AN1348" s="7"/>
      <c r="AO1348" s="7"/>
      <c r="AP1348" s="7"/>
      <c r="AQ1348" s="7"/>
      <c r="AR1348" s="7"/>
      <c r="AS1348" s="7"/>
      <c r="AT1348" s="7"/>
      <c r="AU1348" s="49"/>
      <c r="AV1348" s="7"/>
      <c r="AW1348" s="7"/>
      <c r="AX1348" s="7"/>
      <c r="AY1348" s="7"/>
      <c r="AZ1348" s="7"/>
      <c r="BA1348" s="67"/>
      <c r="BB1348" s="67"/>
      <c r="BC1348" s="67"/>
      <c r="BD1348" s="67"/>
      <c r="BE1348" s="68"/>
      <c r="BF1348" s="68"/>
      <c r="BG1348" s="68"/>
      <c r="BH1348" s="68"/>
      <c r="BI1348" s="68"/>
      <c r="BJ1348" s="7"/>
      <c r="BK1348" s="7"/>
      <c r="BL1348" s="7"/>
    </row>
    <row r="1354" spans="1:64" s="52" customFormat="1" ht="21.95" customHeight="1">
      <c r="A1354" s="13"/>
      <c r="B1354" s="13"/>
      <c r="C1354" s="13"/>
      <c r="D1354" s="13"/>
      <c r="E1354" s="13"/>
      <c r="F1354" s="13"/>
      <c r="G1354" s="13"/>
      <c r="H1354" s="13"/>
      <c r="I1354" s="13"/>
      <c r="J1354" s="13"/>
      <c r="K1354" s="13"/>
      <c r="L1354" s="13"/>
      <c r="M1354" s="13"/>
      <c r="N1354" s="13"/>
      <c r="O1354" s="13"/>
      <c r="P1354" s="13"/>
      <c r="Q1354" s="13"/>
      <c r="R1354" s="13"/>
      <c r="U1354" s="7"/>
      <c r="V1354" s="7"/>
      <c r="W1354" s="7"/>
      <c r="X1354" s="7"/>
      <c r="Y1354" s="7"/>
      <c r="Z1354" s="7"/>
      <c r="AA1354" s="449"/>
      <c r="AB1354" s="22"/>
      <c r="AC1354" s="7"/>
      <c r="AD1354" s="7"/>
      <c r="AE1354" s="7"/>
      <c r="AF1354" s="7"/>
      <c r="AG1354" s="7"/>
      <c r="AH1354" s="7"/>
      <c r="AI1354" s="7"/>
      <c r="AJ1354" s="7"/>
      <c r="AK1354" s="7"/>
      <c r="AL1354" s="7"/>
      <c r="AM1354" s="7"/>
      <c r="AN1354" s="7"/>
      <c r="AO1354" s="7"/>
      <c r="AP1354" s="7"/>
      <c r="AQ1354" s="7"/>
      <c r="AR1354" s="7"/>
      <c r="AS1354" s="7"/>
      <c r="AT1354" s="7"/>
      <c r="AU1354" s="49"/>
      <c r="AV1354" s="7"/>
      <c r="AW1354" s="7"/>
      <c r="AX1354" s="7"/>
      <c r="AY1354" s="7"/>
      <c r="AZ1354" s="7"/>
      <c r="BA1354" s="67"/>
      <c r="BB1354" s="67"/>
      <c r="BC1354" s="67"/>
      <c r="BD1354" s="67"/>
      <c r="BE1354" s="68"/>
      <c r="BF1354" s="68"/>
      <c r="BG1354" s="68"/>
      <c r="BH1354" s="68"/>
      <c r="BI1354" s="68"/>
    </row>
    <row r="1356" spans="1:64" ht="21.95" customHeight="1">
      <c r="AU1356" s="49" t="e">
        <f ca="1">SUBTOTAL(9,AU7:AU249)</f>
        <v>#DIV/0!</v>
      </c>
    </row>
    <row r="1359" spans="1:64" s="52" customFormat="1" ht="21.95" customHeight="1">
      <c r="A1359" s="13"/>
      <c r="B1359" s="13"/>
      <c r="C1359" s="13"/>
      <c r="D1359" s="13"/>
      <c r="E1359" s="13"/>
      <c r="F1359" s="13"/>
      <c r="G1359" s="13"/>
      <c r="H1359" s="13"/>
      <c r="I1359" s="13"/>
      <c r="J1359" s="13"/>
      <c r="K1359" s="13"/>
      <c r="L1359" s="13"/>
      <c r="M1359" s="13"/>
      <c r="N1359" s="13"/>
      <c r="O1359" s="13"/>
      <c r="P1359" s="13"/>
      <c r="Q1359" s="13"/>
      <c r="R1359" s="13"/>
      <c r="U1359" s="7"/>
      <c r="V1359" s="7"/>
      <c r="W1359" s="7"/>
      <c r="X1359" s="7"/>
      <c r="Y1359" s="7"/>
      <c r="Z1359" s="7"/>
      <c r="AA1359" s="449"/>
      <c r="AB1359" s="22"/>
      <c r="AC1359" s="7"/>
      <c r="AD1359" s="7"/>
      <c r="AE1359" s="7"/>
      <c r="AF1359" s="7"/>
      <c r="AG1359" s="7"/>
      <c r="AH1359" s="7"/>
      <c r="AI1359" s="7"/>
      <c r="AJ1359" s="7"/>
      <c r="AK1359" s="7"/>
      <c r="AL1359" s="7"/>
      <c r="AM1359" s="7"/>
      <c r="AN1359" s="7"/>
      <c r="AO1359" s="7"/>
      <c r="AP1359" s="7"/>
      <c r="AQ1359" s="7"/>
      <c r="AR1359" s="7"/>
      <c r="AS1359" s="7"/>
      <c r="AT1359" s="7"/>
      <c r="AU1359" s="49"/>
      <c r="AV1359" s="7"/>
      <c r="AW1359" s="7"/>
      <c r="AX1359" s="7"/>
      <c r="AY1359" s="7"/>
      <c r="AZ1359" s="7"/>
      <c r="BA1359" s="67"/>
      <c r="BB1359" s="67"/>
      <c r="BC1359" s="67"/>
      <c r="BD1359" s="67"/>
      <c r="BE1359" s="68"/>
      <c r="BF1359" s="68"/>
      <c r="BG1359" s="68"/>
      <c r="BH1359" s="68"/>
      <c r="BI1359" s="68"/>
    </row>
    <row r="1360" spans="1:64" s="52" customFormat="1" ht="21.95" customHeight="1">
      <c r="A1360" s="13"/>
      <c r="B1360" s="13"/>
      <c r="C1360" s="13"/>
      <c r="D1360" s="13"/>
      <c r="E1360" s="13"/>
      <c r="F1360" s="13"/>
      <c r="G1360" s="13"/>
      <c r="H1360" s="13"/>
      <c r="I1360" s="13"/>
      <c r="J1360" s="13"/>
      <c r="K1360" s="13"/>
      <c r="L1360" s="13"/>
      <c r="M1360" s="13"/>
      <c r="N1360" s="13"/>
      <c r="O1360" s="13"/>
      <c r="P1360" s="13"/>
      <c r="Q1360" s="13"/>
      <c r="R1360" s="13"/>
      <c r="U1360" s="7"/>
      <c r="V1360" s="7"/>
      <c r="W1360" s="7"/>
      <c r="X1360" s="7"/>
      <c r="Y1360" s="7"/>
      <c r="Z1360" s="7"/>
      <c r="AA1360" s="449"/>
      <c r="AB1360" s="22"/>
      <c r="AC1360" s="7"/>
      <c r="AD1360" s="7"/>
      <c r="AE1360" s="7"/>
      <c r="AF1360" s="7"/>
      <c r="AG1360" s="7"/>
      <c r="AH1360" s="7"/>
      <c r="AI1360" s="7"/>
      <c r="AJ1360" s="7"/>
      <c r="AK1360" s="7"/>
      <c r="AL1360" s="7"/>
      <c r="AM1360" s="7"/>
      <c r="AN1360" s="7"/>
      <c r="AO1360" s="7"/>
      <c r="AP1360" s="7"/>
      <c r="AQ1360" s="7"/>
      <c r="AR1360" s="7"/>
      <c r="AS1360" s="7"/>
      <c r="AT1360" s="7"/>
      <c r="AU1360" s="49"/>
      <c r="AV1360" s="7"/>
      <c r="AW1360" s="7"/>
      <c r="AX1360" s="7"/>
      <c r="AY1360" s="7"/>
      <c r="AZ1360" s="7"/>
      <c r="BA1360" s="67"/>
      <c r="BB1360" s="67"/>
      <c r="BC1360" s="67"/>
      <c r="BD1360" s="67"/>
      <c r="BE1360" s="68"/>
      <c r="BF1360" s="68"/>
      <c r="BG1360" s="68"/>
      <c r="BH1360" s="68"/>
      <c r="BI1360" s="68"/>
    </row>
    <row r="1361" spans="1:61" s="52" customFormat="1" ht="21.95" customHeight="1">
      <c r="A1361" s="13"/>
      <c r="B1361" s="13"/>
      <c r="C1361" s="13"/>
      <c r="D1361" s="13"/>
      <c r="E1361" s="13"/>
      <c r="F1361" s="13"/>
      <c r="G1361" s="13"/>
      <c r="H1361" s="13"/>
      <c r="I1361" s="13"/>
      <c r="J1361" s="13"/>
      <c r="K1361" s="13"/>
      <c r="L1361" s="13"/>
      <c r="M1361" s="13"/>
      <c r="N1361" s="13"/>
      <c r="O1361" s="13"/>
      <c r="P1361" s="13"/>
      <c r="Q1361" s="13"/>
      <c r="R1361" s="13"/>
      <c r="U1361" s="7"/>
      <c r="V1361" s="7"/>
      <c r="W1361" s="7"/>
      <c r="X1361" s="7"/>
      <c r="Y1361" s="7"/>
      <c r="Z1361" s="7"/>
      <c r="AA1361" s="449"/>
      <c r="AB1361" s="22"/>
      <c r="AC1361" s="7"/>
      <c r="AD1361" s="7"/>
      <c r="AE1361" s="7"/>
      <c r="AF1361" s="7"/>
      <c r="AG1361" s="7"/>
      <c r="AH1361" s="7"/>
      <c r="AI1361" s="7"/>
      <c r="AJ1361" s="7"/>
      <c r="AK1361" s="7"/>
      <c r="AL1361" s="7"/>
      <c r="AM1361" s="7"/>
      <c r="AN1361" s="7"/>
      <c r="AO1361" s="7"/>
      <c r="AP1361" s="7"/>
      <c r="AQ1361" s="7"/>
      <c r="AR1361" s="7"/>
      <c r="AS1361" s="7"/>
      <c r="AT1361" s="7"/>
      <c r="AU1361" s="49"/>
      <c r="AV1361" s="7"/>
      <c r="AW1361" s="7"/>
      <c r="AX1361" s="7"/>
      <c r="AY1361" s="7"/>
      <c r="AZ1361" s="7"/>
      <c r="BA1361" s="67"/>
      <c r="BB1361" s="67"/>
      <c r="BC1361" s="67"/>
      <c r="BD1361" s="67"/>
      <c r="BE1361" s="68"/>
      <c r="BF1361" s="68"/>
      <c r="BG1361" s="68"/>
      <c r="BH1361" s="68"/>
      <c r="BI1361" s="68"/>
    </row>
  </sheetData>
  <mergeCells count="46">
    <mergeCell ref="BI5:BI6"/>
    <mergeCell ref="BF1:BF2"/>
    <mergeCell ref="BI1:BI2"/>
    <mergeCell ref="B3:B4"/>
    <mergeCell ref="C3:C4"/>
    <mergeCell ref="D3:D4"/>
    <mergeCell ref="E3:E4"/>
    <mergeCell ref="F3:F4"/>
    <mergeCell ref="G3:G4"/>
    <mergeCell ref="P3:P4"/>
    <mergeCell ref="A1:R1"/>
    <mergeCell ref="U1:AD1"/>
    <mergeCell ref="BA1:BA2"/>
    <mergeCell ref="BB1:BB2"/>
    <mergeCell ref="BC1:BC2"/>
    <mergeCell ref="BD1:BD2"/>
    <mergeCell ref="BA5:BA6"/>
    <mergeCell ref="BB5:BB6"/>
    <mergeCell ref="BC5:BC6"/>
    <mergeCell ref="BD5:BD6"/>
    <mergeCell ref="BF5:BF6"/>
    <mergeCell ref="BI20:BI24"/>
    <mergeCell ref="BA25:BG25"/>
    <mergeCell ref="BF27:BF28"/>
    <mergeCell ref="BI27:BI28"/>
    <mergeCell ref="BA96:BG96"/>
    <mergeCell ref="BF30:BF36"/>
    <mergeCell ref="BI30:BI36"/>
    <mergeCell ref="BA37:BG37"/>
    <mergeCell ref="BF38:BF41"/>
    <mergeCell ref="BI38:BI41"/>
    <mergeCell ref="BA42:BG42"/>
    <mergeCell ref="BF43:BF63"/>
    <mergeCell ref="BI43:BI63"/>
    <mergeCell ref="BA64:BG64"/>
    <mergeCell ref="BA29:BG29"/>
    <mergeCell ref="BF20:BF24"/>
    <mergeCell ref="U86:U88"/>
    <mergeCell ref="BA88:BG88"/>
    <mergeCell ref="B796:C796"/>
    <mergeCell ref="BA103:BG103"/>
    <mergeCell ref="BA176:BG176"/>
    <mergeCell ref="BA206:BG206"/>
    <mergeCell ref="BA244:BG244"/>
    <mergeCell ref="L784:L787"/>
    <mergeCell ref="P786:P787"/>
  </mergeCells>
  <printOptions horizontalCentered="1"/>
  <pageMargins left="0.31496062992125984" right="0" top="0.15748031496062992" bottom="0" header="0.19685039370078741" footer="0"/>
  <pageSetup paperSize="9" scale="60" orientation="portrait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20</vt:i4>
      </vt:variant>
    </vt:vector>
  </HeadingPairs>
  <TitlesOfParts>
    <vt:vector size="22" baseType="lpstr">
      <vt:lpstr>RawData</vt:lpstr>
      <vt:lpstr>TEP Report</vt:lpstr>
      <vt:lpstr>_DAY1</vt:lpstr>
      <vt:lpstr>_REC1</vt:lpstr>
      <vt:lpstr>ALL</vt:lpstr>
      <vt:lpstr>data_day1</vt:lpstr>
      <vt:lpstr>DATA1REC1</vt:lpstr>
      <vt:lpstr>DATA1TODOFFPEAK1</vt:lpstr>
      <vt:lpstr>DATA1TODOFFPEAK2</vt:lpstr>
      <vt:lpstr>DATA1TODONPEAK</vt:lpstr>
      <vt:lpstr>DATA1TODPARTIAL</vt:lpstr>
      <vt:lpstr>DATA1TOUOFFPEAK1</vt:lpstr>
      <vt:lpstr>DATA1TOUOFFPEAK2</vt:lpstr>
      <vt:lpstr>DATA1TOUONPEAK</vt:lpstr>
      <vt:lpstr>'TEP Report'!Print_Titles</vt:lpstr>
      <vt:lpstr>TIMETODOFFPEAK1</vt:lpstr>
      <vt:lpstr>TIMETODOFFPEAK2</vt:lpstr>
      <vt:lpstr>TIMETODONPEAK</vt:lpstr>
      <vt:lpstr>TIMETODPARTIAL</vt:lpstr>
      <vt:lpstr>TIMETOUOFFPEAK1</vt:lpstr>
      <vt:lpstr>TIMETOUOFFPEAK2</vt:lpstr>
      <vt:lpstr>TIMETOUONPEAK</vt:lpstr>
    </vt:vector>
  </TitlesOfParts>
  <Company>Thongchai Wattana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Channarong P.</dc:creator>
  <cp:lastModifiedBy>Sophonwit KWANCHAI</cp:lastModifiedBy>
  <cp:lastPrinted>2001-04-26T01:23:58Z</cp:lastPrinted>
  <dcterms:created xsi:type="dcterms:W3CDTF">2000-04-14T07:13:17Z</dcterms:created>
  <dcterms:modified xsi:type="dcterms:W3CDTF">2024-09-06T03:53:17Z</dcterms:modified>
</cp:coreProperties>
</file>