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13.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rochdalespearsco.sharepoint.com/sites/Commercial/Product Development/General/Hospitality/1.5_TRACKERS/"/>
    </mc:Choice>
  </mc:AlternateContent>
  <xr:revisionPtr revIDLastSave="5985" documentId="120_S{93395621-8F34-5D67-AF1F-4EAE84FDB54D}" xr6:coauthVersionLast="47" xr6:coauthVersionMax="47" xr10:uidLastSave="{474AF215-6220-4487-80F9-316B0B35B02E}"/>
  <bookViews>
    <workbookView xWindow="-110" yWindow="-110" windowWidth="19420" windowHeight="10300" tabRatio="812" firstSheet="1" activeTab="1" xr2:uid="{0A6E0EED-43A5-4122-B430-7AE93EAE79D9}"/>
  </bookViews>
  <sheets>
    <sheet name="OLD" sheetId="1" state="hidden" r:id="rId1"/>
    <sheet name="Detail_New" sheetId="46" r:id="rId2"/>
    <sheet name="OVERALL." sheetId="25" state="hidden" r:id="rId3"/>
    <sheet name="MOM Project" sheetId="22" state="hidden" r:id="rId4"/>
    <sheet name="MOM Project (2)" sheetId="34" state="hidden" r:id="rId5"/>
    <sheet name="2026" sheetId="60" r:id="rId6"/>
    <sheet name="2027" sheetId="61" r:id="rId7"/>
    <sheet name="PROTOTYPE" sheetId="57" r:id="rId8"/>
    <sheet name="BE" sheetId="58" r:id="rId9"/>
    <sheet name="OVERVIEW" sheetId="62" r:id="rId10"/>
    <sheet name="PIC" sheetId="59" r:id="rId11"/>
    <sheet name="CUS VALUE" sheetId="50" r:id="rId12"/>
    <sheet name="RH PIC" sheetId="52" state="hidden" r:id="rId13"/>
    <sheet name="Customer " sheetId="35" r:id="rId14"/>
    <sheet name="Detail" sheetId="12" state="hidden" r:id="rId15"/>
    <sheet name="STAGE DEFINITION" sheetId="20" state="hidden" r:id="rId16"/>
    <sheet name="2026 Calendar" sheetId="9" r:id="rId17"/>
    <sheet name="Sheet1" sheetId="63" r:id="rId18"/>
    <sheet name="Market " sheetId="53" r:id="rId19"/>
    <sheet name="Folder structure" sheetId="47" state="hidden" r:id="rId20"/>
    <sheet name="Drop list" sheetId="8" r:id="rId21"/>
    <sheet name="Sheet2" sheetId="54" state="hidden" r:id="rId22"/>
    <sheet name="BACK SCHEDULE" sheetId="51" state="hidden" r:id="rId23"/>
    <sheet name="PDHS" sheetId="37" state="hidden" r:id="rId24"/>
    <sheet name="PIC Summary" sheetId="49" state="hidden" r:id="rId25"/>
  </sheets>
  <definedNames>
    <definedName name="_xlnm._FilterDatabase" localSheetId="16" hidden="1">'2026 Calendar'!$A$2:$H$55</definedName>
    <definedName name="_xlnm._FilterDatabase" localSheetId="13" hidden="1">'Customer '!$A$3:$D$26</definedName>
    <definedName name="_xlnm._FilterDatabase" localSheetId="14" hidden="1">Detail!$A$2:$BA$108</definedName>
    <definedName name="_xlnm._FilterDatabase" localSheetId="3" hidden="1">'MOM Project'!$A$2:$T$22</definedName>
    <definedName name="_xlnm._FilterDatabase" localSheetId="4" hidden="1">'MOM Project (2)'!$A$1:$Q$36</definedName>
    <definedName name="_xlnm._FilterDatabase" localSheetId="0" hidden="1">OLD!$A$2:$AT$48</definedName>
    <definedName name="_xlnm._FilterDatabase" localSheetId="23" hidden="1">PDHS!$A$1:$B$5</definedName>
  </definedNames>
  <calcPr calcId="191028"/>
  <pivotCaches>
    <pivotCache cacheId="3" r:id="rId26"/>
    <pivotCache cacheId="5" r:id="rId27"/>
    <pivotCache cacheId="41"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 i="46" l="1"/>
  <c r="I204" i="46"/>
  <c r="AA203" i="46"/>
  <c r="E2" i="63"/>
  <c r="A203" i="46" l="1"/>
  <c r="F203" i="46"/>
  <c r="H203" i="46" s="1"/>
  <c r="AF203" i="46"/>
  <c r="AG203" i="46"/>
  <c r="BE203" i="46" s="1"/>
  <c r="BC203" i="46"/>
  <c r="AA202" i="46"/>
  <c r="A202" i="46"/>
  <c r="F202" i="46"/>
  <c r="H202" i="46" s="1"/>
  <c r="AF202" i="46"/>
  <c r="AG202" i="46"/>
  <c r="BE202" i="46" s="1"/>
  <c r="BC202" i="46"/>
  <c r="A201" i="46"/>
  <c r="F201" i="46"/>
  <c r="B29" i="35" l="1"/>
  <c r="H201" i="46" l="1"/>
  <c r="AA201" i="46"/>
  <c r="AF201" i="46"/>
  <c r="AG201" i="46"/>
  <c r="BE201" i="46" s="1"/>
  <c r="BC201" i="46"/>
  <c r="A200" i="46" l="1"/>
  <c r="F200" i="46"/>
  <c r="H200" i="46" s="1"/>
  <c r="AA200" i="46"/>
  <c r="AF200" i="46"/>
  <c r="AG200" i="46"/>
  <c r="BE200" i="46" s="1"/>
  <c r="BC200" i="46"/>
  <c r="G4" i="63" l="1"/>
  <c r="I4" i="63" s="1"/>
  <c r="G5" i="63"/>
  <c r="I5" i="63" s="1"/>
  <c r="G3" i="63"/>
  <c r="I3" i="63" s="1"/>
  <c r="J67" i="9"/>
  <c r="F199" i="46" l="1"/>
  <c r="AG197" i="46"/>
  <c r="T198" i="46"/>
  <c r="W65" i="46"/>
  <c r="A65" i="46"/>
  <c r="F65" i="46"/>
  <c r="H65" i="46" s="1"/>
  <c r="AA65" i="46"/>
  <c r="AF65" i="46"/>
  <c r="AG65" i="46"/>
  <c r="BE65" i="46" s="1"/>
  <c r="BC65" i="46"/>
  <c r="A198" i="46" l="1"/>
  <c r="F198" i="46"/>
  <c r="H198" i="46" s="1"/>
  <c r="AA198" i="46"/>
  <c r="AF198" i="46"/>
  <c r="AG198" i="46"/>
  <c r="BE198" i="46" s="1"/>
  <c r="BC198" i="46"/>
  <c r="A199" i="46"/>
  <c r="H199" i="46"/>
  <c r="AA199" i="46"/>
  <c r="AF199" i="46"/>
  <c r="AG199" i="46"/>
  <c r="BE199" i="46" s="1"/>
  <c r="BC199" i="46"/>
  <c r="A190" i="46"/>
  <c r="F190" i="46"/>
  <c r="H190" i="46" s="1"/>
  <c r="W190" i="46"/>
  <c r="AA190" i="46"/>
  <c r="AF190" i="46"/>
  <c r="AG190" i="46"/>
  <c r="BE190" i="46" s="1"/>
  <c r="BC190" i="46"/>
  <c r="A22" i="46"/>
  <c r="F22" i="46"/>
  <c r="H22" i="46" s="1"/>
  <c r="AA22" i="46"/>
  <c r="AF22" i="46"/>
  <c r="AG22" i="46"/>
  <c r="BE22" i="46" s="1"/>
  <c r="BC22" i="46"/>
  <c r="BC89" i="46"/>
  <c r="Y194" i="46"/>
  <c r="A194" i="46"/>
  <c r="F194" i="46"/>
  <c r="H194" i="46" s="1"/>
  <c r="AA194" i="46"/>
  <c r="AF194" i="46"/>
  <c r="AG194" i="46"/>
  <c r="BE194" i="46" s="1"/>
  <c r="BC194" i="46"/>
  <c r="A197" i="46"/>
  <c r="F197" i="46"/>
  <c r="H197" i="46" s="1"/>
  <c r="AA197" i="46"/>
  <c r="AF197" i="46"/>
  <c r="BE197" i="46"/>
  <c r="BC197" i="46"/>
  <c r="A183" i="46"/>
  <c r="F183" i="46"/>
  <c r="H183" i="46" s="1"/>
  <c r="AA183" i="46"/>
  <c r="AF183" i="46"/>
  <c r="AG183" i="46"/>
  <c r="BE183" i="46" s="1"/>
  <c r="BC183" i="46"/>
  <c r="A181" i="46"/>
  <c r="F181" i="46"/>
  <c r="H181" i="46" s="1"/>
  <c r="AA181" i="46"/>
  <c r="AF181" i="46"/>
  <c r="AG181" i="46"/>
  <c r="BE181" i="46" s="1"/>
  <c r="BC181" i="46"/>
  <c r="A196" i="46"/>
  <c r="F196" i="46"/>
  <c r="H196" i="46" s="1"/>
  <c r="AA196" i="46"/>
  <c r="AF196" i="46"/>
  <c r="AG196" i="46"/>
  <c r="BE196" i="46" s="1"/>
  <c r="BC196" i="46"/>
  <c r="A195" i="46"/>
  <c r="F195" i="46"/>
  <c r="H195" i="46" s="1"/>
  <c r="AA195" i="46"/>
  <c r="AF195" i="46"/>
  <c r="AG195" i="46"/>
  <c r="BE195" i="46" s="1"/>
  <c r="BC195" i="46"/>
  <c r="AF9" i="46"/>
  <c r="AG9" i="46"/>
  <c r="BE9" i="46" s="1"/>
  <c r="AF10" i="46"/>
  <c r="AG10" i="46"/>
  <c r="BE10" i="46" s="1"/>
  <c r="AG8" i="46"/>
  <c r="BE8" i="46" s="1"/>
  <c r="AF8" i="46"/>
  <c r="AG192" i="46"/>
  <c r="BE192" i="46" s="1"/>
  <c r="AF192" i="46"/>
  <c r="AG186" i="46"/>
  <c r="BE186" i="46" s="1"/>
  <c r="AF186" i="46"/>
  <c r="AG185" i="46"/>
  <c r="BE185" i="46" s="1"/>
  <c r="AF185" i="46"/>
  <c r="AG184" i="46"/>
  <c r="BE184" i="46" s="1"/>
  <c r="AF184" i="46"/>
  <c r="AG173" i="46"/>
  <c r="BE173" i="46" s="1"/>
  <c r="AF173" i="46"/>
  <c r="AG172" i="46"/>
  <c r="BE172" i="46" s="1"/>
  <c r="AF172" i="46"/>
  <c r="BC138" i="46"/>
  <c r="AG138" i="46"/>
  <c r="BE138" i="46" s="1"/>
  <c r="AF138" i="46"/>
  <c r="AA138" i="46"/>
  <c r="F138" i="46"/>
  <c r="H138" i="46" s="1"/>
  <c r="A138" i="46"/>
  <c r="A193" i="46"/>
  <c r="F3" i="46"/>
  <c r="F4" i="46"/>
  <c r="F5" i="46"/>
  <c r="F6" i="46"/>
  <c r="H6" i="46" s="1"/>
  <c r="F7" i="46"/>
  <c r="F8" i="46"/>
  <c r="H8" i="46" s="1"/>
  <c r="F9" i="46"/>
  <c r="H9" i="46" s="1"/>
  <c r="F10" i="46"/>
  <c r="H10" i="46" s="1"/>
  <c r="F11" i="46"/>
  <c r="F12" i="46"/>
  <c r="F13" i="46"/>
  <c r="H13" i="46" s="1"/>
  <c r="F14" i="46"/>
  <c r="H14" i="46" s="1"/>
  <c r="F15" i="46"/>
  <c r="F16" i="46"/>
  <c r="F17" i="46"/>
  <c r="F18" i="46"/>
  <c r="H18" i="46" s="1"/>
  <c r="F19" i="46"/>
  <c r="F20" i="46"/>
  <c r="H20" i="46" s="1"/>
  <c r="F21" i="46"/>
  <c r="H21" i="46" s="1"/>
  <c r="F23" i="46"/>
  <c r="F24" i="46"/>
  <c r="F25" i="46"/>
  <c r="F26" i="46"/>
  <c r="F27" i="46"/>
  <c r="F28" i="46"/>
  <c r="F29" i="46"/>
  <c r="F30" i="46"/>
  <c r="F31" i="46"/>
  <c r="F32" i="46"/>
  <c r="H32" i="46" s="1"/>
  <c r="F33" i="46"/>
  <c r="F34" i="46"/>
  <c r="H34" i="46" s="1"/>
  <c r="F35" i="46"/>
  <c r="F36" i="46"/>
  <c r="F37" i="46"/>
  <c r="F38" i="46"/>
  <c r="F39" i="46"/>
  <c r="F40" i="46"/>
  <c r="F41" i="46"/>
  <c r="F42" i="46"/>
  <c r="H42" i="46" s="1"/>
  <c r="F43" i="46"/>
  <c r="H43" i="46" s="1"/>
  <c r="F44" i="46"/>
  <c r="F45" i="46"/>
  <c r="F46" i="46"/>
  <c r="F47" i="46"/>
  <c r="F48" i="46"/>
  <c r="F49" i="46"/>
  <c r="F50" i="46"/>
  <c r="F51" i="46"/>
  <c r="F52" i="46"/>
  <c r="F53" i="46"/>
  <c r="H53" i="46" s="1"/>
  <c r="F54" i="46"/>
  <c r="F55" i="46"/>
  <c r="F56" i="46"/>
  <c r="F57" i="46"/>
  <c r="F58" i="46"/>
  <c r="F59" i="46"/>
  <c r="F60" i="46"/>
  <c r="F61" i="46"/>
  <c r="F62" i="46"/>
  <c r="F63" i="46"/>
  <c r="H63" i="46" s="1"/>
  <c r="F64" i="46"/>
  <c r="F66" i="46"/>
  <c r="F67" i="46"/>
  <c r="F68" i="46"/>
  <c r="F69" i="46"/>
  <c r="F70" i="46"/>
  <c r="F71" i="46"/>
  <c r="F72" i="46"/>
  <c r="F73" i="46"/>
  <c r="F74" i="46"/>
  <c r="F75" i="46"/>
  <c r="F76" i="46"/>
  <c r="F77" i="46"/>
  <c r="F78" i="46"/>
  <c r="F79" i="46"/>
  <c r="F80" i="46"/>
  <c r="F81" i="46"/>
  <c r="H81" i="46" s="1"/>
  <c r="F82" i="46"/>
  <c r="F83" i="46"/>
  <c r="F84" i="46"/>
  <c r="F85" i="46"/>
  <c r="H85" i="46" s="1"/>
  <c r="F86" i="46"/>
  <c r="F87" i="46"/>
  <c r="F88" i="46"/>
  <c r="F89" i="46"/>
  <c r="F90" i="46"/>
  <c r="F91" i="46"/>
  <c r="F92" i="46"/>
  <c r="F93" i="46"/>
  <c r="F94" i="46"/>
  <c r="F95" i="46"/>
  <c r="F96" i="46"/>
  <c r="F97" i="46"/>
  <c r="F98" i="46"/>
  <c r="F99" i="46"/>
  <c r="F100" i="46"/>
  <c r="F101" i="46"/>
  <c r="F102" i="46"/>
  <c r="F103" i="46"/>
  <c r="F104" i="46"/>
  <c r="F105" i="46"/>
  <c r="F106" i="46"/>
  <c r="F107" i="46"/>
  <c r="F108" i="46"/>
  <c r="F109" i="46"/>
  <c r="F110" i="46"/>
  <c r="F111" i="46"/>
  <c r="F112" i="46"/>
  <c r="F113" i="46"/>
  <c r="F114" i="46"/>
  <c r="F115" i="46"/>
  <c r="F116" i="46"/>
  <c r="F117" i="46"/>
  <c r="F118" i="46"/>
  <c r="F119" i="46"/>
  <c r="F120" i="46"/>
  <c r="F121" i="46"/>
  <c r="F122" i="46"/>
  <c r="F123" i="46"/>
  <c r="F124" i="46"/>
  <c r="F125" i="46"/>
  <c r="H125" i="46" s="1"/>
  <c r="F126" i="46"/>
  <c r="H126" i="46" s="1"/>
  <c r="F127" i="46"/>
  <c r="H127" i="46" s="1"/>
  <c r="F128" i="46"/>
  <c r="H128" i="46" s="1"/>
  <c r="F129" i="46"/>
  <c r="F130" i="46"/>
  <c r="F131" i="46"/>
  <c r="F132" i="46"/>
  <c r="F133" i="46"/>
  <c r="F134" i="46"/>
  <c r="H134" i="46" s="1"/>
  <c r="F135" i="46"/>
  <c r="F136" i="46"/>
  <c r="F137" i="46"/>
  <c r="F139" i="46"/>
  <c r="F140" i="46"/>
  <c r="F141" i="46"/>
  <c r="F142" i="46"/>
  <c r="F143" i="46"/>
  <c r="F144" i="46"/>
  <c r="H144" i="46" s="1"/>
  <c r="F145" i="46"/>
  <c r="F146" i="46"/>
  <c r="F147" i="46"/>
  <c r="F148" i="46"/>
  <c r="F149" i="46"/>
  <c r="F150" i="46"/>
  <c r="H150" i="46" s="1"/>
  <c r="F151" i="46"/>
  <c r="F152" i="46"/>
  <c r="H152" i="46" s="1"/>
  <c r="F153" i="46"/>
  <c r="H153" i="46" s="1"/>
  <c r="F154" i="46"/>
  <c r="H154" i="46" s="1"/>
  <c r="F155" i="46"/>
  <c r="H155" i="46" s="1"/>
  <c r="F156" i="46"/>
  <c r="H156" i="46" s="1"/>
  <c r="F157" i="46"/>
  <c r="H157" i="46" s="1"/>
  <c r="F158" i="46"/>
  <c r="H158" i="46" s="1"/>
  <c r="F159" i="46"/>
  <c r="H159" i="46" s="1"/>
  <c r="F160" i="46"/>
  <c r="H160" i="46" s="1"/>
  <c r="F161" i="46"/>
  <c r="H161" i="46" s="1"/>
  <c r="F162" i="46"/>
  <c r="H162" i="46" s="1"/>
  <c r="F163" i="46"/>
  <c r="H163" i="46" s="1"/>
  <c r="F164" i="46"/>
  <c r="H164" i="46" s="1"/>
  <c r="F165" i="46"/>
  <c r="H165" i="46" s="1"/>
  <c r="F166" i="46"/>
  <c r="H166" i="46" s="1"/>
  <c r="F167" i="46"/>
  <c r="H167" i="46" s="1"/>
  <c r="F168" i="46"/>
  <c r="H168" i="46" s="1"/>
  <c r="F169" i="46"/>
  <c r="H169" i="46" s="1"/>
  <c r="F170" i="46"/>
  <c r="H170" i="46" s="1"/>
  <c r="F171" i="46"/>
  <c r="H171" i="46" s="1"/>
  <c r="F172" i="46"/>
  <c r="H172" i="46" s="1"/>
  <c r="F173" i="46"/>
  <c r="H173" i="46" s="1"/>
  <c r="F174" i="46"/>
  <c r="F175" i="46"/>
  <c r="H175" i="46" s="1"/>
  <c r="F176" i="46"/>
  <c r="H176" i="46" s="1"/>
  <c r="F177" i="46"/>
  <c r="H177" i="46" s="1"/>
  <c r="F178" i="46"/>
  <c r="H178" i="46" s="1"/>
  <c r="F179" i="46"/>
  <c r="H179" i="46" s="1"/>
  <c r="F180" i="46"/>
  <c r="H180" i="46" s="1"/>
  <c r="F182" i="46"/>
  <c r="H182" i="46" s="1"/>
  <c r="F184" i="46"/>
  <c r="H184" i="46" s="1"/>
  <c r="F185" i="46"/>
  <c r="H185" i="46" s="1"/>
  <c r="F186" i="46"/>
  <c r="H186" i="46" s="1"/>
  <c r="F187" i="46"/>
  <c r="H187" i="46" s="1"/>
  <c r="F188" i="46"/>
  <c r="H188" i="46" s="1"/>
  <c r="F189" i="46"/>
  <c r="H189" i="46" s="1"/>
  <c r="F191" i="46"/>
  <c r="H191" i="46" s="1"/>
  <c r="F192" i="46"/>
  <c r="H192" i="46" s="1"/>
  <c r="F193" i="46"/>
  <c r="H193" i="46" s="1"/>
  <c r="BC128" i="46"/>
  <c r="AG128" i="46"/>
  <c r="BE128" i="46" s="1"/>
  <c r="AF128" i="46"/>
  <c r="AA128" i="46"/>
  <c r="A128" i="46"/>
  <c r="BC127" i="46"/>
  <c r="AG127" i="46"/>
  <c r="BE127" i="46" s="1"/>
  <c r="AF127" i="46"/>
  <c r="AA127" i="46"/>
  <c r="A127" i="46"/>
  <c r="BC126" i="46"/>
  <c r="AG126" i="46"/>
  <c r="BE126" i="46" s="1"/>
  <c r="AF126" i="46"/>
  <c r="AA126" i="46"/>
  <c r="A126" i="46"/>
  <c r="BC125" i="46"/>
  <c r="AG125" i="46"/>
  <c r="BE125" i="46" s="1"/>
  <c r="AF125" i="46"/>
  <c r="AA125" i="46"/>
  <c r="A125" i="46"/>
  <c r="BC21" i="46"/>
  <c r="AG21" i="46"/>
  <c r="BE21" i="46" s="1"/>
  <c r="AF21" i="46"/>
  <c r="AA21" i="46"/>
  <c r="A21" i="46"/>
  <c r="BC20" i="46"/>
  <c r="AG20" i="46"/>
  <c r="BE20" i="46" s="1"/>
  <c r="AF20" i="46"/>
  <c r="AA20" i="46"/>
  <c r="A20" i="46"/>
  <c r="BC43" i="46"/>
  <c r="AG43" i="46"/>
  <c r="BE43" i="46" s="1"/>
  <c r="AF43" i="46"/>
  <c r="AA43" i="46"/>
  <c r="A43" i="46"/>
  <c r="AA193" i="46"/>
  <c r="AF193" i="46"/>
  <c r="AG193" i="46"/>
  <c r="BE193" i="46" s="1"/>
  <c r="BC193" i="46"/>
  <c r="A191" i="46"/>
  <c r="AA191" i="46"/>
  <c r="AF191" i="46"/>
  <c r="AG191" i="46"/>
  <c r="BE191" i="46" s="1"/>
  <c r="BC191" i="46"/>
  <c r="A192" i="46"/>
  <c r="AA192" i="46"/>
  <c r="BC192" i="46"/>
  <c r="Y28" i="46"/>
  <c r="A185" i="46"/>
  <c r="AA185" i="46"/>
  <c r="BC185" i="46"/>
  <c r="A186" i="46"/>
  <c r="AA186" i="46"/>
  <c r="BC186" i="46"/>
  <c r="A184" i="46"/>
  <c r="AA184" i="46"/>
  <c r="BC184" i="46"/>
  <c r="BC172" i="46"/>
  <c r="AA172" i="46"/>
  <c r="A172" i="46"/>
  <c r="W189" i="46"/>
  <c r="A189" i="46"/>
  <c r="AA189" i="46"/>
  <c r="AF189" i="46"/>
  <c r="AG189" i="46"/>
  <c r="BE189" i="46" s="1"/>
  <c r="BC189" i="46"/>
  <c r="A188" i="46"/>
  <c r="AA188" i="46"/>
  <c r="AF188" i="46"/>
  <c r="AG188" i="46"/>
  <c r="BE188" i="46" s="1"/>
  <c r="BC188" i="46"/>
  <c r="A187" i="46"/>
  <c r="AA187" i="46"/>
  <c r="AF187" i="46"/>
  <c r="AG187" i="46"/>
  <c r="BE187" i="46" s="1"/>
  <c r="BC187" i="46"/>
  <c r="BC177" i="46"/>
  <c r="AG177" i="46"/>
  <c r="BE177" i="46" s="1"/>
  <c r="AF177" i="46"/>
  <c r="AA177" i="46"/>
  <c r="A177" i="46"/>
  <c r="AG205" i="46"/>
  <c r="AG204" i="46"/>
  <c r="BE204" i="46" s="1"/>
  <c r="AG182" i="46"/>
  <c r="BE182" i="46" s="1"/>
  <c r="AG180" i="46"/>
  <c r="BE180" i="46" s="1"/>
  <c r="AG179" i="46"/>
  <c r="BE179" i="46" s="1"/>
  <c r="AG178" i="46"/>
  <c r="BE178" i="46" s="1"/>
  <c r="AG176" i="46"/>
  <c r="BE176" i="46" s="1"/>
  <c r="AG175" i="46"/>
  <c r="BE175" i="46" s="1"/>
  <c r="AG174" i="46"/>
  <c r="BE174" i="46" s="1"/>
  <c r="AG171" i="46"/>
  <c r="BE171" i="46" s="1"/>
  <c r="AG170" i="46"/>
  <c r="BE170" i="46" s="1"/>
  <c r="AG169" i="46"/>
  <c r="BE169" i="46" s="1"/>
  <c r="AG168" i="46"/>
  <c r="BE168" i="46" s="1"/>
  <c r="AG167" i="46"/>
  <c r="BE167" i="46" s="1"/>
  <c r="AG166" i="46"/>
  <c r="BE166" i="46" s="1"/>
  <c r="AG165" i="46"/>
  <c r="BE165" i="46" s="1"/>
  <c r="AG164" i="46"/>
  <c r="BE164" i="46" s="1"/>
  <c r="AG163" i="46"/>
  <c r="BE163" i="46" s="1"/>
  <c r="AG162" i="46"/>
  <c r="BE162" i="46" s="1"/>
  <c r="AG161" i="46"/>
  <c r="BE161" i="46" s="1"/>
  <c r="AG160" i="46"/>
  <c r="BE160" i="46" s="1"/>
  <c r="AG159" i="46"/>
  <c r="BE159" i="46" s="1"/>
  <c r="AG158" i="46"/>
  <c r="BE158" i="46" s="1"/>
  <c r="AG157" i="46"/>
  <c r="BE157" i="46" s="1"/>
  <c r="AG156" i="46"/>
  <c r="BE156" i="46" s="1"/>
  <c r="AG155" i="46"/>
  <c r="BE155" i="46" s="1"/>
  <c r="AG154" i="46"/>
  <c r="AG153" i="46"/>
  <c r="BE153" i="46" s="1"/>
  <c r="AG152" i="46"/>
  <c r="BE152" i="46" s="1"/>
  <c r="AG151" i="46"/>
  <c r="BE151" i="46" s="1"/>
  <c r="AG150" i="46"/>
  <c r="AG149" i="46"/>
  <c r="BE149" i="46" s="1"/>
  <c r="AG148" i="46"/>
  <c r="BE148" i="46" s="1"/>
  <c r="AG147" i="46"/>
  <c r="BE147" i="46" s="1"/>
  <c r="AG146" i="46"/>
  <c r="BE146" i="46" s="1"/>
  <c r="AG145" i="46"/>
  <c r="BE145" i="46" s="1"/>
  <c r="AG144" i="46"/>
  <c r="BE144" i="46" s="1"/>
  <c r="AG143" i="46"/>
  <c r="BE143" i="46" s="1"/>
  <c r="AG142" i="46"/>
  <c r="BE142" i="46" s="1"/>
  <c r="AG141" i="46"/>
  <c r="AG140" i="46"/>
  <c r="AG139" i="46"/>
  <c r="AG137" i="46"/>
  <c r="BE137" i="46" s="1"/>
  <c r="AG136" i="46"/>
  <c r="BE136" i="46" s="1"/>
  <c r="AG135" i="46"/>
  <c r="BE135" i="46" s="1"/>
  <c r="AG134" i="46"/>
  <c r="BE134" i="46" s="1"/>
  <c r="AG133" i="46"/>
  <c r="BE133" i="46" s="1"/>
  <c r="AG132" i="46"/>
  <c r="AG131" i="46"/>
  <c r="AG130" i="46"/>
  <c r="AG129" i="46"/>
  <c r="AG124" i="46"/>
  <c r="BE124" i="46" s="1"/>
  <c r="AG123" i="46"/>
  <c r="AG122" i="46"/>
  <c r="AG121" i="46"/>
  <c r="AG120" i="46"/>
  <c r="AG119" i="46"/>
  <c r="AG118" i="46"/>
  <c r="AG117" i="46"/>
  <c r="AG116" i="46"/>
  <c r="AG115" i="46"/>
  <c r="AG114" i="46"/>
  <c r="AG113" i="46"/>
  <c r="AG112" i="46"/>
  <c r="BE112" i="46" s="1"/>
  <c r="AG111" i="46"/>
  <c r="BE111" i="46" s="1"/>
  <c r="AG110" i="46"/>
  <c r="BE110" i="46" s="1"/>
  <c r="AG109" i="46"/>
  <c r="AG108" i="46"/>
  <c r="BE108" i="46" s="1"/>
  <c r="AG107" i="46"/>
  <c r="AG106" i="46"/>
  <c r="AG105" i="46"/>
  <c r="AG104" i="46"/>
  <c r="BE104" i="46" s="1"/>
  <c r="AG103" i="46"/>
  <c r="BE103" i="46" s="1"/>
  <c r="AG102" i="46"/>
  <c r="BE102" i="46" s="1"/>
  <c r="AG101" i="46"/>
  <c r="BE101" i="46" s="1"/>
  <c r="AG100" i="46"/>
  <c r="AG99" i="46"/>
  <c r="AG98" i="46"/>
  <c r="BE98" i="46" s="1"/>
  <c r="AG97" i="46"/>
  <c r="BE97" i="46" s="1"/>
  <c r="AG96" i="46"/>
  <c r="AG95" i="46"/>
  <c r="BE95" i="46" s="1"/>
  <c r="AG94" i="46"/>
  <c r="AG93" i="46"/>
  <c r="BE93" i="46" s="1"/>
  <c r="AG92" i="46"/>
  <c r="BE92" i="46" s="1"/>
  <c r="AG91" i="46"/>
  <c r="AG90" i="46"/>
  <c r="BE90" i="46" s="1"/>
  <c r="AG89" i="46"/>
  <c r="BE89" i="46" s="1"/>
  <c r="AG88" i="46"/>
  <c r="BE88" i="46" s="1"/>
  <c r="AG87" i="46"/>
  <c r="AG86" i="46"/>
  <c r="BE86" i="46" s="1"/>
  <c r="AG85" i="46"/>
  <c r="BE85" i="46" s="1"/>
  <c r="AG84" i="46"/>
  <c r="AG83" i="46"/>
  <c r="AG82" i="46"/>
  <c r="BE82" i="46" s="1"/>
  <c r="AG81" i="46"/>
  <c r="AG80" i="46"/>
  <c r="AG79" i="46"/>
  <c r="AG78" i="46"/>
  <c r="AG77" i="46"/>
  <c r="AG76" i="46"/>
  <c r="AG75" i="46"/>
  <c r="AG74" i="46"/>
  <c r="AG73" i="46"/>
  <c r="AG72" i="46"/>
  <c r="AG71" i="46"/>
  <c r="AG70" i="46"/>
  <c r="BE70" i="46" s="1"/>
  <c r="AG69" i="46"/>
  <c r="AG68" i="46"/>
  <c r="AG67" i="46"/>
  <c r="AG66" i="46"/>
  <c r="AG64" i="46"/>
  <c r="AG63" i="46"/>
  <c r="BE63" i="46" s="1"/>
  <c r="AG62" i="46"/>
  <c r="AG61" i="46"/>
  <c r="AG60" i="46"/>
  <c r="AG59" i="46"/>
  <c r="AG58" i="46"/>
  <c r="AG57" i="46"/>
  <c r="AG56" i="46"/>
  <c r="AG55" i="46"/>
  <c r="AG54" i="46"/>
  <c r="BE54" i="46" s="1"/>
  <c r="AG53" i="46"/>
  <c r="BE53" i="46" s="1"/>
  <c r="AG52" i="46"/>
  <c r="BE52" i="46" s="1"/>
  <c r="AG51" i="46"/>
  <c r="BE51" i="46" s="1"/>
  <c r="AG50" i="46"/>
  <c r="AG49" i="46"/>
  <c r="AG48" i="46"/>
  <c r="AG47" i="46"/>
  <c r="AG46" i="46"/>
  <c r="BE46" i="46" s="1"/>
  <c r="AG45" i="46"/>
  <c r="BE45" i="46" s="1"/>
  <c r="AG44" i="46"/>
  <c r="AG42" i="46"/>
  <c r="AG41" i="46"/>
  <c r="AG40" i="46"/>
  <c r="AG39" i="46"/>
  <c r="AG38" i="46"/>
  <c r="AG37" i="46"/>
  <c r="AG36" i="46"/>
  <c r="BE36" i="46" s="1"/>
  <c r="AG35" i="46"/>
  <c r="BE35" i="46" s="1"/>
  <c r="AG34" i="46"/>
  <c r="BE34" i="46" s="1"/>
  <c r="AG33" i="46"/>
  <c r="AG32" i="46"/>
  <c r="AG31" i="46"/>
  <c r="AG30" i="46"/>
  <c r="BE30" i="46" s="1"/>
  <c r="AG29" i="46"/>
  <c r="AG28" i="46"/>
  <c r="BE28" i="46" s="1"/>
  <c r="AG27" i="46"/>
  <c r="BE27" i="46" s="1"/>
  <c r="AG26" i="46"/>
  <c r="AG25" i="46"/>
  <c r="AG24" i="46"/>
  <c r="AG23" i="46"/>
  <c r="AG19" i="46"/>
  <c r="AG18" i="46"/>
  <c r="AG17" i="46"/>
  <c r="AG16" i="46"/>
  <c r="AG15" i="46"/>
  <c r="AG14" i="46"/>
  <c r="BE14" i="46" s="1"/>
  <c r="AG13" i="46"/>
  <c r="AG12" i="46"/>
  <c r="AG11" i="46"/>
  <c r="AG7" i="46"/>
  <c r="AG6" i="46"/>
  <c r="AG5" i="46"/>
  <c r="AG4" i="46"/>
  <c r="AF205" i="46"/>
  <c r="AF204" i="46"/>
  <c r="AF182" i="46"/>
  <c r="AF180" i="46"/>
  <c r="AF179" i="46"/>
  <c r="AF178" i="46"/>
  <c r="AF176" i="46"/>
  <c r="AF175" i="46"/>
  <c r="AF174" i="46"/>
  <c r="AF171" i="46"/>
  <c r="AF170" i="46"/>
  <c r="AF169" i="46"/>
  <c r="AF168" i="46"/>
  <c r="AF167" i="46"/>
  <c r="AF166" i="46"/>
  <c r="AF165" i="46"/>
  <c r="AF164" i="46"/>
  <c r="AF163" i="46"/>
  <c r="AF162" i="46"/>
  <c r="AF161" i="46"/>
  <c r="AF160" i="46"/>
  <c r="AF159" i="46"/>
  <c r="AF158" i="46"/>
  <c r="AF157" i="46"/>
  <c r="AF156" i="46"/>
  <c r="AF155" i="46"/>
  <c r="AF154" i="46"/>
  <c r="AF153" i="46"/>
  <c r="AF152" i="46"/>
  <c r="AF151" i="46"/>
  <c r="AF150" i="46"/>
  <c r="AF149" i="46"/>
  <c r="AF148" i="46"/>
  <c r="AF147" i="46"/>
  <c r="AF146" i="46"/>
  <c r="AF145" i="46"/>
  <c r="AF144" i="46"/>
  <c r="AF143" i="46"/>
  <c r="AF142" i="46"/>
  <c r="AF141" i="46"/>
  <c r="AF140" i="46"/>
  <c r="AF139" i="46"/>
  <c r="AF137" i="46"/>
  <c r="AF136" i="46"/>
  <c r="AF135" i="46"/>
  <c r="AF134" i="46"/>
  <c r="AF133" i="46"/>
  <c r="AF132" i="46"/>
  <c r="AF131" i="46"/>
  <c r="AF130" i="46"/>
  <c r="AF129" i="46"/>
  <c r="AF124" i="46"/>
  <c r="AF123" i="46"/>
  <c r="AF122" i="46"/>
  <c r="AF121" i="46"/>
  <c r="AF120" i="46"/>
  <c r="AF119" i="46"/>
  <c r="AF118" i="46"/>
  <c r="AF117" i="46"/>
  <c r="AF116" i="46"/>
  <c r="AF115" i="46"/>
  <c r="AF114" i="46"/>
  <c r="AF113" i="46"/>
  <c r="AF112" i="46"/>
  <c r="AF111" i="46"/>
  <c r="AF110" i="46"/>
  <c r="AF109" i="46"/>
  <c r="AF108" i="46"/>
  <c r="AF107" i="46"/>
  <c r="AF106" i="46"/>
  <c r="AF105" i="46"/>
  <c r="AF104" i="46"/>
  <c r="AF103" i="46"/>
  <c r="AF102" i="46"/>
  <c r="AF101" i="46"/>
  <c r="AF100" i="46"/>
  <c r="AF99" i="46"/>
  <c r="AF98" i="46"/>
  <c r="AF97" i="46"/>
  <c r="AF96" i="46"/>
  <c r="AF95" i="46"/>
  <c r="AF94" i="46"/>
  <c r="AF93" i="46"/>
  <c r="AF92" i="46"/>
  <c r="AF91" i="46"/>
  <c r="AF90" i="46"/>
  <c r="AF89" i="46"/>
  <c r="AF88" i="46"/>
  <c r="AF87" i="46"/>
  <c r="AF86" i="46"/>
  <c r="AF85" i="46"/>
  <c r="AF84" i="46"/>
  <c r="AF83" i="46"/>
  <c r="AF82" i="46"/>
  <c r="AF81" i="46"/>
  <c r="AF80" i="46"/>
  <c r="AF79" i="46"/>
  <c r="AF78" i="46"/>
  <c r="AF77" i="46"/>
  <c r="AF76" i="46"/>
  <c r="AF75" i="46"/>
  <c r="AF74" i="46"/>
  <c r="AF73" i="46"/>
  <c r="AF72" i="46"/>
  <c r="AF71" i="46"/>
  <c r="AF70" i="46"/>
  <c r="AF69" i="46"/>
  <c r="AF68" i="46"/>
  <c r="AF67" i="46"/>
  <c r="AF66" i="46"/>
  <c r="AF64" i="46"/>
  <c r="AF63" i="46"/>
  <c r="AF62" i="46"/>
  <c r="AF61" i="46"/>
  <c r="AF60" i="46"/>
  <c r="AF59" i="46"/>
  <c r="AF58" i="46"/>
  <c r="AF57" i="46"/>
  <c r="AF56" i="46"/>
  <c r="AF55" i="46"/>
  <c r="AF54" i="46"/>
  <c r="AF53" i="46"/>
  <c r="AF52" i="46"/>
  <c r="AF51" i="46"/>
  <c r="AF50" i="46"/>
  <c r="AF49" i="46"/>
  <c r="AF48" i="46"/>
  <c r="AF47" i="46"/>
  <c r="AF46" i="46"/>
  <c r="AF45" i="46"/>
  <c r="AF44" i="46"/>
  <c r="AF42" i="46"/>
  <c r="AF41" i="46"/>
  <c r="AF40" i="46"/>
  <c r="AF39" i="46"/>
  <c r="AF38" i="46"/>
  <c r="AF37" i="46"/>
  <c r="AF36" i="46"/>
  <c r="AF35" i="46"/>
  <c r="AF34" i="46"/>
  <c r="AF33" i="46"/>
  <c r="AF32" i="46"/>
  <c r="AF31" i="46"/>
  <c r="AF30" i="46"/>
  <c r="AF29" i="46"/>
  <c r="AF28" i="46"/>
  <c r="AF27" i="46"/>
  <c r="AF26" i="46"/>
  <c r="AF25" i="46"/>
  <c r="AF24" i="46"/>
  <c r="AF23" i="46"/>
  <c r="AF19" i="46"/>
  <c r="AF18" i="46"/>
  <c r="AF17" i="46"/>
  <c r="AF16" i="46"/>
  <c r="AF15" i="46"/>
  <c r="AF14" i="46"/>
  <c r="AF13" i="46"/>
  <c r="AF12" i="46"/>
  <c r="AF11" i="46"/>
  <c r="AF7" i="46"/>
  <c r="AF6" i="46"/>
  <c r="AF5" i="46"/>
  <c r="AF4" i="46"/>
  <c r="AG3" i="46"/>
  <c r="AF3" i="46"/>
  <c r="C57" i="9"/>
  <c r="A180" i="46"/>
  <c r="AA180" i="46"/>
  <c r="BC180" i="46"/>
  <c r="A182" i="46"/>
  <c r="AA182" i="46"/>
  <c r="BC182" i="46"/>
  <c r="Y178" i="46"/>
  <c r="A179" i="46"/>
  <c r="AA179" i="46"/>
  <c r="BC179" i="46"/>
  <c r="A178" i="46"/>
  <c r="AA178" i="46"/>
  <c r="BC178" i="46"/>
  <c r="A176" i="46"/>
  <c r="BC176" i="46"/>
  <c r="AA176" i="46"/>
  <c r="BC144" i="46"/>
  <c r="AA144" i="46"/>
  <c r="A144" i="46"/>
  <c r="Y86" i="46"/>
  <c r="Y85" i="46"/>
  <c r="BC85" i="46"/>
  <c r="AA85" i="46"/>
  <c r="A85" i="46"/>
  <c r="E75" i="9"/>
  <c r="E76" i="9" s="1"/>
  <c r="D75" i="9"/>
  <c r="D74" i="9"/>
  <c r="D73" i="9"/>
  <c r="C58" i="9"/>
  <c r="C59" i="9" s="1"/>
  <c r="C60" i="9" s="1"/>
  <c r="C61" i="9" s="1"/>
  <c r="C62" i="9" s="1"/>
  <c r="C63" i="9" s="1"/>
  <c r="C64" i="9" s="1"/>
  <c r="C65" i="9" s="1"/>
  <c r="C66" i="9" s="1"/>
  <c r="C67" i="9" s="1"/>
  <c r="C68" i="9" s="1"/>
  <c r="C69" i="9" s="1"/>
  <c r="C70" i="9" s="1"/>
  <c r="C71" i="9" s="1"/>
  <c r="C72" i="9" s="1"/>
  <c r="C73" i="9" s="1"/>
  <c r="C74" i="9" s="1"/>
  <c r="C75" i="9" s="1"/>
  <c r="C76" i="9" s="1"/>
  <c r="C77" i="9" s="1"/>
  <c r="C78" i="9" s="1"/>
  <c r="C79" i="9" s="1"/>
  <c r="C80" i="9" s="1"/>
  <c r="C81" i="9" s="1"/>
  <c r="C82" i="9" s="1"/>
  <c r="C83" i="9" s="1"/>
  <c r="C84" i="9" s="1"/>
  <c r="C85" i="9" s="1"/>
  <c r="C86" i="9" s="1"/>
  <c r="C87" i="9" s="1"/>
  <c r="C88" i="9" s="1"/>
  <c r="C89" i="9" s="1"/>
  <c r="C90" i="9" s="1"/>
  <c r="C91" i="9" s="1"/>
  <c r="C92" i="9" s="1"/>
  <c r="C93" i="9" s="1"/>
  <c r="C94" i="9" s="1"/>
  <c r="C95" i="9" s="1"/>
  <c r="C96" i="9" s="1"/>
  <c r="C97" i="9" s="1"/>
  <c r="C98" i="9" s="1"/>
  <c r="C99" i="9" s="1"/>
  <c r="C100" i="9" s="1"/>
  <c r="C101" i="9" s="1"/>
  <c r="C102" i="9" s="1"/>
  <c r="C103" i="9" s="1"/>
  <c r="C104" i="9" s="1"/>
  <c r="C105" i="9" s="1"/>
  <c r="C106" i="9" s="1"/>
  <c r="C107" i="9" s="1"/>
  <c r="G56" i="9"/>
  <c r="E56" i="9"/>
  <c r="E57" i="9" s="1"/>
  <c r="D56" i="9"/>
  <c r="BC8" i="46"/>
  <c r="AA8" i="46"/>
  <c r="A8" i="46"/>
  <c r="BC9" i="46"/>
  <c r="AA9" i="46"/>
  <c r="A9" i="46"/>
  <c r="A10" i="46"/>
  <c r="AA10" i="46"/>
  <c r="BC10" i="46"/>
  <c r="BC134" i="46"/>
  <c r="AA134" i="46"/>
  <c r="A134" i="46"/>
  <c r="A174" i="46"/>
  <c r="AA174" i="46"/>
  <c r="BC174" i="46"/>
  <c r="A173" i="46"/>
  <c r="AA173" i="46"/>
  <c r="BC173" i="46"/>
  <c r="BE18" i="46"/>
  <c r="BC18" i="46"/>
  <c r="AA18" i="46"/>
  <c r="A18" i="46"/>
  <c r="BC53" i="46"/>
  <c r="AA53" i="46"/>
  <c r="A53" i="46"/>
  <c r="BC42" i="46"/>
  <c r="BE42" i="46"/>
  <c r="AA42" i="46"/>
  <c r="A42" i="46"/>
  <c r="BC34" i="46"/>
  <c r="AA34" i="46"/>
  <c r="A34" i="46"/>
  <c r="BC32" i="46"/>
  <c r="BE32" i="46"/>
  <c r="AA32" i="46"/>
  <c r="A32" i="46"/>
  <c r="BC14" i="46"/>
  <c r="AA14" i="46"/>
  <c r="A14" i="46"/>
  <c r="BC13" i="46"/>
  <c r="BE13" i="46"/>
  <c r="AA13" i="46"/>
  <c r="A13" i="46"/>
  <c r="BC81" i="46"/>
  <c r="BE81" i="46"/>
  <c r="AA81" i="46"/>
  <c r="A81" i="46"/>
  <c r="A175" i="46"/>
  <c r="AA175" i="46"/>
  <c r="BC175" i="46"/>
  <c r="A171" i="46"/>
  <c r="AA171" i="46"/>
  <c r="BC171" i="46"/>
  <c r="A170" i="46"/>
  <c r="A169" i="46"/>
  <c r="AA169" i="46"/>
  <c r="BC169" i="46"/>
  <c r="AA170" i="46"/>
  <c r="BC170" i="46"/>
  <c r="A168" i="46"/>
  <c r="AA167" i="46"/>
  <c r="A167" i="46"/>
  <c r="BC167" i="46"/>
  <c r="A166" i="46"/>
  <c r="AA166" i="46"/>
  <c r="BC166" i="46"/>
  <c r="AA168" i="46"/>
  <c r="BC168" i="46"/>
  <c r="BC63" i="46"/>
  <c r="AA63" i="46"/>
  <c r="A63" i="46"/>
  <c r="BE154" i="46"/>
  <c r="BE150" i="46"/>
  <c r="BE131" i="46"/>
  <c r="BE122" i="46"/>
  <c r="BE121" i="46"/>
  <c r="BE120" i="46"/>
  <c r="BE119" i="46"/>
  <c r="BE118" i="46"/>
  <c r="BE117" i="46"/>
  <c r="BE116" i="46"/>
  <c r="BE115" i="46"/>
  <c r="BE114" i="46"/>
  <c r="BE99" i="46"/>
  <c r="BE87" i="46"/>
  <c r="BE84" i="46"/>
  <c r="BE79" i="46"/>
  <c r="BE76" i="46"/>
  <c r="BE75" i="46"/>
  <c r="BE69" i="46"/>
  <c r="BE68" i="46"/>
  <c r="BE59" i="46"/>
  <c r="BE58" i="46"/>
  <c r="BE57" i="46"/>
  <c r="BE55" i="46"/>
  <c r="BE50" i="46"/>
  <c r="BE49" i="46"/>
  <c r="BE48" i="46"/>
  <c r="BE47" i="46"/>
  <c r="BE41" i="46"/>
  <c r="BE40" i="46"/>
  <c r="BE38" i="46"/>
  <c r="BE37" i="46"/>
  <c r="BE29" i="46"/>
  <c r="BE26" i="46"/>
  <c r="BE25" i="46"/>
  <c r="BE24" i="46"/>
  <c r="BE15" i="46"/>
  <c r="BE12" i="46"/>
  <c r="BE11" i="46"/>
  <c r="BE6" i="46"/>
  <c r="BE5" i="46"/>
  <c r="BE4" i="46"/>
  <c r="BE3" i="46"/>
  <c r="AA165" i="46"/>
  <c r="A165" i="46"/>
  <c r="BC165" i="46"/>
  <c r="AA163" i="46"/>
  <c r="A164" i="46"/>
  <c r="AA164" i="46"/>
  <c r="BC164" i="46"/>
  <c r="A163" i="46"/>
  <c r="BC163" i="46"/>
  <c r="A6" i="46"/>
  <c r="AA6" i="46"/>
  <c r="BC6" i="46"/>
  <c r="A162" i="46"/>
  <c r="AA162" i="46"/>
  <c r="BC162" i="46"/>
  <c r="Y161" i="46"/>
  <c r="Y160" i="46"/>
  <c r="A161" i="46"/>
  <c r="AA161" i="46"/>
  <c r="BC161" i="46"/>
  <c r="A160" i="46"/>
  <c r="AA160" i="46"/>
  <c r="BC160" i="46"/>
  <c r="A159" i="46"/>
  <c r="AA159" i="46"/>
  <c r="BC159" i="46"/>
  <c r="A158" i="46"/>
  <c r="AA158" i="46"/>
  <c r="BC158" i="46"/>
  <c r="A157" i="46"/>
  <c r="AA157" i="46"/>
  <c r="BC157" i="46"/>
  <c r="A156" i="46"/>
  <c r="A155" i="46"/>
  <c r="AA155" i="46"/>
  <c r="BC155" i="46"/>
  <c r="AA156" i="46"/>
  <c r="BC156" i="46"/>
  <c r="A204" i="46"/>
  <c r="AA204" i="46"/>
  <c r="BC204" i="46"/>
  <c r="BC154" i="46"/>
  <c r="AA154" i="46"/>
  <c r="A154" i="46"/>
  <c r="AA4" i="46"/>
  <c r="AA5" i="46"/>
  <c r="AA7" i="46"/>
  <c r="AA11" i="46"/>
  <c r="AA12" i="46"/>
  <c r="AA15" i="46"/>
  <c r="AA16" i="46"/>
  <c r="AA17" i="46"/>
  <c r="AA19" i="46"/>
  <c r="AA23" i="46"/>
  <c r="AA24" i="46"/>
  <c r="AA25" i="46"/>
  <c r="AA26" i="46"/>
  <c r="AA27" i="46"/>
  <c r="AA28" i="46"/>
  <c r="AA29" i="46"/>
  <c r="AA30" i="46"/>
  <c r="AA31" i="46"/>
  <c r="AA33" i="46"/>
  <c r="AA35" i="46"/>
  <c r="AA36" i="46"/>
  <c r="AA37" i="46"/>
  <c r="AA38" i="46"/>
  <c r="AA39" i="46"/>
  <c r="AA40" i="46"/>
  <c r="AA41" i="46"/>
  <c r="AA44" i="46"/>
  <c r="AA45" i="46"/>
  <c r="AA46" i="46"/>
  <c r="AA47" i="46"/>
  <c r="AA48" i="46"/>
  <c r="AA49" i="46"/>
  <c r="AA50" i="46"/>
  <c r="AA51" i="46"/>
  <c r="AA52" i="46"/>
  <c r="AA54" i="46"/>
  <c r="AA55" i="46"/>
  <c r="AA56" i="46"/>
  <c r="AA57" i="46"/>
  <c r="AA58" i="46"/>
  <c r="AA59" i="46"/>
  <c r="AA60" i="46"/>
  <c r="AA61" i="46"/>
  <c r="AA62" i="46"/>
  <c r="AA64" i="46"/>
  <c r="AA66" i="46"/>
  <c r="AA67" i="46"/>
  <c r="AA68" i="46"/>
  <c r="AA69" i="46"/>
  <c r="AA70" i="46"/>
  <c r="AA71" i="46"/>
  <c r="AA72" i="46"/>
  <c r="AA73" i="46"/>
  <c r="AA74" i="46"/>
  <c r="AA75" i="46"/>
  <c r="AA76" i="46"/>
  <c r="AA77" i="46"/>
  <c r="AA78" i="46"/>
  <c r="AA79" i="46"/>
  <c r="AA80" i="46"/>
  <c r="AA82" i="46"/>
  <c r="AA83" i="46"/>
  <c r="AA84" i="46"/>
  <c r="AA86" i="46"/>
  <c r="AA87" i="46"/>
  <c r="AA88" i="46"/>
  <c r="AA89" i="46"/>
  <c r="AA90" i="46"/>
  <c r="AA91" i="46"/>
  <c r="AA92" i="46"/>
  <c r="AA93" i="46"/>
  <c r="AA94" i="46"/>
  <c r="AA95" i="46"/>
  <c r="AA96" i="46"/>
  <c r="AA97" i="46"/>
  <c r="AA98" i="46"/>
  <c r="AA99" i="46"/>
  <c r="AA100" i="46"/>
  <c r="AA101" i="46"/>
  <c r="AA102" i="46"/>
  <c r="AA103" i="46"/>
  <c r="AA104" i="46"/>
  <c r="AA105" i="46"/>
  <c r="AA106" i="46"/>
  <c r="AA107" i="46"/>
  <c r="AA108" i="46"/>
  <c r="AA109" i="46"/>
  <c r="AA110" i="46"/>
  <c r="AA111" i="46"/>
  <c r="AA112" i="46"/>
  <c r="AA113" i="46"/>
  <c r="AA114" i="46"/>
  <c r="AA115" i="46"/>
  <c r="AA116" i="46"/>
  <c r="AA117" i="46"/>
  <c r="AA118" i="46"/>
  <c r="AA119" i="46"/>
  <c r="AA120" i="46"/>
  <c r="AA121" i="46"/>
  <c r="AA122" i="46"/>
  <c r="AA123" i="46"/>
  <c r="AA124" i="46"/>
  <c r="AA129" i="46"/>
  <c r="AA130" i="46"/>
  <c r="AA131" i="46"/>
  <c r="AA132" i="46"/>
  <c r="AA133" i="46"/>
  <c r="AA135" i="46"/>
  <c r="AA136" i="46"/>
  <c r="AA137" i="46"/>
  <c r="AA139" i="46"/>
  <c r="AA140" i="46"/>
  <c r="AA141" i="46"/>
  <c r="AA142" i="46"/>
  <c r="AA143" i="46"/>
  <c r="AA145" i="46"/>
  <c r="AA146" i="46"/>
  <c r="AA147" i="46"/>
  <c r="AA148" i="46"/>
  <c r="AA149" i="46"/>
  <c r="AA150" i="46"/>
  <c r="AA151" i="46"/>
  <c r="AA152" i="46"/>
  <c r="AA153" i="46"/>
  <c r="BC152" i="46"/>
  <c r="BC97" i="46"/>
  <c r="A97" i="46"/>
  <c r="Y93" i="46"/>
  <c r="Y92" i="46"/>
  <c r="A151" i="46"/>
  <c r="BC151" i="46"/>
  <c r="A150" i="46"/>
  <c r="BC150" i="46"/>
  <c r="A149" i="46"/>
  <c r="BC149" i="46"/>
  <c r="A3" i="46"/>
  <c r="A4" i="46"/>
  <c r="A5" i="46"/>
  <c r="A7" i="46"/>
  <c r="A11" i="46"/>
  <c r="A12" i="46"/>
  <c r="A15" i="46"/>
  <c r="A16" i="46"/>
  <c r="A17" i="46"/>
  <c r="A19" i="46"/>
  <c r="A23" i="46"/>
  <c r="A24" i="46"/>
  <c r="A25" i="46"/>
  <c r="A26" i="46"/>
  <c r="A27" i="46"/>
  <c r="A28" i="46"/>
  <c r="A29" i="46"/>
  <c r="A30" i="46"/>
  <c r="A31" i="46"/>
  <c r="A33" i="46"/>
  <c r="A35" i="46"/>
  <c r="A36" i="46"/>
  <c r="A37" i="46"/>
  <c r="A38" i="46"/>
  <c r="A39" i="46"/>
  <c r="A40" i="46"/>
  <c r="A41" i="46"/>
  <c r="A44" i="46"/>
  <c r="A45" i="46"/>
  <c r="A46" i="46"/>
  <c r="A47" i="46"/>
  <c r="A48" i="46"/>
  <c r="A49" i="46"/>
  <c r="A50" i="46"/>
  <c r="A51" i="46"/>
  <c r="A52" i="46"/>
  <c r="A54" i="46"/>
  <c r="A55" i="46"/>
  <c r="A56" i="46"/>
  <c r="A57" i="46"/>
  <c r="A58" i="46"/>
  <c r="A59" i="46"/>
  <c r="A60" i="46"/>
  <c r="A61" i="46"/>
  <c r="A62" i="46"/>
  <c r="A64" i="46"/>
  <c r="A66" i="46"/>
  <c r="A67" i="46"/>
  <c r="A68" i="46"/>
  <c r="A69" i="46"/>
  <c r="A70" i="46"/>
  <c r="A71" i="46"/>
  <c r="A72" i="46"/>
  <c r="A73" i="46"/>
  <c r="A74" i="46"/>
  <c r="A75" i="46"/>
  <c r="A76" i="46"/>
  <c r="A77" i="46"/>
  <c r="A78" i="46"/>
  <c r="A79" i="46"/>
  <c r="A80" i="46"/>
  <c r="A82" i="46"/>
  <c r="A83" i="46"/>
  <c r="A84" i="46"/>
  <c r="A86" i="46"/>
  <c r="A87" i="46"/>
  <c r="A88" i="46"/>
  <c r="A89" i="46"/>
  <c r="A90" i="46"/>
  <c r="A91" i="46"/>
  <c r="A92" i="46"/>
  <c r="A93" i="46"/>
  <c r="A94" i="46"/>
  <c r="A95" i="46"/>
  <c r="A96" i="46"/>
  <c r="A98" i="46"/>
  <c r="A99" i="46"/>
  <c r="A100" i="46"/>
  <c r="A101" i="46"/>
  <c r="A102" i="46"/>
  <c r="A103" i="46"/>
  <c r="A104" i="46"/>
  <c r="A105" i="46"/>
  <c r="A106" i="46"/>
  <c r="A107" i="46"/>
  <c r="A108" i="46"/>
  <c r="A109" i="46"/>
  <c r="A110" i="46"/>
  <c r="A111" i="46"/>
  <c r="A112" i="46"/>
  <c r="A113" i="46"/>
  <c r="A114" i="46"/>
  <c r="A115" i="46"/>
  <c r="A116" i="46"/>
  <c r="A117" i="46"/>
  <c r="A118" i="46"/>
  <c r="A119" i="46"/>
  <c r="A120" i="46"/>
  <c r="A121" i="46"/>
  <c r="A122" i="46"/>
  <c r="A123" i="46"/>
  <c r="A124" i="46"/>
  <c r="A129" i="46"/>
  <c r="A130" i="46"/>
  <c r="A131" i="46"/>
  <c r="A132" i="46"/>
  <c r="A133" i="46"/>
  <c r="A135" i="46"/>
  <c r="A136" i="46"/>
  <c r="A137" i="46"/>
  <c r="A139" i="46"/>
  <c r="A140" i="46"/>
  <c r="A141" i="46"/>
  <c r="A142" i="46"/>
  <c r="A143" i="46"/>
  <c r="A145" i="46"/>
  <c r="A146" i="46"/>
  <c r="A147" i="46"/>
  <c r="A148" i="46"/>
  <c r="BC148" i="46"/>
  <c r="BC153" i="46"/>
  <c r="BC147" i="46"/>
  <c r="BC146" i="46"/>
  <c r="BC92" i="46"/>
  <c r="BC70" i="46"/>
  <c r="BC137" i="46"/>
  <c r="BC145" i="46"/>
  <c r="BC143" i="46"/>
  <c r="BC4" i="46"/>
  <c r="BC30" i="46"/>
  <c r="BC142" i="46"/>
  <c r="C16" i="51"/>
  <c r="C9" i="51"/>
  <c r="BC82" i="46"/>
  <c r="BC77" i="46"/>
  <c r="BE77" i="46"/>
  <c r="BC68" i="46"/>
  <c r="Y105" i="46"/>
  <c r="Y104" i="46"/>
  <c r="BC104" i="46"/>
  <c r="E77" i="9" l="1"/>
  <c r="D76" i="9"/>
  <c r="E58" i="9"/>
  <c r="D57" i="9"/>
  <c r="H97" i="46"/>
  <c r="H151" i="46"/>
  <c r="H149" i="46"/>
  <c r="H148" i="46"/>
  <c r="H82" i="46"/>
  <c r="H143" i="46"/>
  <c r="H77" i="46"/>
  <c r="H104" i="46"/>
  <c r="H68" i="46"/>
  <c r="H147" i="46"/>
  <c r="H146" i="46"/>
  <c r="H92" i="46"/>
  <c r="H70" i="46"/>
  <c r="H145" i="46"/>
  <c r="H137" i="46"/>
  <c r="H4" i="46"/>
  <c r="H30" i="46"/>
  <c r="H142" i="46"/>
  <c r="BC29" i="46"/>
  <c r="H29" i="46"/>
  <c r="BE64" i="46"/>
  <c r="BE62" i="46"/>
  <c r="BE61" i="46"/>
  <c r="BC45" i="46"/>
  <c r="Y45" i="46"/>
  <c r="H45" i="46"/>
  <c r="Y46" i="46"/>
  <c r="BC62" i="46"/>
  <c r="H62" i="46"/>
  <c r="BC61" i="46"/>
  <c r="H61" i="46"/>
  <c r="H141" i="46"/>
  <c r="E78" i="9" l="1"/>
  <c r="D77" i="9"/>
  <c r="E59" i="9"/>
  <c r="D58" i="9"/>
  <c r="BE141" i="46"/>
  <c r="BC141" i="46"/>
  <c r="H140" i="46"/>
  <c r="BE140" i="46"/>
  <c r="BC140" i="46"/>
  <c r="H139" i="46"/>
  <c r="BE139" i="46"/>
  <c r="BC139" i="46"/>
  <c r="BC3" i="46"/>
  <c r="BC5" i="46"/>
  <c r="BC7" i="46"/>
  <c r="BC11" i="46"/>
  <c r="BC12" i="46"/>
  <c r="BC15" i="46"/>
  <c r="BC16" i="46"/>
  <c r="BC17" i="46"/>
  <c r="BC19" i="46"/>
  <c r="BC23" i="46"/>
  <c r="BC24" i="46"/>
  <c r="BC25" i="46"/>
  <c r="BC26" i="46"/>
  <c r="BC27" i="46"/>
  <c r="BC28" i="46"/>
  <c r="BC31" i="46"/>
  <c r="BC33" i="46"/>
  <c r="BC35" i="46"/>
  <c r="BC36" i="46"/>
  <c r="BC37" i="46"/>
  <c r="BC38" i="46"/>
  <c r="BC39" i="46"/>
  <c r="BC40" i="46"/>
  <c r="BC41" i="46"/>
  <c r="BC44" i="46"/>
  <c r="BC46" i="46"/>
  <c r="BC47" i="46"/>
  <c r="BC48" i="46"/>
  <c r="BC49" i="46"/>
  <c r="BC50" i="46"/>
  <c r="BC51" i="46"/>
  <c r="BC52" i="46"/>
  <c r="BC54" i="46"/>
  <c r="BC55" i="46"/>
  <c r="BC56" i="46"/>
  <c r="BC57" i="46"/>
  <c r="BC58" i="46"/>
  <c r="BC59" i="46"/>
  <c r="BC60" i="46"/>
  <c r="BC64" i="46"/>
  <c r="BC66" i="46"/>
  <c r="BC67" i="46"/>
  <c r="BC69" i="46"/>
  <c r="BC71" i="46"/>
  <c r="BC72" i="46"/>
  <c r="BC73" i="46"/>
  <c r="BC74" i="46"/>
  <c r="BC75" i="46"/>
  <c r="BC76" i="46"/>
  <c r="BC78" i="46"/>
  <c r="BC79" i="46"/>
  <c r="BC80" i="46"/>
  <c r="BC83" i="46"/>
  <c r="BC84" i="46"/>
  <c r="BC86" i="46"/>
  <c r="BC87" i="46"/>
  <c r="BC88" i="46"/>
  <c r="BC90" i="46"/>
  <c r="BC91" i="46"/>
  <c r="BC93" i="46"/>
  <c r="BC94" i="46"/>
  <c r="BC95" i="46"/>
  <c r="BC96" i="46"/>
  <c r="BC98" i="46"/>
  <c r="BC99" i="46"/>
  <c r="BC100" i="46"/>
  <c r="BC101" i="46"/>
  <c r="BC102" i="46"/>
  <c r="BC103" i="46"/>
  <c r="BC105" i="46"/>
  <c r="BC106" i="46"/>
  <c r="BC107" i="46"/>
  <c r="BC108" i="46"/>
  <c r="BC109" i="46"/>
  <c r="BC110" i="46"/>
  <c r="BC111" i="46"/>
  <c r="BC112" i="46"/>
  <c r="BC113" i="46"/>
  <c r="BC114" i="46"/>
  <c r="BC115" i="46"/>
  <c r="BC116" i="46"/>
  <c r="BC117" i="46"/>
  <c r="BC118" i="46"/>
  <c r="BC119" i="46"/>
  <c r="BC120" i="46"/>
  <c r="BC121" i="46"/>
  <c r="BC122" i="46"/>
  <c r="BC123" i="46"/>
  <c r="BC124" i="46"/>
  <c r="BC129" i="46"/>
  <c r="BC130" i="46"/>
  <c r="BC131" i="46"/>
  <c r="BC132" i="46"/>
  <c r="BC133" i="46"/>
  <c r="BC135" i="46"/>
  <c r="BC136" i="46"/>
  <c r="BE16" i="46"/>
  <c r="BE17" i="46"/>
  <c r="BE19" i="46"/>
  <c r="BE23" i="46"/>
  <c r="BE31" i="46"/>
  <c r="BE33" i="46"/>
  <c r="BE39" i="46"/>
  <c r="BE44" i="46"/>
  <c r="BE56" i="46"/>
  <c r="BE60" i="46"/>
  <c r="BE66" i="46"/>
  <c r="BE67" i="46"/>
  <c r="BE71" i="46"/>
  <c r="BE72" i="46"/>
  <c r="BE73" i="46"/>
  <c r="BE74" i="46"/>
  <c r="BE78" i="46"/>
  <c r="BE80" i="46"/>
  <c r="BE83" i="46"/>
  <c r="BE91" i="46"/>
  <c r="BE94" i="46"/>
  <c r="BE96" i="46"/>
  <c r="BE100" i="46"/>
  <c r="BE105" i="46"/>
  <c r="BE106" i="46"/>
  <c r="BE107" i="46"/>
  <c r="BE109" i="46"/>
  <c r="BE113" i="46"/>
  <c r="BE123" i="46"/>
  <c r="BE129" i="46"/>
  <c r="BE130" i="46"/>
  <c r="BE132" i="46"/>
  <c r="AA3" i="46"/>
  <c r="H3" i="46"/>
  <c r="H5" i="46"/>
  <c r="H7" i="46"/>
  <c r="H11" i="46"/>
  <c r="H12" i="46"/>
  <c r="H15" i="46"/>
  <c r="H16" i="46"/>
  <c r="H17" i="46"/>
  <c r="H19" i="46"/>
  <c r="H23" i="46"/>
  <c r="H24" i="46"/>
  <c r="H25" i="46"/>
  <c r="H26" i="46"/>
  <c r="H27" i="46"/>
  <c r="H28" i="46"/>
  <c r="H31" i="46"/>
  <c r="H33" i="46"/>
  <c r="H35" i="46"/>
  <c r="H36" i="46"/>
  <c r="H37" i="46"/>
  <c r="H38" i="46"/>
  <c r="H39" i="46"/>
  <c r="H40" i="46"/>
  <c r="H41" i="46"/>
  <c r="H44" i="46"/>
  <c r="H46" i="46"/>
  <c r="H47" i="46"/>
  <c r="H48" i="46"/>
  <c r="H49" i="46"/>
  <c r="H50" i="46"/>
  <c r="H51" i="46"/>
  <c r="H52" i="46"/>
  <c r="H54" i="46"/>
  <c r="H55" i="46"/>
  <c r="H56" i="46"/>
  <c r="H57" i="46"/>
  <c r="H58" i="46"/>
  <c r="H59" i="46"/>
  <c r="H60" i="46"/>
  <c r="H64" i="46"/>
  <c r="H66" i="46"/>
  <c r="H67" i="46"/>
  <c r="H69" i="46"/>
  <c r="H71" i="46"/>
  <c r="H72" i="46"/>
  <c r="H73" i="46"/>
  <c r="H74" i="46"/>
  <c r="H75" i="46"/>
  <c r="H76" i="46"/>
  <c r="H78" i="46"/>
  <c r="H79" i="46"/>
  <c r="H80" i="46"/>
  <c r="H83" i="46"/>
  <c r="H84" i="46"/>
  <c r="H86" i="46"/>
  <c r="H87" i="46"/>
  <c r="H88" i="46"/>
  <c r="H89" i="46"/>
  <c r="H90" i="46"/>
  <c r="H91" i="46"/>
  <c r="H93" i="46"/>
  <c r="H94" i="46"/>
  <c r="H95" i="46"/>
  <c r="H96" i="46"/>
  <c r="H98" i="46"/>
  <c r="H99" i="46"/>
  <c r="H100" i="46"/>
  <c r="H101" i="46"/>
  <c r="H102" i="46"/>
  <c r="H103" i="46"/>
  <c r="H105" i="46"/>
  <c r="H106" i="46"/>
  <c r="H107" i="46"/>
  <c r="H108" i="46"/>
  <c r="H109" i="46"/>
  <c r="H110" i="46"/>
  <c r="H111" i="46"/>
  <c r="H112" i="46"/>
  <c r="H113" i="46"/>
  <c r="H114" i="46"/>
  <c r="H115" i="46"/>
  <c r="H116" i="46"/>
  <c r="H117" i="46"/>
  <c r="H118" i="46"/>
  <c r="H119" i="46"/>
  <c r="H120" i="46"/>
  <c r="H121" i="46"/>
  <c r="H122" i="46"/>
  <c r="H123" i="46"/>
  <c r="H124" i="46"/>
  <c r="H130" i="46"/>
  <c r="H131" i="46"/>
  <c r="H132" i="46"/>
  <c r="H133" i="46"/>
  <c r="H135" i="46"/>
  <c r="H136" i="46"/>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3" i="12"/>
  <c r="F4" i="12"/>
  <c r="H4" i="12" s="1"/>
  <c r="F5" i="12"/>
  <c r="H5" i="12" s="1"/>
  <c r="F6" i="12"/>
  <c r="H6" i="12" s="1"/>
  <c r="F7" i="12"/>
  <c r="H7" i="12" s="1"/>
  <c r="F8" i="12"/>
  <c r="H8" i="12" s="1"/>
  <c r="F9" i="12"/>
  <c r="H9" i="12" s="1"/>
  <c r="F10" i="12"/>
  <c r="H10" i="12" s="1"/>
  <c r="F11" i="12"/>
  <c r="H11" i="12" s="1"/>
  <c r="F12" i="12"/>
  <c r="H12" i="12" s="1"/>
  <c r="F13" i="12"/>
  <c r="H13" i="12" s="1"/>
  <c r="F14" i="12"/>
  <c r="H14" i="12" s="1"/>
  <c r="F15" i="12"/>
  <c r="H15" i="12" s="1"/>
  <c r="F16" i="12"/>
  <c r="H16" i="12" s="1"/>
  <c r="F17" i="12"/>
  <c r="H17" i="12" s="1"/>
  <c r="F18" i="12"/>
  <c r="H18" i="12" s="1"/>
  <c r="F19" i="12"/>
  <c r="H19" i="12" s="1"/>
  <c r="F20" i="12"/>
  <c r="H20" i="12" s="1"/>
  <c r="F21" i="12"/>
  <c r="H21" i="12" s="1"/>
  <c r="F22" i="12"/>
  <c r="H22" i="12" s="1"/>
  <c r="F23" i="12"/>
  <c r="H23" i="12" s="1"/>
  <c r="F24" i="12"/>
  <c r="H24" i="12" s="1"/>
  <c r="F25" i="12"/>
  <c r="H25" i="12" s="1"/>
  <c r="F26" i="12"/>
  <c r="H26" i="12" s="1"/>
  <c r="F27" i="12"/>
  <c r="H27" i="12" s="1"/>
  <c r="F28" i="12"/>
  <c r="H28" i="12" s="1"/>
  <c r="F29" i="12"/>
  <c r="H29" i="12" s="1"/>
  <c r="F30" i="12"/>
  <c r="H30" i="12" s="1"/>
  <c r="F31" i="12"/>
  <c r="H31" i="12" s="1"/>
  <c r="F32" i="12"/>
  <c r="H32" i="12" s="1"/>
  <c r="F33" i="12"/>
  <c r="H33" i="12" s="1"/>
  <c r="F34" i="12"/>
  <c r="H34" i="12" s="1"/>
  <c r="F35" i="12"/>
  <c r="H35" i="12" s="1"/>
  <c r="F36" i="12"/>
  <c r="H36" i="12" s="1"/>
  <c r="F37" i="12"/>
  <c r="H37" i="12" s="1"/>
  <c r="F38" i="12"/>
  <c r="H38" i="12" s="1"/>
  <c r="F39" i="12"/>
  <c r="H39" i="12" s="1"/>
  <c r="F40" i="12"/>
  <c r="H40" i="12" s="1"/>
  <c r="F41" i="12"/>
  <c r="H41" i="12" s="1"/>
  <c r="F42" i="12"/>
  <c r="H42" i="12" s="1"/>
  <c r="F43" i="12"/>
  <c r="H43" i="12" s="1"/>
  <c r="F44" i="12"/>
  <c r="H44" i="12" s="1"/>
  <c r="F45" i="12"/>
  <c r="H45" i="12" s="1"/>
  <c r="F46" i="12"/>
  <c r="H46" i="12" s="1"/>
  <c r="F47" i="12"/>
  <c r="H47" i="12" s="1"/>
  <c r="F48" i="12"/>
  <c r="H48" i="12" s="1"/>
  <c r="F49" i="12"/>
  <c r="H49" i="12" s="1"/>
  <c r="F50" i="12"/>
  <c r="H50" i="12" s="1"/>
  <c r="F51" i="12"/>
  <c r="H51" i="12" s="1"/>
  <c r="F52" i="12"/>
  <c r="H52" i="12" s="1"/>
  <c r="F53" i="12"/>
  <c r="H53" i="12" s="1"/>
  <c r="F54" i="12"/>
  <c r="H54" i="12" s="1"/>
  <c r="F55" i="12"/>
  <c r="H55" i="12" s="1"/>
  <c r="F56" i="12"/>
  <c r="H56" i="12" s="1"/>
  <c r="F57" i="12"/>
  <c r="H57" i="12" s="1"/>
  <c r="F58" i="12"/>
  <c r="H58" i="12" s="1"/>
  <c r="F59" i="12"/>
  <c r="H59" i="12" s="1"/>
  <c r="F60" i="12"/>
  <c r="H60" i="12" s="1"/>
  <c r="F61" i="12"/>
  <c r="H61" i="12" s="1"/>
  <c r="F62" i="12"/>
  <c r="H62" i="12" s="1"/>
  <c r="F63" i="12"/>
  <c r="H63" i="12" s="1"/>
  <c r="F64" i="12"/>
  <c r="H64" i="12" s="1"/>
  <c r="F65" i="12"/>
  <c r="H65" i="12" s="1"/>
  <c r="F66" i="12"/>
  <c r="H66" i="12" s="1"/>
  <c r="F67" i="12"/>
  <c r="H67" i="12" s="1"/>
  <c r="F68" i="12"/>
  <c r="H68" i="12" s="1"/>
  <c r="F69" i="12"/>
  <c r="H69" i="12" s="1"/>
  <c r="F70" i="12"/>
  <c r="H70" i="12" s="1"/>
  <c r="F71" i="12"/>
  <c r="H71" i="12" s="1"/>
  <c r="F72" i="12"/>
  <c r="H72" i="12" s="1"/>
  <c r="F73" i="12"/>
  <c r="H73" i="12" s="1"/>
  <c r="F74" i="12"/>
  <c r="H74" i="12" s="1"/>
  <c r="F75" i="12"/>
  <c r="H75" i="12" s="1"/>
  <c r="F76" i="12"/>
  <c r="H76" i="12" s="1"/>
  <c r="F77" i="12"/>
  <c r="H77" i="12" s="1"/>
  <c r="F78" i="12"/>
  <c r="H78" i="12" s="1"/>
  <c r="F79" i="12"/>
  <c r="H79" i="12" s="1"/>
  <c r="F80" i="12"/>
  <c r="H80" i="12" s="1"/>
  <c r="F81" i="12"/>
  <c r="H81" i="12" s="1"/>
  <c r="F82" i="12"/>
  <c r="H82" i="12" s="1"/>
  <c r="F83" i="12"/>
  <c r="H83" i="12" s="1"/>
  <c r="F84" i="12"/>
  <c r="H84" i="12" s="1"/>
  <c r="F85" i="12"/>
  <c r="H85" i="12" s="1"/>
  <c r="F86" i="12"/>
  <c r="H86" i="12" s="1"/>
  <c r="F87" i="12"/>
  <c r="H87" i="12" s="1"/>
  <c r="F88" i="12"/>
  <c r="H88" i="12" s="1"/>
  <c r="F89" i="12"/>
  <c r="H89" i="12" s="1"/>
  <c r="F90" i="12"/>
  <c r="H90" i="12" s="1"/>
  <c r="F91" i="12"/>
  <c r="H91" i="12" s="1"/>
  <c r="F92" i="12"/>
  <c r="H92" i="12" s="1"/>
  <c r="F93" i="12"/>
  <c r="H93" i="12" s="1"/>
  <c r="F94" i="12"/>
  <c r="H94" i="12" s="1"/>
  <c r="F95" i="12"/>
  <c r="H95" i="12" s="1"/>
  <c r="F96" i="12"/>
  <c r="H96" i="12" s="1"/>
  <c r="F97" i="12"/>
  <c r="H97" i="12" s="1"/>
  <c r="F98" i="12"/>
  <c r="H98" i="12" s="1"/>
  <c r="F99" i="12"/>
  <c r="H99" i="12" s="1"/>
  <c r="F100" i="12"/>
  <c r="H100" i="12" s="1"/>
  <c r="F101" i="12"/>
  <c r="H101" i="12" s="1"/>
  <c r="F102" i="12"/>
  <c r="H102" i="12" s="1"/>
  <c r="F103" i="12"/>
  <c r="H103" i="12" s="1"/>
  <c r="F104" i="12"/>
  <c r="H104" i="12" s="1"/>
  <c r="F105" i="12"/>
  <c r="H105" i="12" s="1"/>
  <c r="F106" i="12"/>
  <c r="H106" i="12" s="1"/>
  <c r="F107" i="12"/>
  <c r="H107" i="12" s="1"/>
  <c r="F108" i="12"/>
  <c r="H108" i="12" s="1"/>
  <c r="A108" i="12" s="1"/>
  <c r="F3" i="12"/>
  <c r="H3" i="12" s="1"/>
  <c r="I17" i="46" l="1"/>
  <c r="I24" i="46"/>
  <c r="I23" i="46"/>
  <c r="I100" i="46"/>
  <c r="I101" i="46"/>
  <c r="I89" i="46"/>
  <c r="I95" i="46"/>
  <c r="I96" i="46"/>
  <c r="I98" i="46"/>
  <c r="I99" i="46"/>
  <c r="I5" i="46"/>
  <c r="I12" i="46"/>
  <c r="I15" i="46"/>
  <c r="I19" i="46"/>
  <c r="I90" i="46"/>
  <c r="I94" i="46"/>
  <c r="I7" i="46"/>
  <c r="I11" i="46"/>
  <c r="I16" i="46"/>
  <c r="I91" i="46"/>
  <c r="I93" i="46"/>
  <c r="I88" i="46"/>
  <c r="I86" i="46"/>
  <c r="I87" i="46"/>
  <c r="I79" i="46"/>
  <c r="I83" i="46"/>
  <c r="I84" i="46"/>
  <c r="I26" i="46"/>
  <c r="I25" i="46"/>
  <c r="I27" i="46"/>
  <c r="I36" i="46"/>
  <c r="I40" i="46"/>
  <c r="I50" i="46"/>
  <c r="I54" i="46"/>
  <c r="I58" i="46"/>
  <c r="I64" i="46"/>
  <c r="I69" i="46"/>
  <c r="I73" i="46"/>
  <c r="I76" i="46"/>
  <c r="I102" i="46"/>
  <c r="I121" i="46"/>
  <c r="I28" i="46"/>
  <c r="I33" i="46"/>
  <c r="I37" i="46"/>
  <c r="I39" i="46"/>
  <c r="I51" i="46"/>
  <c r="I55" i="46"/>
  <c r="I57" i="46"/>
  <c r="I59" i="46"/>
  <c r="I67" i="46"/>
  <c r="I72" i="46"/>
  <c r="I75" i="46"/>
  <c r="I78" i="46"/>
  <c r="I103" i="46"/>
  <c r="I123" i="46"/>
  <c r="I124" i="46"/>
  <c r="I105" i="46"/>
  <c r="I31" i="46"/>
  <c r="I35" i="46"/>
  <c r="I38" i="46"/>
  <c r="I41" i="46"/>
  <c r="I52" i="46"/>
  <c r="I56" i="46"/>
  <c r="I60" i="46"/>
  <c r="I71" i="46"/>
  <c r="I74" i="46"/>
  <c r="I122" i="46"/>
  <c r="I66" i="46"/>
  <c r="I44" i="46"/>
  <c r="I46" i="46"/>
  <c r="I47" i="46"/>
  <c r="I48" i="46"/>
  <c r="I49" i="46"/>
  <c r="I80" i="46"/>
  <c r="I106" i="46"/>
  <c r="I107" i="46"/>
  <c r="I108" i="46"/>
  <c r="I109" i="46"/>
  <c r="I110" i="46"/>
  <c r="I111" i="46"/>
  <c r="I112" i="46"/>
  <c r="I113" i="46"/>
  <c r="I114" i="46"/>
  <c r="I115" i="46"/>
  <c r="I116" i="46"/>
  <c r="I117" i="46"/>
  <c r="I118" i="46"/>
  <c r="I119" i="46"/>
  <c r="I120" i="46"/>
  <c r="I42" i="46"/>
  <c r="I126" i="46"/>
  <c r="I22" i="46"/>
  <c r="I6" i="46"/>
  <c r="I9" i="46"/>
  <c r="I18" i="46"/>
  <c r="I21" i="46"/>
  <c r="I32" i="46"/>
  <c r="I53" i="46"/>
  <c r="I13" i="46"/>
  <c r="I81" i="46"/>
  <c r="I127" i="46"/>
  <c r="I43" i="46"/>
  <c r="I125" i="46"/>
  <c r="I8" i="46"/>
  <c r="I10" i="46"/>
  <c r="I14" i="46"/>
  <c r="I20" i="46"/>
  <c r="I34" i="46"/>
  <c r="I63" i="46"/>
  <c r="I85" i="46"/>
  <c r="I128" i="46"/>
  <c r="I82" i="46"/>
  <c r="I77" i="46"/>
  <c r="I70" i="46"/>
  <c r="I30" i="46"/>
  <c r="I29" i="46"/>
  <c r="I45" i="46"/>
  <c r="I97" i="46"/>
  <c r="I68" i="46"/>
  <c r="I92" i="46"/>
  <c r="I62" i="46"/>
  <c r="I61" i="46"/>
  <c r="I104" i="46"/>
  <c r="I65" i="46"/>
  <c r="I4" i="46"/>
  <c r="I3" i="46"/>
  <c r="E79" i="9"/>
  <c r="D78" i="9"/>
  <c r="E60" i="9"/>
  <c r="D59" i="9"/>
  <c r="H129" i="46"/>
  <c r="A107" i="12"/>
  <c r="I150" i="46" l="1"/>
  <c r="I155" i="46"/>
  <c r="I159" i="46"/>
  <c r="I162" i="46"/>
  <c r="I167" i="46"/>
  <c r="I171" i="46"/>
  <c r="I175" i="46"/>
  <c r="I178" i="46"/>
  <c r="I184" i="46"/>
  <c r="I186" i="46"/>
  <c r="I189" i="46"/>
  <c r="I199" i="46"/>
  <c r="I197" i="46"/>
  <c r="I181" i="46"/>
  <c r="I195" i="46"/>
  <c r="I134" i="46"/>
  <c r="I153" i="46"/>
  <c r="I157" i="46"/>
  <c r="I160" i="46"/>
  <c r="I163" i="46"/>
  <c r="I165" i="46"/>
  <c r="I169" i="46"/>
  <c r="I172" i="46"/>
  <c r="I176" i="46"/>
  <c r="I179" i="46"/>
  <c r="I180" i="46"/>
  <c r="I185" i="46"/>
  <c r="I188" i="46"/>
  <c r="I192" i="46"/>
  <c r="I190" i="46"/>
  <c r="I144" i="46"/>
  <c r="I174" i="46"/>
  <c r="I154" i="46"/>
  <c r="I158" i="46"/>
  <c r="I161" i="46"/>
  <c r="I166" i="46"/>
  <c r="I170" i="46"/>
  <c r="I173" i="46"/>
  <c r="I177" i="46"/>
  <c r="I182" i="46"/>
  <c r="I187" i="46"/>
  <c r="I191" i="46"/>
  <c r="I193" i="46"/>
  <c r="I198" i="46"/>
  <c r="I194" i="46"/>
  <c r="I183" i="46"/>
  <c r="I196" i="46"/>
  <c r="I138" i="46"/>
  <c r="I200" i="46"/>
  <c r="I152" i="46"/>
  <c r="I164" i="46"/>
  <c r="I168" i="46"/>
  <c r="I203" i="46"/>
  <c r="I149" i="46"/>
  <c r="I148" i="46"/>
  <c r="I147" i="46"/>
  <c r="I143" i="46"/>
  <c r="I137" i="46"/>
  <c r="I141" i="46"/>
  <c r="I151" i="46"/>
  <c r="I146" i="46"/>
  <c r="I145" i="46"/>
  <c r="I142" i="46"/>
  <c r="I202" i="46"/>
  <c r="I156" i="46"/>
  <c r="I201" i="46"/>
  <c r="I129" i="46"/>
  <c r="I130" i="46"/>
  <c r="I133" i="46"/>
  <c r="I139" i="46"/>
  <c r="I131" i="46"/>
  <c r="I135" i="46"/>
  <c r="I140" i="46"/>
  <c r="I132" i="46"/>
  <c r="I136" i="46"/>
  <c r="E80" i="9"/>
  <c r="D79" i="9"/>
  <c r="E61" i="9"/>
  <c r="D60" i="9"/>
  <c r="U20" i="12"/>
  <c r="E81" i="9" l="1"/>
  <c r="D80" i="9"/>
  <c r="E62" i="9"/>
  <c r="D61" i="9"/>
  <c r="AZ36" i="12"/>
  <c r="A36" i="12"/>
  <c r="E82" i="9" l="1"/>
  <c r="D81" i="9"/>
  <c r="E63" i="9"/>
  <c r="D62" i="9"/>
  <c r="AZ52" i="12"/>
  <c r="A52" i="12"/>
  <c r="E83" i="9" l="1"/>
  <c r="D82" i="9"/>
  <c r="E64" i="9"/>
  <c r="D63" i="9"/>
  <c r="B22" i="22"/>
  <c r="B21" i="22"/>
  <c r="B18" i="22"/>
  <c r="B17" i="22"/>
  <c r="A64" i="12"/>
  <c r="B11" i="2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7" i="12"/>
  <c r="A38" i="12"/>
  <c r="A39" i="12"/>
  <c r="A40" i="12"/>
  <c r="A41" i="12"/>
  <c r="A42" i="12"/>
  <c r="A43" i="12"/>
  <c r="A44" i="12"/>
  <c r="A45" i="12"/>
  <c r="A46" i="12"/>
  <c r="A47" i="12"/>
  <c r="A48" i="12"/>
  <c r="A49" i="12"/>
  <c r="A50" i="12"/>
  <c r="A51" i="12"/>
  <c r="A53" i="12"/>
  <c r="A54" i="12"/>
  <c r="A55" i="12"/>
  <c r="A56" i="12"/>
  <c r="A57" i="12"/>
  <c r="A58" i="12"/>
  <c r="A59" i="12"/>
  <c r="A60" i="12"/>
  <c r="A61" i="12"/>
  <c r="A62" i="12"/>
  <c r="A63" i="12"/>
  <c r="A65" i="12"/>
  <c r="A66" i="12"/>
  <c r="A67" i="12"/>
  <c r="A68" i="12"/>
  <c r="A69" i="12"/>
  <c r="A70" i="12"/>
  <c r="A71" i="12"/>
  <c r="A72" i="12"/>
  <c r="A73" i="12"/>
  <c r="A74" i="12"/>
  <c r="A75" i="12"/>
  <c r="A76" i="12"/>
  <c r="A77" i="12"/>
  <c r="A78" i="12"/>
  <c r="A79" i="12"/>
  <c r="A80" i="12"/>
  <c r="A81" i="12"/>
  <c r="A82" i="12"/>
  <c r="A83" i="12"/>
  <c r="A84" i="12"/>
  <c r="A85" i="12"/>
  <c r="A87" i="12"/>
  <c r="A88" i="12"/>
  <c r="A89" i="12"/>
  <c r="A90" i="12"/>
  <c r="A91" i="12"/>
  <c r="A92" i="12"/>
  <c r="A93" i="12"/>
  <c r="A94" i="12"/>
  <c r="A95" i="12"/>
  <c r="A96" i="12"/>
  <c r="A97" i="12"/>
  <c r="A98" i="12"/>
  <c r="A99" i="12"/>
  <c r="A100" i="12"/>
  <c r="A101" i="12"/>
  <c r="A102" i="12"/>
  <c r="A103" i="12"/>
  <c r="A104" i="12"/>
  <c r="A105" i="12"/>
  <c r="A106" i="12"/>
  <c r="A3" i="12"/>
  <c r="AZ97" i="12"/>
  <c r="U21"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7" i="12"/>
  <c r="AZ38" i="12"/>
  <c r="AZ39" i="12"/>
  <c r="AZ40" i="12"/>
  <c r="AZ41" i="12"/>
  <c r="AZ42" i="12"/>
  <c r="AZ43" i="12"/>
  <c r="AZ44" i="12"/>
  <c r="AZ45" i="12"/>
  <c r="AZ46" i="12"/>
  <c r="AZ47" i="12"/>
  <c r="AZ48" i="12"/>
  <c r="AZ49" i="12"/>
  <c r="AZ50" i="12"/>
  <c r="AZ51"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7" i="12"/>
  <c r="AZ88" i="12"/>
  <c r="AZ105" i="12"/>
  <c r="AZ106" i="12"/>
  <c r="AZ89" i="12"/>
  <c r="AZ90" i="12"/>
  <c r="AZ91" i="12"/>
  <c r="AZ92" i="12"/>
  <c r="AZ93" i="12"/>
  <c r="AZ94" i="12"/>
  <c r="AZ95" i="12"/>
  <c r="AZ96" i="12"/>
  <c r="AZ98" i="12"/>
  <c r="AZ3" i="12"/>
  <c r="U55" i="12"/>
  <c r="U56" i="12"/>
  <c r="U54" i="12"/>
  <c r="U106" i="12"/>
  <c r="U105" i="12"/>
  <c r="X35" i="1"/>
  <c r="P43" i="1"/>
  <c r="N35" i="1"/>
  <c r="P35" i="1"/>
  <c r="P4" i="1"/>
  <c r="P5" i="1"/>
  <c r="P6" i="1"/>
  <c r="P7" i="1"/>
  <c r="P8" i="1"/>
  <c r="P9" i="1"/>
  <c r="P10" i="1"/>
  <c r="P11" i="1"/>
  <c r="P12" i="1"/>
  <c r="P13" i="1"/>
  <c r="P14" i="1"/>
  <c r="P15" i="1"/>
  <c r="P16" i="1"/>
  <c r="P17" i="1"/>
  <c r="P20" i="1"/>
  <c r="P21" i="1"/>
  <c r="P22" i="1"/>
  <c r="P23" i="1"/>
  <c r="P24" i="1"/>
  <c r="P25" i="1"/>
  <c r="P26" i="1"/>
  <c r="P27" i="1"/>
  <c r="P28" i="1"/>
  <c r="P29" i="1"/>
  <c r="P30" i="1"/>
  <c r="P31" i="1"/>
  <c r="P32" i="1"/>
  <c r="P33" i="1"/>
  <c r="P34" i="1"/>
  <c r="P1" i="1" s="1"/>
  <c r="P36" i="1"/>
  <c r="P37" i="1"/>
  <c r="P38" i="1"/>
  <c r="P39" i="1"/>
  <c r="P40" i="1"/>
  <c r="P41" i="1"/>
  <c r="P42" i="1"/>
  <c r="P3" i="1"/>
  <c r="Y4" i="1"/>
  <c r="X5" i="1"/>
  <c r="Y5" i="1"/>
  <c r="X6" i="1"/>
  <c r="Y6" i="1"/>
  <c r="Y7" i="1"/>
  <c r="X8" i="1"/>
  <c r="Y8" i="1"/>
  <c r="X9" i="1"/>
  <c r="Y9" i="1"/>
  <c r="X10" i="1"/>
  <c r="Y10" i="1"/>
  <c r="X11" i="1"/>
  <c r="Y11" i="1"/>
  <c r="X12" i="1"/>
  <c r="Y12" i="1"/>
  <c r="X13" i="1"/>
  <c r="Y13" i="1"/>
  <c r="X14" i="1"/>
  <c r="Y14" i="1"/>
  <c r="X15" i="1"/>
  <c r="Y15" i="1"/>
  <c r="X16" i="1"/>
  <c r="Y16" i="1"/>
  <c r="X17" i="1"/>
  <c r="Y17" i="1"/>
  <c r="X18" i="1"/>
  <c r="Y18" i="1"/>
  <c r="X19" i="1"/>
  <c r="Y19" i="1"/>
  <c r="X20" i="1"/>
  <c r="Y20" i="1"/>
  <c r="X21" i="1"/>
  <c r="Y21" i="1"/>
  <c r="X22" i="1"/>
  <c r="Y22" i="1"/>
  <c r="X23" i="1"/>
  <c r="Y23" i="1"/>
  <c r="X24" i="1"/>
  <c r="Y24" i="1"/>
  <c r="X25" i="1"/>
  <c r="Y25" i="1"/>
  <c r="X26" i="1"/>
  <c r="Y26" i="1"/>
  <c r="X27" i="1"/>
  <c r="Y27" i="1"/>
  <c r="X28" i="1"/>
  <c r="Y28" i="1"/>
  <c r="X29" i="1"/>
  <c r="Y29" i="1"/>
  <c r="X30" i="1"/>
  <c r="Y30" i="1"/>
  <c r="X31" i="1"/>
  <c r="Y31" i="1"/>
  <c r="X32" i="1"/>
  <c r="Y32" i="1"/>
  <c r="X33" i="1"/>
  <c r="Y33" i="1"/>
  <c r="X34" i="1"/>
  <c r="Y34" i="1"/>
  <c r="Y35" i="1"/>
  <c r="X36" i="1"/>
  <c r="Y36" i="1"/>
  <c r="X37" i="1"/>
  <c r="Y37" i="1"/>
  <c r="X38" i="1"/>
  <c r="Y38" i="1"/>
  <c r="X39" i="1"/>
  <c r="Y39" i="1"/>
  <c r="X40" i="1"/>
  <c r="Y40" i="1"/>
  <c r="X41" i="1"/>
  <c r="Y41" i="1"/>
  <c r="AC4" i="1"/>
  <c r="AD4" i="1"/>
  <c r="AC5" i="1"/>
  <c r="AD5" i="1"/>
  <c r="AC6" i="1"/>
  <c r="AD6" i="1"/>
  <c r="AC7" i="1"/>
  <c r="AD7" i="1"/>
  <c r="AC8" i="1"/>
  <c r="AD8" i="1"/>
  <c r="AC9" i="1"/>
  <c r="AD9" i="1"/>
  <c r="AC10" i="1"/>
  <c r="AD10" i="1"/>
  <c r="AC11" i="1"/>
  <c r="AD11" i="1"/>
  <c r="AC13" i="1"/>
  <c r="AD13" i="1"/>
  <c r="AC14" i="1"/>
  <c r="AD14" i="1"/>
  <c r="AC16" i="1"/>
  <c r="AD16" i="1"/>
  <c r="AC17" i="1"/>
  <c r="AC18" i="1"/>
  <c r="AD18" i="1"/>
  <c r="AC20" i="1"/>
  <c r="AD20" i="1"/>
  <c r="AC21" i="1"/>
  <c r="AD21" i="1"/>
  <c r="AC22" i="1"/>
  <c r="AD22" i="1"/>
  <c r="AC23" i="1"/>
  <c r="AD23" i="1"/>
  <c r="AC24" i="1"/>
  <c r="AD24" i="1"/>
  <c r="AC25" i="1"/>
  <c r="AD25" i="1"/>
  <c r="AC26" i="1"/>
  <c r="AD26" i="1"/>
  <c r="AC27" i="1"/>
  <c r="AD27" i="1"/>
  <c r="AC28" i="1"/>
  <c r="AD28" i="1"/>
  <c r="AC29" i="1"/>
  <c r="AD29" i="1"/>
  <c r="AC30" i="1"/>
  <c r="AD30" i="1"/>
  <c r="AC31" i="1"/>
  <c r="AD31" i="1"/>
  <c r="AC32" i="1"/>
  <c r="AD32" i="1"/>
  <c r="AC33" i="1"/>
  <c r="AD33" i="1"/>
  <c r="AC34" i="1"/>
  <c r="AD34" i="1"/>
  <c r="AC36" i="1"/>
  <c r="AD36" i="1"/>
  <c r="AC37" i="1"/>
  <c r="AD37" i="1"/>
  <c r="AC38" i="1"/>
  <c r="AD38" i="1"/>
  <c r="AC39" i="1"/>
  <c r="AD39" i="1"/>
  <c r="AC40" i="1"/>
  <c r="AD40" i="1"/>
  <c r="AC41" i="1"/>
  <c r="AD41" i="1"/>
  <c r="AD3" i="1"/>
  <c r="AC3" i="1"/>
  <c r="Y3" i="1"/>
  <c r="X3" i="1"/>
  <c r="G55" i="9"/>
  <c r="G54" i="9"/>
  <c r="G53" i="9"/>
  <c r="G52" i="9"/>
  <c r="G51" i="9"/>
  <c r="G50" i="9"/>
  <c r="G49" i="9"/>
  <c r="G48" i="9"/>
  <c r="H50" i="9" s="1"/>
  <c r="G47" i="9"/>
  <c r="G46" i="9"/>
  <c r="G45" i="9"/>
  <c r="G44" i="9"/>
  <c r="G43" i="9"/>
  <c r="G42" i="9"/>
  <c r="G41" i="9"/>
  <c r="G40" i="9"/>
  <c r="G39" i="9"/>
  <c r="H43" i="9" s="1"/>
  <c r="G38" i="9"/>
  <c r="G37" i="9"/>
  <c r="G36" i="9"/>
  <c r="G35" i="9"/>
  <c r="G34" i="9"/>
  <c r="G33" i="9"/>
  <c r="G32" i="9"/>
  <c r="G31" i="9"/>
  <c r="G30" i="9"/>
  <c r="G29" i="9"/>
  <c r="G28" i="9"/>
  <c r="G27" i="9"/>
  <c r="G26" i="9"/>
  <c r="G25" i="9"/>
  <c r="G24" i="9"/>
  <c r="G23" i="9"/>
  <c r="G22" i="9"/>
  <c r="G20" i="9"/>
  <c r="G19" i="9"/>
  <c r="G18" i="9"/>
  <c r="G17" i="9"/>
  <c r="G16" i="9"/>
  <c r="G15" i="9"/>
  <c r="G14" i="9"/>
  <c r="G13" i="9"/>
  <c r="G9" i="9"/>
  <c r="H10" i="9" s="1"/>
  <c r="G8" i="9"/>
  <c r="G7" i="9"/>
  <c r="G6" i="9"/>
  <c r="G5" i="9"/>
  <c r="C5" i="9"/>
  <c r="C6" i="9"/>
  <c r="C7" i="9" s="1"/>
  <c r="C8" i="9" s="1"/>
  <c r="C9" i="9" s="1"/>
  <c r="C10" i="9" s="1"/>
  <c r="C11" i="9" s="1"/>
  <c r="C12" i="9" s="1"/>
  <c r="C13" i="9" s="1"/>
  <c r="C14" i="9" s="1"/>
  <c r="C15" i="9" s="1"/>
  <c r="C16" i="9" s="1"/>
  <c r="C17" i="9" s="1"/>
  <c r="C18" i="9" s="1"/>
  <c r="C19" i="9" s="1"/>
  <c r="C20" i="9" s="1"/>
  <c r="C21" i="9" s="1"/>
  <c r="C22" i="9" s="1"/>
  <c r="G4" i="9"/>
  <c r="H56" i="9" s="1"/>
  <c r="E4" i="9"/>
  <c r="N19" i="1"/>
  <c r="O19" i="1"/>
  <c r="O1" i="1"/>
  <c r="A6" i="1"/>
  <c r="A9" i="1"/>
  <c r="A38" i="1"/>
  <c r="A22" i="1"/>
  <c r="A37" i="1"/>
  <c r="A24" i="1"/>
  <c r="A30" i="1"/>
  <c r="A15" i="1"/>
  <c r="A26" i="1"/>
  <c r="A32" i="1"/>
  <c r="A16" i="1"/>
  <c r="A28" i="1"/>
  <c r="A14" i="1"/>
  <c r="A33" i="1"/>
  <c r="A5" i="1"/>
  <c r="A34" i="1"/>
  <c r="A21" i="1"/>
  <c r="A29" i="1"/>
  <c r="A11" i="1"/>
  <c r="A23" i="1"/>
  <c r="A31" i="1"/>
  <c r="M1" i="1"/>
  <c r="A18" i="1"/>
  <c r="A39" i="1"/>
  <c r="A13" i="1"/>
  <c r="A7" i="1"/>
  <c r="A4" i="1"/>
  <c r="A35" i="1"/>
  <c r="A36" i="1"/>
  <c r="A40" i="1"/>
  <c r="A10" i="1"/>
  <c r="A8" i="1"/>
  <c r="A19" i="1"/>
  <c r="A25" i="1"/>
  <c r="A41" i="1"/>
  <c r="A17" i="1"/>
  <c r="A12" i="1"/>
  <c r="A3" i="1"/>
  <c r="P19" i="1"/>
  <c r="N1" i="1"/>
  <c r="E84" i="9" l="1"/>
  <c r="D83" i="9"/>
  <c r="E65" i="9"/>
  <c r="D64" i="9"/>
  <c r="H4" i="9"/>
  <c r="H6" i="9"/>
  <c r="H47" i="9"/>
  <c r="H16" i="9"/>
  <c r="H35" i="9"/>
  <c r="H14" i="9"/>
  <c r="H39" i="9"/>
  <c r="H13" i="9"/>
  <c r="H11" i="9"/>
  <c r="H27" i="9"/>
  <c r="H55" i="9"/>
  <c r="H12" i="9"/>
  <c r="H15" i="9"/>
  <c r="H34" i="9"/>
  <c r="E5" i="9"/>
  <c r="D4" i="9"/>
  <c r="H23" i="9"/>
  <c r="H46" i="9"/>
  <c r="H51" i="9"/>
  <c r="G1" i="9"/>
  <c r="H31" i="9"/>
  <c r="C23" i="9"/>
  <c r="C24" i="9" s="1"/>
  <c r="C25" i="9" s="1"/>
  <c r="C26" i="9" s="1"/>
  <c r="C27" i="9" s="1"/>
  <c r="C28" i="9" s="1"/>
  <c r="C29" i="9" s="1"/>
  <c r="C30" i="9" s="1"/>
  <c r="C31" i="9" s="1"/>
  <c r="C32" i="9" s="1"/>
  <c r="C33" i="9" s="1"/>
  <c r="C34" i="9" s="1"/>
  <c r="C35" i="9" s="1"/>
  <c r="C36" i="9" s="1"/>
  <c r="C37" i="9" s="1"/>
  <c r="C38" i="9" s="1"/>
  <c r="C39" i="9" s="1"/>
  <c r="C40" i="9" s="1"/>
  <c r="C41" i="9" s="1"/>
  <c r="C42" i="9" s="1"/>
  <c r="C43" i="9" s="1"/>
  <c r="C44" i="9" s="1"/>
  <c r="C45" i="9" s="1"/>
  <c r="C46" i="9" s="1"/>
  <c r="C47" i="9" s="1"/>
  <c r="C48" i="9" s="1"/>
  <c r="C49" i="9" s="1"/>
  <c r="C50" i="9" s="1"/>
  <c r="C51" i="9" s="1"/>
  <c r="C52" i="9" s="1"/>
  <c r="C53" i="9" s="1"/>
  <c r="C54" i="9" s="1"/>
  <c r="C55" i="9" s="1"/>
  <c r="H33" i="9"/>
  <c r="H32" i="9"/>
  <c r="H17" i="9"/>
  <c r="H19" i="9"/>
  <c r="H20" i="9"/>
  <c r="H21" i="9"/>
  <c r="H18" i="9"/>
  <c r="H25" i="9"/>
  <c r="H24" i="9"/>
  <c r="H26" i="9"/>
  <c r="H42" i="9"/>
  <c r="H41" i="9"/>
  <c r="H40" i="9"/>
  <c r="H54" i="9"/>
  <c r="H29" i="9"/>
  <c r="H28" i="9"/>
  <c r="H5" i="9"/>
  <c r="H8" i="9"/>
  <c r="H7" i="9"/>
  <c r="H22" i="9"/>
  <c r="H38" i="9"/>
  <c r="H37" i="9"/>
  <c r="H36" i="9"/>
  <c r="H44" i="9"/>
  <c r="H48" i="9"/>
  <c r="H52" i="9"/>
  <c r="H45" i="9"/>
  <c r="H49" i="9"/>
  <c r="H53" i="9"/>
  <c r="H9" i="9"/>
  <c r="H30" i="9"/>
  <c r="J17" i="22"/>
  <c r="L22" i="22"/>
  <c r="I22" i="22"/>
  <c r="K1" i="22"/>
  <c r="I17" i="22"/>
  <c r="I18" i="22"/>
  <c r="L17" i="22"/>
  <c r="M1" i="22"/>
  <c r="M18" i="22"/>
  <c r="K22" i="22"/>
  <c r="K17" i="22"/>
  <c r="N1" i="22"/>
  <c r="H18" i="22"/>
  <c r="J22" i="22"/>
  <c r="M22" i="22"/>
  <c r="D17" i="22"/>
  <c r="D18" i="22"/>
  <c r="L1" i="22"/>
  <c r="D1" i="22"/>
  <c r="J1" i="22"/>
  <c r="I1" i="22"/>
  <c r="J18" i="22"/>
  <c r="H22" i="22"/>
  <c r="H17" i="22"/>
  <c r="H1" i="22"/>
  <c r="K18" i="22"/>
  <c r="D22" i="22"/>
  <c r="M17" i="22"/>
  <c r="N17" i="22"/>
  <c r="L18" i="22"/>
  <c r="E85" i="9" l="1"/>
  <c r="D84" i="9"/>
  <c r="E66" i="9"/>
  <c r="D65" i="9"/>
  <c r="E6" i="9"/>
  <c r="D5" i="9"/>
  <c r="E86" i="9" l="1"/>
  <c r="D85" i="9"/>
  <c r="E67" i="9"/>
  <c r="D66" i="9"/>
  <c r="E7" i="9"/>
  <c r="D6" i="9"/>
  <c r="E87" i="9" l="1"/>
  <c r="D86" i="9"/>
  <c r="E68" i="9"/>
  <c r="D67" i="9"/>
  <c r="E8" i="9"/>
  <c r="D7" i="9"/>
  <c r="E88" i="9" l="1"/>
  <c r="D87" i="9"/>
  <c r="E69" i="9"/>
  <c r="D68" i="9"/>
  <c r="E9" i="9"/>
  <c r="D8" i="9"/>
  <c r="E89" i="9" l="1"/>
  <c r="D88" i="9"/>
  <c r="E70" i="9"/>
  <c r="D69" i="9"/>
  <c r="D9" i="9"/>
  <c r="E10" i="9"/>
  <c r="E90" i="9" l="1"/>
  <c r="D89" i="9"/>
  <c r="E71" i="9"/>
  <c r="D70" i="9"/>
  <c r="E11" i="9"/>
  <c r="D10" i="9"/>
  <c r="E91" i="9" l="1"/>
  <c r="D90" i="9"/>
  <c r="E72" i="9"/>
  <c r="D72" i="9" s="1"/>
  <c r="D71" i="9"/>
  <c r="E12" i="9"/>
  <c r="D11" i="9"/>
  <c r="E92" i="9" l="1"/>
  <c r="D91" i="9"/>
  <c r="E13" i="9"/>
  <c r="D12" i="9"/>
  <c r="E93" i="9" l="1"/>
  <c r="D92" i="9"/>
  <c r="E14" i="9"/>
  <c r="D13" i="9"/>
  <c r="E94" i="9" l="1"/>
  <c r="D93" i="9"/>
  <c r="E15" i="9"/>
  <c r="D14" i="9"/>
  <c r="E95" i="9" l="1"/>
  <c r="D94" i="9"/>
  <c r="E16" i="9"/>
  <c r="D15" i="9"/>
  <c r="E96" i="9" l="1"/>
  <c r="D95" i="9"/>
  <c r="E17" i="9"/>
  <c r="D16" i="9"/>
  <c r="E97" i="9" l="1"/>
  <c r="D96" i="9"/>
  <c r="E18" i="9"/>
  <c r="D17" i="9"/>
  <c r="E98" i="9" l="1"/>
  <c r="D97" i="9"/>
  <c r="E19" i="9"/>
  <c r="D18" i="9"/>
  <c r="E99" i="9" l="1"/>
  <c r="D98" i="9"/>
  <c r="E20" i="9"/>
  <c r="D19" i="9"/>
  <c r="E100" i="9" l="1"/>
  <c r="D99" i="9"/>
  <c r="E21" i="9"/>
  <c r="D20" i="9"/>
  <c r="E101" i="9" l="1"/>
  <c r="D100" i="9"/>
  <c r="E22" i="9"/>
  <c r="D21" i="9"/>
  <c r="E102" i="9" l="1"/>
  <c r="D101" i="9"/>
  <c r="E23" i="9"/>
  <c r="D22" i="9"/>
  <c r="E103" i="9" l="1"/>
  <c r="D102" i="9"/>
  <c r="E24" i="9"/>
  <c r="D23" i="9"/>
  <c r="E104" i="9" l="1"/>
  <c r="D103" i="9"/>
  <c r="E25" i="9"/>
  <c r="D24" i="9"/>
  <c r="E105" i="9" l="1"/>
  <c r="D104" i="9"/>
  <c r="E26" i="9"/>
  <c r="D25" i="9"/>
  <c r="E106" i="9" l="1"/>
  <c r="D105" i="9"/>
  <c r="E27" i="9"/>
  <c r="D26" i="9"/>
  <c r="E107" i="9" l="1"/>
  <c r="D107" i="9" s="1"/>
  <c r="D106" i="9"/>
  <c r="E28" i="9"/>
  <c r="D27" i="9"/>
  <c r="E29" i="9" l="1"/>
  <c r="D28" i="9"/>
  <c r="E30" i="9" l="1"/>
  <c r="D29" i="9"/>
  <c r="E31" i="9" l="1"/>
  <c r="D30" i="9"/>
  <c r="E32" i="9" l="1"/>
  <c r="D31" i="9"/>
  <c r="E33" i="9" l="1"/>
  <c r="D32" i="9"/>
  <c r="E34" i="9" l="1"/>
  <c r="D33" i="9"/>
  <c r="E35" i="9" l="1"/>
  <c r="D34" i="9"/>
  <c r="E36" i="9" l="1"/>
  <c r="D35" i="9"/>
  <c r="E37" i="9" l="1"/>
  <c r="D36" i="9"/>
  <c r="E38" i="9" l="1"/>
  <c r="D37" i="9"/>
  <c r="D38" i="9" l="1"/>
  <c r="E39" i="9"/>
  <c r="E40" i="9" l="1"/>
  <c r="D39" i="9"/>
  <c r="E41" i="9" l="1"/>
  <c r="D40" i="9"/>
  <c r="BE7" i="46" l="1"/>
  <c r="E42" i="9"/>
  <c r="D41" i="9"/>
  <c r="E43" i="9" l="1"/>
  <c r="D42" i="9"/>
  <c r="E44" i="9" l="1"/>
  <c r="D43" i="9"/>
  <c r="E45" i="9" l="1"/>
  <c r="D44" i="9"/>
  <c r="E46" i="9" l="1"/>
  <c r="D45" i="9"/>
  <c r="K39" i="9" s="1"/>
  <c r="E47" i="9" l="1"/>
  <c r="D46" i="9"/>
  <c r="E48" i="9" l="1"/>
  <c r="D47" i="9"/>
  <c r="E49" i="9" l="1"/>
  <c r="D48" i="9"/>
  <c r="E50" i="9" l="1"/>
  <c r="D49" i="9"/>
  <c r="D16" i="51" s="1"/>
  <c r="D11" i="51" s="1"/>
  <c r="D9" i="51" l="1"/>
  <c r="E9" i="51" s="1"/>
  <c r="E11" i="51"/>
  <c r="E51" i="9"/>
  <c r="D50" i="9"/>
  <c r="D51" i="9" l="1"/>
  <c r="E52" i="9"/>
  <c r="E53" i="9" l="1"/>
  <c r="D52" i="9"/>
  <c r="E54" i="9" l="1"/>
  <c r="D53" i="9"/>
  <c r="E55" i="9" l="1"/>
  <c r="D55" i="9" s="1"/>
  <c r="D5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tc={E5D989A7-4300-49A9-A443-F185D08FCA30}</author>
  </authors>
  <commentList>
    <comment ref="G12" authorId="0" shapeId="0" xr:uid="{E5D989A7-4300-49A9-A443-F185D08FCA30}">
      <text>
        <t>[Threaded comment]
Your version of Excel allows you to read this threaded comment; however, any edits to it will get removed if the file is opened in a newer version of Excel. Learn more: https://go.microsoft.com/fwlink/?linkid=870924
Comment:
    Changed from 0.35 to 0 (Tet schedule changed)</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<sst xmlns="http://schemas.openxmlformats.org/spreadsheetml/2006/main" count="10845" uniqueCount="1622">
  <si>
    <t>No</t>
  </si>
  <si>
    <t>Status</t>
  </si>
  <si>
    <t>Completion_status</t>
  </si>
  <si>
    <t>Project type</t>
  </si>
  <si>
    <t>Customer code</t>
  </si>
  <si>
    <t>Customer Name</t>
  </si>
  <si>
    <t>Project Name</t>
  </si>
  <si>
    <t>PIC</t>
  </si>
  <si>
    <t>PIC OLD</t>
  </si>
  <si>
    <t>Market</t>
  </si>
  <si>
    <t>Stage</t>
  </si>
  <si>
    <t>Prototype requested</t>
  </si>
  <si>
    <t>Total SKU</t>
  </si>
  <si>
    <t>Project total amount (USD)</t>
  </si>
  <si>
    <t>Shipped amount (USD)</t>
  </si>
  <si>
    <t>Outstanding amount (USD)</t>
  </si>
  <si>
    <t>Payment term</t>
  </si>
  <si>
    <t xml:space="preserve">PRE-PAYMENT RECEIVED 
</t>
  </si>
  <si>
    <t>BOQ date</t>
  </si>
  <si>
    <t xml:space="preserve">PO received </t>
  </si>
  <si>
    <t>PO date</t>
  </si>
  <si>
    <t>Prototype requested SD</t>
  </si>
  <si>
    <t>Prototype confirmed SW</t>
  </si>
  <si>
    <t>Prototype confirmed SD</t>
  </si>
  <si>
    <t>Prototype confirmed SM</t>
  </si>
  <si>
    <t>Production requested SD</t>
  </si>
  <si>
    <t>Production requested SM</t>
  </si>
  <si>
    <t>Production confirmed SW</t>
  </si>
  <si>
    <t>Production confirmed SD</t>
  </si>
  <si>
    <t>Production confirmed SM</t>
  </si>
  <si>
    <t>Shipping information</t>
  </si>
  <si>
    <t>Drawing status</t>
  </si>
  <si>
    <t>Veneer /wood</t>
  </si>
  <si>
    <t xml:space="preserve">Marble </t>
  </si>
  <si>
    <t>Metal</t>
  </si>
  <si>
    <t>Mirror</t>
  </si>
  <si>
    <t>Electrical part</t>
  </si>
  <si>
    <t>Fabric</t>
  </si>
  <si>
    <t>Remark</t>
  </si>
  <si>
    <t>Notes</t>
  </si>
  <si>
    <t>Forecase Value</t>
  </si>
  <si>
    <t>Forecast SM</t>
  </si>
  <si>
    <t>Customer required SW</t>
  </si>
  <si>
    <t>SAMPLE SHIPPED DATE</t>
  </si>
  <si>
    <t>Green</t>
  </si>
  <si>
    <t>IN PROGRESS</t>
  </si>
  <si>
    <t>NON RH</t>
  </si>
  <si>
    <t>RFF-CO</t>
  </si>
  <si>
    <t>COSMIC REALTY PARTNERS LLC</t>
  </si>
  <si>
    <t>250 FIFTH AVENUE HOTEL</t>
  </si>
  <si>
    <t>THƯ</t>
  </si>
  <si>
    <t>US</t>
  </si>
  <si>
    <t>PRODUCTION</t>
  </si>
  <si>
    <t>YES</t>
  </si>
  <si>
    <t>April</t>
  </si>
  <si>
    <t>W14</t>
  </si>
  <si>
    <t>Approved</t>
  </si>
  <si>
    <t>COM</t>
  </si>
  <si>
    <t>Reorder</t>
  </si>
  <si>
    <t>RH</t>
  </si>
  <si>
    <t>RFF-RH/HS</t>
  </si>
  <si>
    <t>RESTORATION HARDWARE_HS</t>
  </si>
  <si>
    <t>BOUTIQUE HOTEL</t>
  </si>
  <si>
    <t>DŨNG</t>
  </si>
  <si>
    <t>NO</t>
  </si>
  <si>
    <t>NO REQUIRE</t>
  </si>
  <si>
    <t>W15</t>
  </si>
  <si>
    <t>None</t>
  </si>
  <si>
    <t>RSC purchase</t>
  </si>
  <si>
    <t>COM received. Pending MCP for metal (black  color)</t>
  </si>
  <si>
    <t>CHICAGO PENDRY</t>
  </si>
  <si>
    <t>SƯƠNG</t>
  </si>
  <si>
    <t>Pending approval</t>
  </si>
  <si>
    <t>N/A</t>
  </si>
  <si>
    <t>CIA O&amp;O GUESTROOMS</t>
  </si>
  <si>
    <t>Yellow</t>
  </si>
  <si>
    <t>SAMPLE ROOM</t>
  </si>
  <si>
    <t>WIP revision</t>
  </si>
  <si>
    <t>Use available</t>
  </si>
  <si>
    <t>Marble: Graphite WIP sourcing</t>
  </si>
  <si>
    <t>Grey</t>
  </si>
  <si>
    <t>RFF-TMSJ</t>
  </si>
  <si>
    <t>LANG &amp; SCHWANDER LLC</t>
  </si>
  <si>
    <t>DELAMAR MYSTIC</t>
  </si>
  <si>
    <t>PRODUCTION FOC</t>
  </si>
  <si>
    <t>March</t>
  </si>
  <si>
    <t>W12</t>
  </si>
  <si>
    <t>FOC replacements, pending approval of used leather from customer</t>
  </si>
  <si>
    <t>Pending</t>
  </si>
  <si>
    <t>Red</t>
  </si>
  <si>
    <t>ELYSEE HOTEL</t>
  </si>
  <si>
    <t>June</t>
  </si>
  <si>
    <t>NA</t>
  </si>
  <si>
    <t>pending submission drawing from ME, waiting client to approve color and bed drawing</t>
  </si>
  <si>
    <t>FAENA TULLUM (FTMX)</t>
  </si>
  <si>
    <t>TÚ ANH</t>
  </si>
  <si>
    <t>MX</t>
  </si>
  <si>
    <t>RFF-FLF</t>
  </si>
  <si>
    <t>FLEETWOOD FURNITURE</t>
  </si>
  <si>
    <t>FOUR SEASON JACKSONVILLE</t>
  </si>
  <si>
    <t>W16</t>
  </si>
  <si>
    <t>Airship and Sea</t>
  </si>
  <si>
    <t>Ask  customer if have QC inspection. 
Client request production status update including images</t>
  </si>
  <si>
    <t>FOX HARBOR</t>
  </si>
  <si>
    <t>TUYẾT</t>
  </si>
  <si>
    <t>COM: 3/3 received, Phase 3</t>
  </si>
  <si>
    <t>GRAND HYATT BAHA MAR</t>
  </si>
  <si>
    <t>HA Studio Pico/Wilkins</t>
  </si>
  <si>
    <t>May</t>
  </si>
  <si>
    <t>W27</t>
  </si>
  <si>
    <t>Sea</t>
  </si>
  <si>
    <t>HARD ROCK LAS VEGAS WEST TOWER</t>
  </si>
  <si>
    <t>THẢO</t>
  </si>
  <si>
    <t xml:space="preserve">SƯƠNG </t>
  </si>
  <si>
    <t>RSC WIP</t>
  </si>
  <si>
    <t>WIP soucing</t>
  </si>
  <si>
    <t>Metal: pending final confirmation to do PVD/baking. Mirror: pending final color for production, shipped swatches to customer.  Still pending one kind of marble.</t>
  </si>
  <si>
    <t>HWVP PHASE 2</t>
  </si>
  <si>
    <t>RFF-TPC</t>
  </si>
  <si>
    <t>THE PARKER COMPANY</t>
  </si>
  <si>
    <t>JAMES NY NOMAD</t>
  </si>
  <si>
    <t>RFF-KD</t>
  </si>
  <si>
    <t>KD TRAVIS BLOCK HOLDCO, LLC</t>
  </si>
  <si>
    <t>KNOX DALLAS</t>
  </si>
  <si>
    <t>August</t>
  </si>
  <si>
    <t>W31/2025</t>
  </si>
  <si>
    <t xml:space="preserve">Pending COM for specialty suite closet and addtional COM for HB </t>
  </si>
  <si>
    <t>KNOX DALLAS SUITE</t>
  </si>
  <si>
    <t>NPI proposed SW28/29/30 (Jul)
Deposit Must be received by 18 March
Fabric COM (Leather) Must be received by 13 April
Veneer – Tabu: estimates the air cost to be at ~950</t>
  </si>
  <si>
    <t>RFF-AHMA</t>
  </si>
  <si>
    <t>AHMADIAH CONTRACTING &amp; TRADING CO.-BRANCH KSA</t>
  </si>
  <si>
    <t>MARRIOTT KHOBAR</t>
  </si>
  <si>
    <t>SA</t>
  </si>
  <si>
    <t>CANCELLED</t>
  </si>
  <si>
    <t xml:space="preserve">MGM ARIA </t>
  </si>
  <si>
    <t>DROPPED</t>
  </si>
  <si>
    <t>Mock up no finishing</t>
  </si>
  <si>
    <t>COMPLETED</t>
  </si>
  <si>
    <t>RFF-MH</t>
  </si>
  <si>
    <t>MODERN HISTORY</t>
  </si>
  <si>
    <t>MH HOTEL PROJECT</t>
  </si>
  <si>
    <t xml:space="preserve">COSTING STAGE, waiting for Luc confirmation for official PO </t>
  </si>
  <si>
    <t>RFF-MOHI</t>
  </si>
  <si>
    <t>HOTEL MOHI C/O ABSOLUTE PROCUREMENT</t>
  </si>
  <si>
    <t>MOHI APPELLATION</t>
  </si>
  <si>
    <t>13 drawings wait for client feedback</t>
  </si>
  <si>
    <t>NAMA LISBON</t>
  </si>
  <si>
    <t>PT</t>
  </si>
  <si>
    <t>W24</t>
  </si>
  <si>
    <t>TBC</t>
  </si>
  <si>
    <t>BROOKFILED PROPERTIES</t>
  </si>
  <si>
    <t>PARK HYATT VANCOUVER</t>
  </si>
  <si>
    <t>CA</t>
  </si>
  <si>
    <t>Awaiting order</t>
  </si>
  <si>
    <t>RANCHO VALENCIA</t>
  </si>
  <si>
    <t>RH CASSIA CONDO</t>
  </si>
  <si>
    <t>RCS Cover and 3 types of COM,</t>
  </si>
  <si>
    <t>RH contract</t>
  </si>
  <si>
    <t>W13</t>
  </si>
  <si>
    <t>CONTRACT STOCK</t>
  </si>
  <si>
    <t>RH TRUMP SUITES NYC</t>
  </si>
  <si>
    <t>* 21/51 drawings approved and shipped sample, Tuyet working on final BOQ to proceed more drawings for production
*  9 types of COM, 12 types of RSC cover
* The client is expecting to place the order for this project in June/July 2026.</t>
  </si>
  <si>
    <t>LANG &amp; SCHWANDER</t>
  </si>
  <si>
    <t>RITZ CARLTON COTTON BAY</t>
  </si>
  <si>
    <t>NHI</t>
  </si>
  <si>
    <t>ROSEWOOD CALISTOGA</t>
  </si>
  <si>
    <t>SNAKE RIVER LODGE BLUEFLAG</t>
  </si>
  <si>
    <t>RFF-PLUS</t>
  </si>
  <si>
    <t>PLUS CORPORATION</t>
  </si>
  <si>
    <t>SOHO HOUSE TOKYO+E25:P35</t>
  </si>
  <si>
    <t>JP</t>
  </si>
  <si>
    <t>50% deposit, 50% prior shipment</t>
  </si>
  <si>
    <t>W18</t>
  </si>
  <si>
    <t>Airship</t>
  </si>
  <si>
    <t>RFF-SK</t>
  </si>
  <si>
    <t>MBMA CORP. D/B/A SPECTRUM KITCHENS</t>
  </si>
  <si>
    <t xml:space="preserve">SPECTRUM KITCHENS </t>
  </si>
  <si>
    <t>BOQ updated 9-Mar. Pending planning cfm SW</t>
  </si>
  <si>
    <t>Ship week 29 (7/19/26), approval and deposit deadline is W14.</t>
  </si>
  <si>
    <t>RSC-MK</t>
  </si>
  <si>
    <t>MARKETING</t>
  </si>
  <si>
    <t>THẢO ĐIỀN OFFICE</t>
  </si>
  <si>
    <t>VN</t>
  </si>
  <si>
    <t>Shipped Batch 1</t>
  </si>
  <si>
    <t>TRUMP LAS VEGAS PENTHOUSES</t>
  </si>
  <si>
    <t>Shipped</t>
  </si>
  <si>
    <t>WESTIN HOTEL COCOA BEACH</t>
  </si>
  <si>
    <t>Sample done. Wait for shipping instruction from customer</t>
  </si>
  <si>
    <t>W-HOTEL-LAS-VEGAS</t>
  </si>
  <si>
    <t>STONE TOPS ISSUE</t>
  </si>
  <si>
    <t>LS</t>
  </si>
  <si>
    <t>HARD ROCK SAN JUAN</t>
  </si>
  <si>
    <t>Maybourne_One Wall Street NY</t>
  </si>
  <si>
    <t>W17</t>
  </si>
  <si>
    <t>RITZ DOVE MOUNTAIN</t>
  </si>
  <si>
    <t>TK</t>
  </si>
  <si>
    <t>TRIMA  KASI LIMITED</t>
  </si>
  <si>
    <t>JRH</t>
  </si>
  <si>
    <t>JM</t>
  </si>
  <si>
    <t>Prototype apr, Main run Jul/Aug for now</t>
  </si>
  <si>
    <t>St Regis Kanai</t>
  </si>
  <si>
    <t>DEVELOPMENT</t>
  </si>
  <si>
    <t>SK</t>
  </si>
  <si>
    <t>SPECTRUM KITCHENS</t>
  </si>
  <si>
    <t>OTMB</t>
  </si>
  <si>
    <t>Trump NYC</t>
  </si>
  <si>
    <t>FORMULA</t>
  </si>
  <si>
    <t>DROP LIST</t>
  </si>
  <si>
    <t>MANUAL INPUT</t>
  </si>
  <si>
    <t>[YEAR]_[CUST NAME]_[PROJ-NAME]</t>
  </si>
  <si>
    <t>PROJECT TYPE</t>
  </si>
  <si>
    <t>STAGE</t>
  </si>
  <si>
    <t>CUSTOMER PIC</t>
  </si>
  <si>
    <t>CUSTOMER NAME</t>
  </si>
  <si>
    <t>CUSTOMER SHORTEN NAME</t>
  </si>
  <si>
    <t>PROJECT NAME (SHORT)</t>
  </si>
  <si>
    <t>PROJECT NAME</t>
  </si>
  <si>
    <t>COUNT</t>
  </si>
  <si>
    <t>STATUS</t>
  </si>
  <si>
    <t>POOL</t>
  </si>
  <si>
    <t>NPD/NPI
STAGE</t>
  </si>
  <si>
    <t>BOQ DATE</t>
  </si>
  <si>
    <t>PO RECEIVED
DATE</t>
  </si>
  <si>
    <t>DEPOSIT
RECEIVED DATE</t>
  </si>
  <si>
    <t>PAYMENT TERM</t>
  </si>
  <si>
    <t>MARKET</t>
  </si>
  <si>
    <t>MARKET STATE (US ONLY)</t>
  </si>
  <si>
    <t>BE SKU</t>
  </si>
  <si>
    <t>BE QTY</t>
  </si>
  <si>
    <t>CG QTY</t>
  </si>
  <si>
    <t>UPH QTY</t>
  </si>
  <si>
    <t>PROJECT SKU</t>
  </si>
  <si>
    <t>PROJECT QTY</t>
  </si>
  <si>
    <t>PROJECT VALUE $</t>
  </si>
  <si>
    <t>PROJECT BREAK VALUE</t>
  </si>
  <si>
    <t>SHIP MONTH FC</t>
  </si>
  <si>
    <t>SHIP YEAR</t>
  </si>
  <si>
    <t xml:space="preserve"> REQUESTED FIRST SD</t>
  </si>
  <si>
    <t xml:space="preserve"> REQUESTED LAST SD</t>
  </si>
  <si>
    <t>CONFIRMED FIRST SD</t>
  </si>
  <si>
    <t>CONFIRMED LAST SD</t>
  </si>
  <si>
    <t>CONFIRMED FIRST SW</t>
  </si>
  <si>
    <t>CONFIRMED LAST SW</t>
  </si>
  <si>
    <t>DRAWING
STATUS</t>
  </si>
  <si>
    <t>DRAWING
PLAN/DUE DATE</t>
  </si>
  <si>
    <t>DRAWING
APPROVED DATE</t>
  </si>
  <si>
    <t>VENEER/WOOD
STATUS</t>
  </si>
  <si>
    <t>VENEER/WOOD
PLAN/DUE DATE</t>
  </si>
  <si>
    <t>VENEER/WOOD
APPROVED DATE</t>
  </si>
  <si>
    <t>MARBLE
STATUS</t>
  </si>
  <si>
    <t>MARBLE
PLAN/DUE DATE</t>
  </si>
  <si>
    <t>MARBLE
APPROVED DATE</t>
  </si>
  <si>
    <t>METAL
STATUS</t>
  </si>
  <si>
    <t>METAL
PLAN/DUE DATE</t>
  </si>
  <si>
    <t>METAL
APPROVED DATE</t>
  </si>
  <si>
    <t>MIRROR
STATUS</t>
  </si>
  <si>
    <t>MIRROR
PLAN/DUE DATE</t>
  </si>
  <si>
    <t>MIRROR
APPROVED DATE</t>
  </si>
  <si>
    <t>ELECTRICAL
STATUS</t>
  </si>
  <si>
    <t>ELECTRICAL
PLAN/DUE DATE</t>
  </si>
  <si>
    <t>ELECTRICAL
APPROVED DATE</t>
  </si>
  <si>
    <t>FABRIC
STATUS</t>
  </si>
  <si>
    <t>FABRIC
PLAN/DUE DATE</t>
  </si>
  <si>
    <t>FABRIC
DUE DATE</t>
  </si>
  <si>
    <t>LIFECYCLE</t>
  </si>
  <si>
    <t>CPSC + TSCA</t>
  </si>
  <si>
    <t>DEVELOPMENT STATUS</t>
  </si>
  <si>
    <t>Remarks</t>
  </si>
  <si>
    <t>NPI</t>
  </si>
  <si>
    <t>TRINH</t>
  </si>
  <si>
    <t>Sue Bilstad</t>
  </si>
  <si>
    <t xml:space="preserve">GRAND HYATT BAHA MAR </t>
  </si>
  <si>
    <t>SHIPPED</t>
  </si>
  <si>
    <t>NEW</t>
  </si>
  <si>
    <t>8. Shipment</t>
  </si>
  <si>
    <t>BS</t>
  </si>
  <si>
    <t>Bahamas</t>
  </si>
  <si>
    <t>2026/M05</t>
  </si>
  <si>
    <t>COM Received</t>
  </si>
  <si>
    <t>Yes</t>
  </si>
  <si>
    <t>2026/M06</t>
  </si>
  <si>
    <t>2026/M07</t>
  </si>
  <si>
    <t>2026/M08</t>
  </si>
  <si>
    <t>GRAND HYATT BAHA MAR-PHASE 2</t>
  </si>
  <si>
    <t>FC</t>
  </si>
  <si>
    <t>1. Preliminary Design</t>
  </si>
  <si>
    <t>2027/M06</t>
  </si>
  <si>
    <t>Not Started</t>
  </si>
  <si>
    <t>2027/M07</t>
  </si>
  <si>
    <t>2027/M08</t>
  </si>
  <si>
    <t>TUYET</t>
  </si>
  <si>
    <t>REO</t>
  </si>
  <si>
    <t>-</t>
  </si>
  <si>
    <t>Canada</t>
  </si>
  <si>
    <t>2026/M04</t>
  </si>
  <si>
    <t>FL</t>
  </si>
  <si>
    <t>13/6/2026</t>
  </si>
  <si>
    <t>2026/M09</t>
  </si>
  <si>
    <t>DUNG</t>
  </si>
  <si>
    <t>MAIN STREET BOUTIQUE HOTEL</t>
  </si>
  <si>
    <t>REMOVED</t>
  </si>
  <si>
    <t>4. Prototype Build</t>
  </si>
  <si>
    <t>IL</t>
  </si>
  <si>
    <t>2026/M10</t>
  </si>
  <si>
    <t>In Progress</t>
  </si>
  <si>
    <t>Prototype shipped. Awaiting for PO for mass production</t>
  </si>
  <si>
    <t>TU ANH</t>
  </si>
  <si>
    <t>HA STUDIO PICO/WILKINS</t>
  </si>
  <si>
    <t>DUY</t>
  </si>
  <si>
    <t>OB</t>
  </si>
  <si>
    <t>7. Mass Production</t>
  </si>
  <si>
    <t>2026/M11</t>
  </si>
  <si>
    <t>Madison Lay</t>
  </si>
  <si>
    <t>Portugal</t>
  </si>
  <si>
    <t xml:space="preserve">NAMA LISBON-PUBLIC SPACE </t>
  </si>
  <si>
    <t>2027/M01</t>
  </si>
  <si>
    <t>PIPELINE</t>
  </si>
  <si>
    <t>2. Product &amp; Process Dev</t>
  </si>
  <si>
    <t>Pending Approval</t>
  </si>
  <si>
    <t>THU</t>
  </si>
  <si>
    <t>RH CONTRACT (LARA CHAIR 25)</t>
  </si>
  <si>
    <t>2026/M03</t>
  </si>
  <si>
    <t>2026/W13</t>
  </si>
  <si>
    <t>NPD</t>
  </si>
  <si>
    <t>DUONG</t>
  </si>
  <si>
    <t>NY</t>
  </si>
  <si>
    <t>TRUMP DORAL</t>
  </si>
  <si>
    <t>3. Prototype Readiness</t>
  </si>
  <si>
    <t>2027/M05</t>
  </si>
  <si>
    <t>BIEN</t>
  </si>
  <si>
    <t>2026/M12</t>
  </si>
  <si>
    <t>COM Pending</t>
  </si>
  <si>
    <t>WY</t>
  </si>
  <si>
    <t>5. Production Readiness</t>
  </si>
  <si>
    <t>NV</t>
  </si>
  <si>
    <t>AZ</t>
  </si>
  <si>
    <t>2027/M04</t>
  </si>
  <si>
    <t>MAYBOURNE_ONE WALL STREET NY</t>
  </si>
  <si>
    <t>ST. REGIS KANAI</t>
  </si>
  <si>
    <t>Mexico</t>
  </si>
  <si>
    <t>THAO</t>
  </si>
  <si>
    <t>2027/M10</t>
  </si>
  <si>
    <t xml:space="preserve">Not Started </t>
  </si>
  <si>
    <t>Lori</t>
  </si>
  <si>
    <t>2027/M02</t>
  </si>
  <si>
    <t>2027/M03</t>
  </si>
  <si>
    <t>HI</t>
  </si>
  <si>
    <t>Apr</t>
  </si>
  <si>
    <t>SANG</t>
  </si>
  <si>
    <t>TX</t>
  </si>
  <si>
    <t>Saudi Arabia</t>
  </si>
  <si>
    <t>Removed</t>
  </si>
  <si>
    <t>NC</t>
  </si>
  <si>
    <t>Aaron Newell</t>
  </si>
  <si>
    <t>Waiting boooking</t>
  </si>
  <si>
    <t>2027/M11</t>
  </si>
  <si>
    <t>2027/M12</t>
  </si>
  <si>
    <t>SOHO HOUSE TOKYO</t>
  </si>
  <si>
    <t>Japan</t>
  </si>
  <si>
    <t xml:space="preserve">COM Received </t>
  </si>
  <si>
    <t xml:space="preserve">1122 MADISON </t>
  </si>
  <si>
    <t>ROCHDALE SPEARS CO LTD.</t>
  </si>
  <si>
    <t>Vietnam</t>
  </si>
  <si>
    <t>Jamaica</t>
  </si>
  <si>
    <t>6. Pilot Run</t>
  </si>
  <si>
    <t>Completed, waiting to load cont</t>
  </si>
  <si>
    <t>BROOKFIELD PROPERTIES</t>
  </si>
  <si>
    <t>Elaine</t>
  </si>
  <si>
    <t>PENDING</t>
  </si>
  <si>
    <t>PR</t>
  </si>
  <si>
    <t>2027/M09</t>
  </si>
  <si>
    <t>OTMB VANITY</t>
  </si>
  <si>
    <t>3. Prototype Readiness (BOM)</t>
  </si>
  <si>
    <t>AYALA INTERNATIONAL</t>
  </si>
  <si>
    <t>KHOBAR HILTON CANOPY HOTEL</t>
  </si>
  <si>
    <t>HONG</t>
  </si>
  <si>
    <t>BENJAMIN WEST</t>
  </si>
  <si>
    <t xml:space="preserve">HACIENDA HOTEL LISBON PORTUGAL </t>
  </si>
  <si>
    <t>2026/M01</t>
  </si>
  <si>
    <t>WOODHAUS</t>
  </si>
  <si>
    <t>KNOX HENDERSON</t>
  </si>
  <si>
    <t>JOIA TIERRA DEL SOL</t>
  </si>
  <si>
    <t>AR</t>
  </si>
  <si>
    <t>Aruba</t>
  </si>
  <si>
    <t>RED SEA</t>
  </si>
  <si>
    <t>VICEROY SUGAR BEACH - ASH WOOD VERSION</t>
  </si>
  <si>
    <t>LC</t>
  </si>
  <si>
    <t>Saint Lucia</t>
  </si>
  <si>
    <t>SILVERSANDS GRAND ANSE</t>
  </si>
  <si>
    <t xml:space="preserve">REJECTED </t>
  </si>
  <si>
    <t>Grenada (Caribbean)</t>
  </si>
  <si>
    <t>St. George's:</t>
  </si>
  <si>
    <t>PROJECT 550</t>
  </si>
  <si>
    <t>TBD</t>
  </si>
  <si>
    <t>Erika</t>
  </si>
  <si>
    <t>AUBERGE HOUSTON MR</t>
  </si>
  <si>
    <t>ON HOLD</t>
  </si>
  <si>
    <t>AWH TOPNOTCH</t>
  </si>
  <si>
    <t>Vermont</t>
  </si>
  <si>
    <t xml:space="preserve">SPANISH BAY CLUB </t>
  </si>
  <si>
    <t>2026/M02</t>
  </si>
  <si>
    <t>RH BRANDYWINE</t>
  </si>
  <si>
    <t>RITZ CARLTON PHILADELPHIA</t>
  </si>
  <si>
    <t>PA</t>
  </si>
  <si>
    <t>2026/W29</t>
  </si>
  <si>
    <t>Caroline Dillard</t>
  </si>
  <si>
    <t>CUSTOM MIYU TABLES</t>
  </si>
  <si>
    <t>GRAND HYATT DENVER</t>
  </si>
  <si>
    <t>CO</t>
  </si>
  <si>
    <t xml:space="preserve">COMPETITIVE EDGE </t>
  </si>
  <si>
    <t>WALDORF ASTORIA DEER VALLEY</t>
  </si>
  <si>
    <t>PEBBLE BEACH CASA PALMERO</t>
  </si>
  <si>
    <t>Monica Cuevas</t>
  </si>
  <si>
    <t xml:space="preserve">SUNRIVER RESORT </t>
  </si>
  <si>
    <t>PHONG</t>
  </si>
  <si>
    <t xml:space="preserve">ASIATICO RESTAURANT </t>
  </si>
  <si>
    <t>MONTAUK YACHT CLUB</t>
  </si>
  <si>
    <t>HBA PROCUREMENT</t>
  </si>
  <si>
    <t>HILTON PASADENA</t>
  </si>
  <si>
    <t>FAIRMONT HOTEL WINNIPEG</t>
  </si>
  <si>
    <t>THE STANDARD MIAMI HOTEL</t>
  </si>
  <si>
    <t>Miami</t>
  </si>
  <si>
    <t>KINDERED KEYSTONE RESORT</t>
  </si>
  <si>
    <t xml:space="preserve">MARRIOTT GUYANA PUBLIC AREAS </t>
  </si>
  <si>
    <t>TRAN</t>
  </si>
  <si>
    <t>Natasha Funk</t>
  </si>
  <si>
    <t>BELGROVE VILLAS</t>
  </si>
  <si>
    <t>BISCAYNE HOSPITALITY</t>
  </si>
  <si>
    <t>PARK_AVENUE_HOTEL</t>
  </si>
  <si>
    <t>CAUDWELL</t>
  </si>
  <si>
    <t>UK</t>
  </si>
  <si>
    <t>FOUR SEASONS  DENVER</t>
  </si>
  <si>
    <t>MUNISH</t>
  </si>
  <si>
    <t>MAUNA LANI</t>
  </si>
  <si>
    <t>GOLDEN PEAK</t>
  </si>
  <si>
    <t>CUSTOM BEDS FOR EU</t>
  </si>
  <si>
    <t>EU</t>
  </si>
  <si>
    <t>BLACKWELL GROUP LLC</t>
  </si>
  <si>
    <t>MUSE POINT APARTMENT</t>
  </si>
  <si>
    <t>AU</t>
  </si>
  <si>
    <t xml:space="preserve">DANCING BEAR </t>
  </si>
  <si>
    <t>FOOTES REST</t>
  </si>
  <si>
    <t>FOC</t>
  </si>
  <si>
    <t>RITZ CABO VILLA</t>
  </si>
  <si>
    <t>BDNY</t>
  </si>
  <si>
    <t>AHS ONE CANAL CRESENT</t>
  </si>
  <si>
    <t>Waiting for PO</t>
  </si>
  <si>
    <t>1419 MONUMENT HOTEL</t>
  </si>
  <si>
    <t>SOHO HOUSE</t>
  </si>
  <si>
    <t>OAKLEY COURT MINI BAR BRIEF</t>
  </si>
  <si>
    <t>ACCOUTER GROUP</t>
  </si>
  <si>
    <t>8 EATON LANE</t>
  </si>
  <si>
    <t>BOARDROOM FURNITURE</t>
  </si>
  <si>
    <t>CHARTER STREET TABLES</t>
  </si>
  <si>
    <t xml:space="preserve">DEER VALLEY  </t>
  </si>
  <si>
    <t xml:space="preserve">ALTERRA_DEER VALLEY </t>
  </si>
  <si>
    <t>SLPS - SUGAR LAND, PUBLIC SPACE</t>
  </si>
  <si>
    <t>2026-BISCAYNE-SLPS - SUGAR LAND, PUBLIC SPACE</t>
  </si>
  <si>
    <t>SLPSC</t>
  </si>
  <si>
    <t>NOT YET</t>
  </si>
  <si>
    <t>MGM BELLAGIO</t>
  </si>
  <si>
    <t>Re-allocate from Auberge</t>
  </si>
  <si>
    <t>LV</t>
  </si>
  <si>
    <t>FOUR SEASON DUBROVNIK</t>
  </si>
  <si>
    <t>AGV MODEL ROOM</t>
  </si>
  <si>
    <t>AGV MODEL ROOM-EXTRA</t>
  </si>
  <si>
    <t>REJECTED</t>
  </si>
  <si>
    <t>AGSR - ARIZONA GRAND SUITES - MODEL ROOM</t>
  </si>
  <si>
    <t>AGSR - ARIZONA GRAND SUITES - EXTRA</t>
  </si>
  <si>
    <t>SPA</t>
  </si>
  <si>
    <t xml:space="preserve">Deposit invoice sent Sep/11th </t>
  </si>
  <si>
    <t>OLY PA</t>
  </si>
  <si>
    <t>MJM</t>
  </si>
  <si>
    <t>CABIN PROJECT</t>
  </si>
  <si>
    <t>OPS-0069737 TRIBECA CONDOS - VANITIES</t>
  </si>
  <si>
    <t>MIVAN</t>
  </si>
  <si>
    <t>CLEVELAND CLINIC</t>
  </si>
  <si>
    <t>NOR</t>
  </si>
  <si>
    <t>MONTAGE PENDRY BARBADOS</t>
  </si>
  <si>
    <t>PROJECT 550 POCKET DOORS</t>
  </si>
  <si>
    <t>Value</t>
  </si>
  <si>
    <t>YEAR</t>
  </si>
  <si>
    <t>SM</t>
  </si>
  <si>
    <t>2026</t>
  </si>
  <si>
    <t>Grand Total</t>
  </si>
  <si>
    <t>2024-RH-ST. REGIS KANAI</t>
  </si>
  <si>
    <t>2024-RH-TRUMP DORAL</t>
  </si>
  <si>
    <t>2025-RH-FOX HARBOR</t>
  </si>
  <si>
    <t>2025-RH-MAIN STREET BOUTIQUE HOTEL</t>
  </si>
  <si>
    <t>2025-RH-RH CASSIA CONDO</t>
  </si>
  <si>
    <t>2026-RH-CAUDWELL</t>
  </si>
  <si>
    <t>2026-RH-GOLDEN PEAK</t>
  </si>
  <si>
    <t>2026-RH-GRAND HYATT BAHA MAR</t>
  </si>
  <si>
    <t xml:space="preserve">2026-RH-GRAND HYATT BAHA MAR </t>
  </si>
  <si>
    <t>2026-RH-HA STUDIO PICO/WILKINS</t>
  </si>
  <si>
    <t>2026-RH-KINDERED KEYSTONE RESORT</t>
  </si>
  <si>
    <t>2026-RH-MAYBOURNE_ONE WALL STREET NY</t>
  </si>
  <si>
    <t>2026-RH-NAMA LISBON</t>
  </si>
  <si>
    <t>2026-RH-RH BRANDYWINE</t>
  </si>
  <si>
    <t>2026-RH-RH CONTRACT (LARA CHAIR 25)</t>
  </si>
  <si>
    <t>2026-RH-SNAKE RIVER LODGE BLUEFLAG</t>
  </si>
  <si>
    <t>RH Sum</t>
  </si>
  <si>
    <t>2025-FLEETWOOD -FOUR SEASON JACKSONVILLE</t>
  </si>
  <si>
    <t>2025-FLEETWOOD -HWVP PHASE 2</t>
  </si>
  <si>
    <t>2025-KD-KNOX DALLAS</t>
  </si>
  <si>
    <t>2025-MOHI-MOHI APPELLATION</t>
  </si>
  <si>
    <t>2025-PLUS CORPORATION-SOHO HOUSE TOKYO</t>
  </si>
  <si>
    <t>2026-COSMIC REALTY-250 FIFTH AVENUE HOTEL</t>
  </si>
  <si>
    <t>2026-FLEETWOOD -HWVP PHASE 2</t>
  </si>
  <si>
    <t>2026-KD-KNOX DALLAS</t>
  </si>
  <si>
    <t>2026-L&amp;S-ELYSEE HOTEL</t>
  </si>
  <si>
    <t>2026-MH-MH HOTEL PROJECT</t>
  </si>
  <si>
    <t>2026-PLUS CORPORATION-SOHO HOUSE TOKYO</t>
  </si>
  <si>
    <t>2026-RSC-THẢO ĐIỀN OFFICE</t>
  </si>
  <si>
    <t xml:space="preserve">2026-SPECTRUM-1122 MADISON </t>
  </si>
  <si>
    <t xml:space="preserve">2026-TRIMA-ASIATICO RESTAURANT </t>
  </si>
  <si>
    <t>2026-TRIMA-JRH</t>
  </si>
  <si>
    <t>2026-WOODHAUS-KNOX HENDERSON</t>
  </si>
  <si>
    <t>NON RH Sum</t>
  </si>
  <si>
    <t>SHIPPED Sum</t>
  </si>
  <si>
    <t>2025-RH-ROSEWOOD CALISTOGA</t>
  </si>
  <si>
    <t>2026-RH-1419 MONUMENT HOTEL</t>
  </si>
  <si>
    <t>2026-RH-BELGROVE VILLAS</t>
  </si>
  <si>
    <t>2026-RH-MONTAGE PENDRY BARBADOS</t>
  </si>
  <si>
    <t>2026-RH-VICEROY SUGAR BEACH - ASH WOOD VERSION</t>
  </si>
  <si>
    <t>2025-KD-KNOX DALLAS SUITE</t>
  </si>
  <si>
    <t>2026-AG-8 EATON LANE</t>
  </si>
  <si>
    <t>2026-AG-BOARDROOM FURNITURE</t>
  </si>
  <si>
    <t>2026-AG-CHARTER STREET TABLES</t>
  </si>
  <si>
    <t>2026-FLEETWOOD -MGM BELLAGIO</t>
  </si>
  <si>
    <t>2026-FLEETWOOD -PEBBLE BEACH CASA PALMERO</t>
  </si>
  <si>
    <t xml:space="preserve">2026-FLEETWOOD -SPANISH BAY CLUB </t>
  </si>
  <si>
    <t>2026-HBA-HILTON PASADENA</t>
  </si>
  <si>
    <t>2026-KD-KNOX DALLAS SUITE</t>
  </si>
  <si>
    <t>2026-L&amp;S-THE STANDARD MIAMI HOTEL</t>
  </si>
  <si>
    <t>2026-MOHI-MOHI APPELLATION</t>
  </si>
  <si>
    <t>OB Sum</t>
  </si>
  <si>
    <t>KEY HIGHLIGHTS</t>
  </si>
  <si>
    <t>ACTION PLAN</t>
  </si>
  <si>
    <t>Value ($)</t>
  </si>
  <si>
    <t>Sku #</t>
  </si>
  <si>
    <t>PO</t>
  </si>
  <si>
    <t>DEPOSIT</t>
  </si>
  <si>
    <t>DRAWING</t>
  </si>
  <si>
    <t>FINISH</t>
  </si>
  <si>
    <t>CONFIRMED SW</t>
  </si>
  <si>
    <t>PIC.</t>
  </si>
  <si>
    <t>PLANNED DATE</t>
  </si>
  <si>
    <t>DUE DATE</t>
  </si>
  <si>
    <t>ACTUAL COMPLETED DATE</t>
  </si>
  <si>
    <t>DETAILS DOCUMENT</t>
  </si>
  <si>
    <t>NOTES FROM VECTOR MEETING</t>
  </si>
  <si>
    <t>Grand Hyatt Baha Mar – Electrical parts</t>
  </si>
  <si>
    <t>FINISH of the electrical parts is RAW BRASS without any protection/finish. METROLIGHT delivered the sample and they are matching the swatches we have, however the material is NOT protected so prone to finger prints and also look like dirty.</t>
  </si>
  <si>
    <r>
      <rPr>
        <sz val="14"/>
        <rFont val="Aptos Narrow"/>
        <family val="2"/>
        <scheme val="minor"/>
      </rPr>
      <t xml:space="preserve"> =&gt; check with client IF THAT is what they want or if an URGENT modification is needed=&gt; Client was okay with the finish. The brass is solid so this is natrual finish so we have to accept for this natural finish=&gt; it must be close enough without too much deviation. to work with Metro and let them know that we understand the natural brass but cannot be too far away either.=&gt;</t>
    </r>
    <r>
      <rPr>
        <b/>
        <sz val="14"/>
        <rFont val="Aptos Narrow"/>
        <family val="2"/>
        <scheme val="minor"/>
      </rPr>
      <t xml:space="preserve"> we cannot control it because it depends on the outlet size. The copper core may vary, so it’s not possible to control it 100%. Also, these outlets are installed on different items rather than side by side, so the differences are not noticeable.</t>
    </r>
  </si>
  <si>
    <t xml:space="preserve">WK22-28 </t>
  </si>
  <si>
    <t>Hien</t>
  </si>
  <si>
    <t>—</t>
  </si>
  <si>
    <t>Done</t>
  </si>
  <si>
    <t>JRH – PROTOTYPE SCHEDULE</t>
  </si>
  <si>
    <t>SW delay due to late approval</t>
  </si>
  <si>
    <r>
      <t xml:space="preserve">Loic will take the lead to look at the prototype scheudle 
</t>
    </r>
    <r>
      <rPr>
        <b/>
        <sz val="14"/>
        <rFont val="Aptos Narrow"/>
        <family val="2"/>
        <scheme val="minor"/>
      </rPr>
      <t xml:space="preserve">SW deleyed from WK17 to WK19 (May 6th).=&gt; James communicate with client for the new SD already
</t>
    </r>
    <r>
      <rPr>
        <sz val="14"/>
        <rFont val="Aptos Narrow"/>
        <family val="2"/>
        <scheme val="minor"/>
      </rPr>
      <t xml:space="preserve">Apr 13th client come to review the mock up minibar door: there were some reviesion for the drawing:
</t>
    </r>
  </si>
  <si>
    <t>WK19 (6th May)</t>
  </si>
  <si>
    <t>James HS</t>
  </si>
  <si>
    <r>
      <rPr>
        <b/>
        <sz val="14"/>
        <rFont val="Aptos Narrow"/>
        <family val="2"/>
        <scheme val="minor"/>
      </rPr>
      <t>Revised Drawing:</t>
    </r>
    <r>
      <rPr>
        <sz val="14"/>
        <rFont val="Aptos Narrow"/>
        <family val="2"/>
        <scheme val="minor"/>
      </rPr>
      <t xml:space="preserve"> when ME can complete</t>
    </r>
  </si>
  <si>
    <t>LOIC</t>
  </si>
  <si>
    <r>
      <rPr>
        <b/>
        <sz val="14"/>
        <rFont val="Aptos Narrow"/>
        <family val="2"/>
        <scheme val="minor"/>
      </rPr>
      <t xml:space="preserve">.Metal decor
.Metal hanger
</t>
    </r>
    <r>
      <rPr>
        <sz val="14"/>
        <rFont val="Aptos Narrow"/>
        <family val="2"/>
        <scheme val="minor"/>
      </rPr>
      <t xml:space="preserve">Checking if we can bring doing in house to shorten the leadtime to improve the SD sooner than WK19 (May 6)=&gt; </t>
    </r>
    <r>
      <rPr>
        <b/>
        <sz val="14"/>
        <rFont val="Aptos Narrow"/>
        <family val="2"/>
        <scheme val="minor"/>
      </rPr>
      <t xml:space="preserve">The metal to be receievd Apr 15th 
</t>
    </r>
    <r>
      <rPr>
        <sz val="14"/>
        <rFont val="Aptos Narrow"/>
        <family val="2"/>
        <scheme val="minor"/>
      </rPr>
      <t xml:space="preserve">
</t>
    </r>
  </si>
  <si>
    <t xml:space="preserve">PARK HYATT VANCOUVER Prototype (1st batch)
</t>
  </si>
  <si>
    <t>Drawing approved as notes.</t>
  </si>
  <si>
    <t xml:space="preserve">
Drawing pending revision on Headboard control panel cutout.  Van will follow with Martin</t>
  </si>
  <si>
    <t>Pending approval partial</t>
  </si>
  <si>
    <t>WK20</t>
  </si>
  <si>
    <t>Van</t>
  </si>
  <si>
    <t xml:space="preserve">2026-BROOKFIELD-PARK HYATT VANCOUVER
</t>
  </si>
  <si>
    <t>Master color panel pending approval</t>
  </si>
  <si>
    <r>
      <rPr>
        <sz val="14"/>
        <color rgb="FF000000"/>
        <rFont val="Aptos Narrow"/>
        <family val="2"/>
        <scheme val="minor"/>
      </rPr>
      <t xml:space="preserve">Cleint rejected 2 WD panels with comments. Need to complete for shipping latest  WK16 (Apr 17) to maintain SW
Last date for panel approva is Apr 24th 
</t>
    </r>
    <r>
      <rPr>
        <b/>
        <sz val="14"/>
        <color rgb="FF0000FF"/>
        <rFont val="Aptos Narrow"/>
        <family val="2"/>
        <scheme val="minor"/>
      </rPr>
      <t xml:space="preserve">Check with client if they want to have crack on the panel (van to check) We will go ahead with no crack .
</t>
    </r>
  </si>
  <si>
    <r>
      <t xml:space="preserve">Mijin will check when he can completed (Due date for completion is 21/Apr =&gt; </t>
    </r>
    <r>
      <rPr>
        <b/>
        <sz val="14"/>
        <color rgb="FF0000FF"/>
        <rFont val="Aptos Narrow"/>
        <family val="2"/>
        <scheme val="minor"/>
      </rPr>
      <t>Client Approved</t>
    </r>
  </si>
  <si>
    <t>Mijin</t>
  </si>
  <si>
    <t>Interior Panel</t>
  </si>
  <si>
    <r>
      <t xml:space="preserve">Allan to support matching interior panel following exterior panel
</t>
    </r>
    <r>
      <rPr>
        <b/>
        <sz val="14"/>
        <color rgb="FF0000FF"/>
        <rFont val="Aptos Narrow"/>
        <family val="2"/>
        <scheme val="minor"/>
      </rPr>
      <t xml:space="preserve">Dung can come to Mijin office to select for the exiting interior panel which match with exterior=&gt; Need the final decision on interior panel </t>
    </r>
    <r>
      <rPr>
        <b/>
        <sz val="14"/>
        <rFont val="Aptos Narrow"/>
        <family val="2"/>
        <scheme val="minor"/>
      </rPr>
      <t>=&gt; Loic will take lead on this.</t>
    </r>
  </si>
  <si>
    <t>Prototye final CRD</t>
  </si>
  <si>
    <r>
      <t xml:space="preserve">Whole project will be picked up on 7th/May. 
(10 Sku CGs &amp; 1 UPH)
</t>
    </r>
    <r>
      <rPr>
        <b/>
        <sz val="14"/>
        <color rgb="FF0000FF"/>
        <rFont val="Aptos Narrow"/>
        <family val="2"/>
        <scheme val="minor"/>
      </rPr>
      <t>Question: 
Marble arrived ETA 5/May?</t>
    </r>
    <r>
      <rPr>
        <b/>
        <sz val="14"/>
        <rFont val="Aptos Narrow"/>
        <family val="2"/>
        <scheme val="minor"/>
      </rPr>
      <t xml:space="preserve">=&gt; arrived May/4 </t>
    </r>
  </si>
  <si>
    <t>Four Seasons Jacksonville – QC Setup</t>
  </si>
  <si>
    <t>LED</t>
  </si>
  <si>
    <r>
      <t xml:space="preserve">The first shipemnt 53 units are shipping this WK16 (Apr 16-17) Van is checking for the booking=&gt; WE got booking:
</t>
    </r>
    <r>
      <rPr>
        <b/>
        <sz val="14"/>
        <color theme="1"/>
        <rFont val="Aptos Narrow"/>
        <family val="2"/>
        <scheme val="minor"/>
      </rPr>
      <t>38 units (3 booking pick up 17/Apr)
15 units pick up 21/Apr</t>
    </r>
  </si>
  <si>
    <t>WK16-24</t>
  </si>
  <si>
    <t>DONE</t>
  </si>
  <si>
    <r>
      <t xml:space="preserve">FYI: Fleetwood just shared with us their new QC standards document. They now have employed theie own QC manager in Vietnam – James Le
We will have discussion with James QA to go through their DOC and James HS will ask client when they expec to apply for this new requiremnt. 
</t>
    </r>
    <r>
      <rPr>
        <b/>
        <sz val="14"/>
        <color theme="1"/>
        <rFont val="Aptos Narrow"/>
        <family val="2"/>
        <scheme val="minor"/>
      </rPr>
      <t>OBA report to be shared today</t>
    </r>
  </si>
  <si>
    <t>1122 MADISON (SPECTRUM KITCHENS)</t>
  </si>
  <si>
    <t>Client need to ship by end of Jun</t>
  </si>
  <si>
    <r>
      <t xml:space="preserve">Ms. Phuong will confirm on whether we can improve or not on Apr/20=&gt; </t>
    </r>
    <r>
      <rPr>
        <b/>
        <sz val="14"/>
        <color rgb="FF0000FF"/>
        <rFont val="Aptos Narrow"/>
        <family val="2"/>
        <scheme val="minor"/>
      </rPr>
      <t>Cannot improve</t>
    </r>
  </si>
  <si>
    <t>WK30</t>
  </si>
  <si>
    <t>Phuong</t>
  </si>
  <si>
    <t>MH CONTRACT</t>
  </si>
  <si>
    <t>Customer requested Jun ship for Jul installation</t>
  </si>
  <si>
    <r>
      <t xml:space="preserve">SW improved 2WKs from </t>
    </r>
    <r>
      <rPr>
        <b/>
        <sz val="14"/>
        <color theme="1"/>
        <rFont val="Aptos Narrow"/>
        <family val="2"/>
        <scheme val="minor"/>
      </rPr>
      <t>WK29 toWK27( 7/May/26)</t>
    </r>
    <r>
      <rPr>
        <sz val="14"/>
        <color theme="1"/>
        <rFont val="Aptos Narrow"/>
        <family val="2"/>
        <scheme val="minor"/>
      </rPr>
      <t xml:space="preserve">=&gt; Van to confirm client </t>
    </r>
  </si>
  <si>
    <t>WK29</t>
  </si>
  <si>
    <t>UPH BED</t>
  </si>
  <si>
    <t>The Bed will be completed by EOD 10th May.    For shipping on the morning of 11th.  =&gt; Outcome from discussion between Kevin and Martin to improve completion date=&gt; Required complete May/8</t>
  </si>
  <si>
    <t>Kevin</t>
  </si>
  <si>
    <t>Open</t>
  </si>
  <si>
    <t>2026-RH-ROSEWOOD CALISTOGA</t>
  </si>
  <si>
    <t>Panels request to be completed within 2 WKS (Apr/24)</t>
  </si>
  <si>
    <t xml:space="preserve">10 Shipped, 4 require resubmittal. We will share the comments for Mijin to review today.
4 will be shipped today (May/5). </t>
  </si>
  <si>
    <t>Client request to improve SW fromWK37 to WK35</t>
  </si>
  <si>
    <t>6 Revised Drawings can be completed today (May/5)</t>
  </si>
  <si>
    <t>2026/WK37</t>
  </si>
  <si>
    <t>Loic</t>
  </si>
  <si>
    <t>MH</t>
  </si>
  <si>
    <t>Customer rejected SW27. Insist on SW24 (June 13)</t>
  </si>
  <si>
    <t>MH to ship directly to the West Port, then ship directly to the client instead of via DC.
OBA is required to ensure product quality before shipment.
Client schedule for installation is 1st Aug. Base on the timeline (CRD Jul/5 + transit 23-25 days+ trucking 4-5 days=&gt; Arrival date 5/Aug). 
Need to be ontime to catch up the installation schedule.</t>
  </si>
  <si>
    <t>WK27(Jul/5)</t>
  </si>
  <si>
    <t>EHNY</t>
  </si>
  <si>
    <t>Client requested 3 panels between brown oak and natural oak.(subtrate is Ash wood)=&gt; we need to update the new timeline</t>
  </si>
  <si>
    <t>2026-TRIMA KASI-JRH</t>
  </si>
  <si>
    <t xml:space="preserve">Mass production schedule. 
Client want the first shipment improved by 4 WKs from WK31 now. </t>
  </si>
  <si>
    <t xml:space="preserve">
Can we breakdown the shipment and ship 1 batch earlier on WK27
Luc will review and confirm if any improvement can be done then telling James May/5</t>
  </si>
  <si>
    <t>2026/WK31</t>
  </si>
  <si>
    <t>Nhan</t>
  </si>
  <si>
    <t>PROJECT TASKS</t>
  </si>
  <si>
    <t>Elysee Hotel – (Main run)-Control Panels</t>
  </si>
  <si>
    <t xml:space="preserve"> 2/3 submitted, 1 pending </t>
  </si>
  <si>
    <r>
      <rPr>
        <sz val="14"/>
        <color rgb="FF000000"/>
        <rFont val="Aptos Narrow"/>
        <family val="2"/>
        <scheme val="minor"/>
      </rPr>
      <t xml:space="preserve">Mijin reviewed &amp; approved, we are shipping today 
Mijin sent. HS team to follow up for final approval
</t>
    </r>
    <r>
      <rPr>
        <b/>
        <sz val="14"/>
        <color rgb="FF0000FF"/>
        <rFont val="Aptos Narrow"/>
        <family val="2"/>
        <scheme val="minor"/>
      </rPr>
      <t>Client feedback &amp; we need to develop the new finish change from Laminate to BLACK, Mijin promises This week to comepte (Apr/4)</t>
    </r>
  </si>
  <si>
    <t>WK32-34</t>
  </si>
  <si>
    <t xml:space="preserve">Elysee Hotel – (Main run) DWG </t>
  </si>
  <si>
    <t>20 DWG pending from UPH &amp; CG</t>
  </si>
  <si>
    <r>
      <rPr>
        <sz val="14"/>
        <color theme="0" tint="-4.9989318521683403E-2"/>
        <rFont val="Aptos Narrow"/>
        <family val="2"/>
        <scheme val="minor"/>
      </rPr>
      <t>Martin sent Tues. HS to follow up with client for the approval.</t>
    </r>
    <r>
      <rPr>
        <b/>
        <sz val="14"/>
        <color theme="0" tint="-4.9989318521683403E-2"/>
        <rFont val="Aptos Narrow"/>
        <family val="2"/>
        <scheme val="minor"/>
      </rPr>
      <t xml:space="preserve"> </t>
    </r>
    <r>
      <rPr>
        <sz val="14"/>
        <color theme="0" tint="-4.9989318521683403E-2"/>
        <rFont val="Aptos Narrow"/>
        <family val="2"/>
        <scheme val="minor"/>
      </rPr>
      <t>Awiting for client( could be Mar 31st)</t>
    </r>
    <r>
      <rPr>
        <sz val="14"/>
        <rFont val="Aptos Narrow"/>
        <family val="2"/>
        <scheme val="minor"/>
      </rPr>
      <t xml:space="preserve">
Pending approval form client, inform client if they don’t approve WK14, shipment will be pushed out to WK34=&gt; keep chasing and inform client that SW will be recofnirmed upon the drawing approval=&gt; </t>
    </r>
    <r>
      <rPr>
        <b/>
        <sz val="14"/>
        <color rgb="FF0000FF"/>
        <rFont val="Aptos Narrow"/>
        <family val="2"/>
        <scheme val="minor"/>
      </rPr>
      <t>Formally inform the customer that we will reconfirm the SW when we get their DW approval</t>
    </r>
    <r>
      <rPr>
        <sz val="14"/>
        <rFont val="Aptos Narrow"/>
        <family val="2"/>
        <scheme val="minor"/>
      </rPr>
      <t xml:space="preserve">
</t>
    </r>
  </si>
  <si>
    <t xml:space="preserve">Elysee Hotel – Prototype </t>
  </si>
  <si>
    <t>Sourcing Mirror Tape-  double-sided tape</t>
  </si>
  <si>
    <r>
      <t>PUR confirmed to provide supplier infor&amp; sample for testing today=&gt; need to ask Michael to know what kind of material of the surface they are applying</t>
    </r>
    <r>
      <rPr>
        <b/>
        <sz val="14"/>
        <rFont val="Aptos Narrow"/>
        <family val="2"/>
        <scheme val="minor"/>
      </rPr>
      <t xml:space="preserve"> 
</t>
    </r>
    <r>
      <rPr>
        <sz val="14"/>
        <rFont val="Aptos Narrow"/>
        <family val="2"/>
        <scheme val="minor"/>
      </rPr>
      <t xml:space="preserve">QA still under reviewing for conduct testing. </t>
    </r>
    <r>
      <rPr>
        <sz val="14"/>
        <color rgb="FF0000FF"/>
        <rFont val="Aptos Narrow"/>
        <family val="2"/>
        <scheme val="minor"/>
      </rPr>
      <t>=&gt;</t>
    </r>
    <r>
      <rPr>
        <b/>
        <sz val="14"/>
        <color rgb="FF0000FF"/>
        <rFont val="Aptos Narrow"/>
        <family val="2"/>
        <scheme val="minor"/>
      </rPr>
      <t xml:space="preserve"> review done okay to proceed</t>
    </r>
  </si>
  <si>
    <t>WK31-33</t>
  </si>
  <si>
    <t>Vu</t>
  </si>
  <si>
    <t>Delay WK16 → WK17 shift, pending  approval 1 DW JOI01A-Bed</t>
  </si>
  <si>
    <r>
      <t>Following with client=&gt; they send approve with notes</t>
    </r>
    <r>
      <rPr>
        <b/>
        <sz val="14"/>
        <rFont val="Aptos Narrow"/>
        <family val="2"/>
        <scheme val="minor"/>
      </rPr>
      <t xml:space="preserve">=&gt; need revise </t>
    </r>
  </si>
  <si>
    <t>WK31-32</t>
  </si>
  <si>
    <t>Working mode not confirmed</t>
  </si>
  <si>
    <r>
      <t xml:space="preserve">Align with Lucky Hospitality
James will review &amp; confirm the timeline for client's QC to come
</t>
    </r>
    <r>
      <rPr>
        <b/>
        <sz val="14"/>
        <rFont val="Aptos Narrow"/>
        <family val="2"/>
        <scheme val="minor"/>
      </rPr>
      <t>Booked cleint to come, they scheduled this Wed (Apr 1st)</t>
    </r>
  </si>
  <si>
    <t>Working mode: OBA area</t>
  </si>
  <si>
    <t>Grand Hyatt Baha Mar – Fabric COM</t>
  </si>
  <si>
    <t xml:space="preserve">COM need to arrive end WK14. Customer plan to send end Mar, estimate ETA early WK15. </t>
  </si>
  <si>
    <r>
      <t xml:space="preserve">Following with client to see if timeline still on track . We need to make client to be clear if there's any delay on COM will affect to SW
MB confirmed client is sending this week, keep following up for the tracking from client (daily until receievd)
James informed MB schedule is being push out according to COM schedule
</t>
    </r>
    <r>
      <rPr>
        <b/>
        <sz val="14"/>
        <color rgb="FF0000FF"/>
        <rFont val="Aptos Narrow"/>
        <family val="2"/>
        <scheme val="minor"/>
      </rPr>
      <t>=&gt; SW will be pushed out and updated upon the COM schedule</t>
    </r>
  </si>
  <si>
    <t>WK22-28</t>
  </si>
  <si>
    <t>Grand Hyatt Baha Mar – Packaging</t>
  </si>
  <si>
    <t>Customer requested packaging reduction not compliant with standards</t>
  </si>
  <si>
    <r>
      <t xml:space="preserve">No action – maintain current packaging
James to communicate with MB
</t>
    </r>
    <r>
      <rPr>
        <b/>
        <sz val="14"/>
        <rFont val="Aptos Narrow"/>
        <family val="2"/>
        <scheme val="minor"/>
      </rPr>
      <t>"MB keep asking: On the packaging, they really need us to use less where we can, as this is not being handled with trucks and moving around, the container goes direct to site and goods unloaded, unpacked and carried into place
 The issue is waste disposal in the Bahamas is very very expensive, please can we try and reduce"</t>
    </r>
  </si>
  <si>
    <t>WK22-26</t>
  </si>
  <si>
    <t>Grand Hyatt Baha Mar – UV Coating</t>
  </si>
  <si>
    <t>Client request to make UV coating panel</t>
  </si>
  <si>
    <r>
      <t xml:space="preserve">Mijin confirmed to be done early next WK
James already communicate with MB about the affect on SW=&gt; push out to WK30 instead of WK24 as current plan.
Follow up to get their confirmation on which option (to go with UV or not) ?
</t>
    </r>
    <r>
      <rPr>
        <b/>
        <sz val="14"/>
        <rFont val="Aptos Narrow"/>
        <family val="2"/>
        <scheme val="minor"/>
      </rPr>
      <t>MB confirmed: Not doing UV now, no time, but send sample for future reference</t>
    </r>
    <r>
      <rPr>
        <sz val="14"/>
        <rFont val="Aptos Narrow"/>
        <family val="2"/>
        <scheme val="minor"/>
      </rPr>
      <t xml:space="preserve">
</t>
    </r>
    <r>
      <rPr>
        <b/>
        <sz val="14"/>
        <rFont val="Aptos Narrow"/>
        <family val="2"/>
        <scheme val="minor"/>
      </rPr>
      <t>The first shipment will not apply UV</t>
    </r>
  </si>
  <si>
    <t>How will we answer that quesiton on production leadtime. When do we need an aswer from the customer. Share impact on both options.</t>
  </si>
  <si>
    <t>Question: if it's affect to production leadtime?</t>
  </si>
  <si>
    <t>We need the gantt chart to see the immpact if client approve the panel</t>
  </si>
  <si>
    <t>James already sent an email to Michael showing the schedule impact of adding UV Coating. Need an answer from him within this week.</t>
  </si>
  <si>
    <t>JRH – DWG Completion</t>
  </si>
  <si>
    <t>ME confirmed this WK</t>
  </si>
  <si>
    <t xml:space="preserve">Waiting for the drawing to be completed today then Loic/Gary can cofnirm ready date for Mock-up
</t>
  </si>
  <si>
    <t>JRH – Mock-up</t>
  </si>
  <si>
    <t>Bespoke is making mockup? When to be completed</t>
  </si>
  <si>
    <r>
      <t xml:space="preserve">Mock to be done this Friday
Client is reviewing today (3/31) to review with ME team
Drawing pending approval from client, due date is end this WK14
</t>
    </r>
    <r>
      <rPr>
        <b/>
        <sz val="14"/>
        <color rgb="FF0000FF"/>
        <rFont val="Aptos Narrow"/>
        <family val="2"/>
        <scheme val="minor"/>
      </rPr>
      <t>Van follow up with client for the approval</t>
    </r>
    <r>
      <rPr>
        <sz val="14"/>
        <rFont val="Aptos Narrow"/>
        <family val="2"/>
        <scheme val="minor"/>
      </rPr>
      <t xml:space="preserve">
</t>
    </r>
  </si>
  <si>
    <t>WK31-34</t>
  </si>
  <si>
    <r>
      <rPr>
        <sz val="14"/>
        <rFont val="Aptos Narrow"/>
        <family val="2"/>
        <scheme val="minor"/>
      </rPr>
      <t xml:space="preserve"> =&gt; check with client IF THAT is what they want or if an URGENT modification is needed=&gt; Client was okay with the finish. The brass is solid so this is natrual finish so we have to accept for this natural finish=&gt;</t>
    </r>
    <r>
      <rPr>
        <b/>
        <sz val="14"/>
        <color rgb="FF0000FF"/>
        <rFont val="Aptos Narrow"/>
        <family val="2"/>
        <scheme val="minor"/>
      </rPr>
      <t xml:space="preserve"> it must be close enough without too much deviation. to work with Metro and let them know that we understand the natural brass but cannot be too far away either.</t>
    </r>
  </si>
  <si>
    <t>JRH-Drawing</t>
  </si>
  <si>
    <t>Drawing pending approval</t>
  </si>
  <si>
    <r>
      <t xml:space="preserve">HS team is chasing client for approval , there's some revision on the drawing we have revise &amp; shared to client. </t>
    </r>
    <r>
      <rPr>
        <b/>
        <sz val="14"/>
        <color rgb="FF0000FF"/>
        <rFont val="Aptos Narrow"/>
        <family val="2"/>
        <scheme val="minor"/>
      </rPr>
      <t>Approved on 6-Apr.</t>
    </r>
    <r>
      <rPr>
        <sz val="14"/>
        <rFont val="Aptos Narrow"/>
        <family val="2"/>
        <scheme val="minor"/>
      </rPr>
      <t xml:space="preserve">
</t>
    </r>
  </si>
  <si>
    <t>JRH-Handle</t>
  </si>
  <si>
    <t xml:space="preserve">The Door handle </t>
  </si>
  <si>
    <r>
      <t xml:space="preserve">Client will provide handle for us to check the stopper funtion </t>
    </r>
    <r>
      <rPr>
        <b/>
        <sz val="14"/>
        <rFont val="Aptos Narrow"/>
        <family val="2"/>
        <scheme val="minor"/>
      </rPr>
      <t>Apr 7</t>
    </r>
  </si>
  <si>
    <t>JRH – PLASTIC RATTAN PANEL</t>
  </si>
  <si>
    <t>Rattan panel pending approval</t>
  </si>
  <si>
    <r>
      <t>Panel is making (for the plastic rattan option)=&gt; will be ready  Apr/3=&gt;</t>
    </r>
    <r>
      <rPr>
        <b/>
        <sz val="14"/>
        <color rgb="FF0000FF"/>
        <rFont val="Aptos Narrow"/>
        <family val="2"/>
        <scheme val="minor"/>
      </rPr>
      <t xml:space="preserve"> Sending to client in HCM/VN Apr 6</t>
    </r>
    <r>
      <rPr>
        <sz val="14"/>
        <rFont val="Aptos Narrow"/>
        <family val="2"/>
        <scheme val="minor"/>
      </rPr>
      <t xml:space="preserve">
</t>
    </r>
  </si>
  <si>
    <t>JRH – RATTAN NATURAL PANEL</t>
  </si>
  <si>
    <t>Rattan natual option for client review</t>
  </si>
  <si>
    <r>
      <t>Mijin can complete the panel Saturday (4/4)=&gt; client can come to review Monday morning Apr/6=&gt;</t>
    </r>
    <r>
      <rPr>
        <b/>
        <sz val="14"/>
        <color rgb="FF0000FF"/>
        <rFont val="Aptos Narrow"/>
        <family val="2"/>
        <scheme val="minor"/>
      </rPr>
      <t xml:space="preserve"> Sending to client in HCM/VN Apr 6</t>
    </r>
    <r>
      <rPr>
        <sz val="14"/>
        <rFont val="Aptos Narrow"/>
        <family val="2"/>
        <scheme val="minor"/>
      </rPr>
      <t xml:space="preserve">
</t>
    </r>
  </si>
  <si>
    <r>
      <t xml:space="preserve">Current schedule is WK17 with condition : DW approve WK14
=&gt; SW may be pushed out to WK19 if cleint approve WK15. James will communicate with cleint for their awaness. </t>
    </r>
    <r>
      <rPr>
        <b/>
        <sz val="14"/>
        <color rgb="FF0000FF"/>
        <rFont val="Aptos Narrow"/>
        <family val="2"/>
        <scheme val="minor"/>
      </rPr>
      <t xml:space="preserve">=&gt; Loic will take the lead to look at the prototype scheudle </t>
    </r>
  </si>
  <si>
    <t>WK17</t>
  </si>
  <si>
    <t>MH Contract – Schedule Gap</t>
  </si>
  <si>
    <t>WK29 vs WK24 baseline (140D vs 120D standard)</t>
  </si>
  <si>
    <r>
      <t xml:space="preserve">Align with Luc on recovery plan
</t>
    </r>
    <r>
      <rPr>
        <b/>
        <sz val="14"/>
        <rFont val="Aptos Narrow"/>
        <family val="2"/>
        <scheme val="minor"/>
      </rPr>
      <t xml:space="preserve">Communicated with Jedd, okay to confirm SW to client </t>
    </r>
  </si>
  <si>
    <t>Luc</t>
  </si>
  <si>
    <t xml:space="preserve">
Drawing pending revision on Headboard control panel cutout. </t>
  </si>
  <si>
    <t xml:space="preserve">Martin </t>
  </si>
  <si>
    <t>PARK HYATT VANCOUVER- FINISH</t>
  </si>
  <si>
    <r>
      <rPr>
        <b/>
        <sz val="14"/>
        <rFont val="Aptos Narrow"/>
        <family val="2"/>
        <scheme val="minor"/>
      </rPr>
      <t>1 (Metal)</t>
    </r>
    <r>
      <rPr>
        <sz val="14"/>
        <rFont val="Aptos Narrow"/>
        <family val="2"/>
        <scheme val="minor"/>
      </rPr>
      <t xml:space="preserve"> not shipped: just receievd request Apr/4, 
The request to match color from the acrylic color</t>
    </r>
  </si>
  <si>
    <t xml:space="preserve">PARK HYATT VANCOUVER Prototype
</t>
  </si>
  <si>
    <t>Marble</t>
  </si>
  <si>
    <r>
      <rPr>
        <b/>
        <sz val="14"/>
        <rFont val="Aptos Narrow"/>
        <family val="2"/>
        <scheme val="minor"/>
      </rPr>
      <t xml:space="preserve">Traventine: </t>
    </r>
    <r>
      <rPr>
        <sz val="14"/>
        <rFont val="Aptos Narrow"/>
        <family val="2"/>
        <scheme val="minor"/>
      </rPr>
      <t xml:space="preserve">Marble is waiting for purchasing to confirm the swatch we sent is cutting from the slab whihc client approved then we can go ahead to order
WOW: client confim to cut from the approved slab
James will communicate with client to make this clear
</t>
    </r>
    <r>
      <rPr>
        <b/>
        <sz val="14"/>
        <color rgb="FF0000FF"/>
        <rFont val="Aptos Narrow"/>
        <family val="2"/>
        <scheme val="minor"/>
      </rPr>
      <t>All approved</t>
    </r>
    <r>
      <rPr>
        <sz val="14"/>
        <rFont val="Aptos Narrow"/>
        <family val="2"/>
        <scheme val="minor"/>
      </rPr>
      <t xml:space="preserve">
</t>
    </r>
  </si>
  <si>
    <t>W Hotel Las Vegas – LED Issue</t>
  </si>
  <si>
    <t>Defective LED impacts shipment</t>
  </si>
  <si>
    <t>Client confirmed use the substitute and let client know what happened.</t>
  </si>
  <si>
    <t>Michael</t>
  </si>
  <si>
    <t>Silversands Grand Anse</t>
  </si>
  <si>
    <t xml:space="preserve">Complete technical feasibility study on compliance </t>
  </si>
  <si>
    <r>
      <t xml:space="preserve">Complete technical feasibility study on compliance is in progress. Loic has aligned with the team, and we are currently awaiting feedback from the supplier.
</t>
    </r>
    <r>
      <rPr>
        <b/>
        <sz val="14"/>
        <color rgb="FF0000FF"/>
        <rFont val="Aptos Narrow"/>
        <family val="2"/>
        <scheme val="minor"/>
      </rPr>
      <t>Response to client we cannot meet the client the request</t>
    </r>
  </si>
  <si>
    <t>Inquiry Received</t>
  </si>
  <si>
    <t>Marble &amp; Wood panel</t>
  </si>
  <si>
    <r>
      <t>send Apr/3=&gt;</t>
    </r>
    <r>
      <rPr>
        <b/>
        <sz val="14"/>
        <rFont val="Aptos Narrow"/>
        <family val="2"/>
        <scheme val="minor"/>
      </rPr>
      <t xml:space="preserve"> Waiting for approval ( need to approve before Apr 8th to not affect  the Sw)</t>
    </r>
    <r>
      <rPr>
        <sz val="14"/>
        <rFont val="Aptos Narrow"/>
        <family val="2"/>
        <scheme val="minor"/>
      </rPr>
      <t xml:space="preserve">
</t>
    </r>
  </si>
  <si>
    <t>WK31</t>
  </si>
  <si>
    <t xml:space="preserve">	
DWG pending</t>
  </si>
  <si>
    <r>
      <t xml:space="preserve">
3DW submitted pending approval</t>
    </r>
    <r>
      <rPr>
        <b/>
        <sz val="14"/>
        <rFont val="Aptos Narrow"/>
        <family val="2"/>
        <scheme val="minor"/>
      </rPr>
      <t>=&gt; need to approve before Apr 8th to not affect SW</t>
    </r>
  </si>
  <si>
    <t>Reviewing to improve to SW  during July</t>
  </si>
  <si>
    <t>Current SW from WK29-32/ need improve to WK31</t>
  </si>
  <si>
    <t>Drawing to submit for final approval pending</t>
  </si>
  <si>
    <t xml:space="preserve">Need timeline from ME 
HS will work with Loic team </t>
  </si>
  <si>
    <t>Waiting client sample/panel</t>
  </si>
  <si>
    <r>
      <t xml:space="preserve">FC </t>
    </r>
    <r>
      <rPr>
        <b/>
        <sz val="14"/>
        <color theme="1"/>
        <rFont val="Aptos Narrow"/>
        <family val="2"/>
        <scheme val="minor"/>
      </rPr>
      <t>OCT/2026</t>
    </r>
  </si>
  <si>
    <t>Pending Gatt chart</t>
  </si>
  <si>
    <t>Need schedule from planing team</t>
  </si>
  <si>
    <r>
      <t xml:space="preserve">NOR </t>
    </r>
    <r>
      <rPr>
        <b/>
        <sz val="14"/>
        <color theme="1"/>
        <rFont val="Aptos Narrow"/>
        <family val="2"/>
        <scheme val="minor"/>
      </rPr>
      <t>JUL/AUG</t>
    </r>
  </si>
  <si>
    <t>Interior panels</t>
  </si>
  <si>
    <r>
      <t xml:space="preserve">Check with ME&amp; FIN if we need to develop interior panels
</t>
    </r>
    <r>
      <rPr>
        <b/>
        <sz val="14"/>
        <color theme="1"/>
        <rFont val="Aptos Narrow"/>
        <family val="2"/>
        <scheme val="minor"/>
      </rPr>
      <t xml:space="preserve">Mijin to defind what kind of finish to apply </t>
    </r>
  </si>
  <si>
    <t>Pending Drawing</t>
  </si>
  <si>
    <t xml:space="preserve">Need timeline from ME 
HS to work with Me separately, </t>
  </si>
  <si>
    <r>
      <t xml:space="preserve">FC </t>
    </r>
    <r>
      <rPr>
        <b/>
        <sz val="14"/>
        <color theme="1"/>
        <rFont val="Aptos Narrow"/>
        <family val="2"/>
        <scheme val="minor"/>
      </rPr>
      <t>AUG/2026</t>
    </r>
  </si>
  <si>
    <r>
      <rPr>
        <b/>
        <sz val="14"/>
        <color theme="1"/>
        <rFont val="Aptos Narrow"/>
        <family val="2"/>
        <scheme val="minor"/>
      </rPr>
      <t>1. Straigh LED:</t>
    </r>
    <r>
      <rPr>
        <sz val="14"/>
        <color theme="1"/>
        <rFont val="Aptos Narrow"/>
        <family val="2"/>
        <scheme val="minor"/>
      </rPr>
      <t xml:space="preserve"> change the deffuser to the clear one, the adpter change to DaLI 2: delay SW from WK16&amp;18 to WK19. Communicated with MB and they want us to pay for AIR freight. 
</t>
    </r>
    <r>
      <rPr>
        <b/>
        <sz val="14"/>
        <color theme="1"/>
        <rFont val="Aptos Narrow"/>
        <family val="2"/>
        <scheme val="minor"/>
      </rPr>
      <t>2. FLEXI LED</t>
    </r>
    <r>
      <rPr>
        <sz val="14"/>
        <color theme="1"/>
        <rFont val="Aptos Narrow"/>
        <family val="2"/>
        <scheme val="minor"/>
      </rPr>
      <t>: need to change the LED , SW is unchanged (WK20-22)</t>
    </r>
  </si>
  <si>
    <t>1122 MADISION</t>
  </si>
  <si>
    <t>Handle sample</t>
  </si>
  <si>
    <t>Pending quotation=&gt; cannot raise PR</t>
  </si>
  <si>
    <t>15 Drawings pending aproval (DUE WK14)</t>
  </si>
  <si>
    <t>Current SW is WK23, Van will communicate with MB clearly on projecttime line, and when they can provide us the approval then we will reconfim the new SW</t>
  </si>
  <si>
    <t>2 Marble pending approval (Due WK13)</t>
  </si>
  <si>
    <t>VALUE</t>
  </si>
  <si>
    <t>2027</t>
  </si>
  <si>
    <t>2026-L&amp;S-FAENA TULLUM (FTMX)</t>
  </si>
  <si>
    <t>2025-L&amp;S-RITZ CARLTON COTTON BAY</t>
  </si>
  <si>
    <t>2026-BROOKFIELD-PARK HYATT VANCOUVER</t>
  </si>
  <si>
    <t>2025-FLEETWOOD -W-HOTEL-LAS-VEGAS</t>
  </si>
  <si>
    <t>2026-L&amp;S-HARD ROCK SAN JUAN</t>
  </si>
  <si>
    <t>2026-SPECTRUM-OTMB VANITY</t>
  </si>
  <si>
    <t>2026-AYALA-KHOBAR HILTON CANOPY HOTEL</t>
  </si>
  <si>
    <t xml:space="preserve">2026-BENJAMIN-HACIENDA HOTEL LISBON PORTUGAL </t>
  </si>
  <si>
    <t>2026-SPECTRUM-PROJECT 550</t>
  </si>
  <si>
    <t>2026-SH-OAKLEY COURT MINI BAR BRIEF</t>
  </si>
  <si>
    <t>2026-BISCAYNE-SLPSC</t>
  </si>
  <si>
    <t>2026-BISCAYNE-AGSR - ARIZONA GRAND SUITES - MODEL ROOM</t>
  </si>
  <si>
    <t>2026-MV-CLEVELAND CLINIC</t>
  </si>
  <si>
    <t>2026-SPECTRUM-PROJECT 550 POCKET DOORS</t>
  </si>
  <si>
    <t>2026-RH-RH TRUMP SUITES NYC</t>
  </si>
  <si>
    <t>2026-RH-RITZ DOVE MOUNTAIN</t>
  </si>
  <si>
    <t>2025-RH-TRUMP LAS VEGAS PENTHOUSES</t>
  </si>
  <si>
    <t>2026-RH-CIA O&amp;O GUESTROOMS</t>
  </si>
  <si>
    <t>2026-RH-RED SEA</t>
  </si>
  <si>
    <t>2026-RH-FOUR SEASONS  DENVER</t>
  </si>
  <si>
    <t>2026-RH-CUSTOM BEDS FOR EU</t>
  </si>
  <si>
    <t xml:space="preserve">2026-RH-DANCING BEAR </t>
  </si>
  <si>
    <t>2026-RH-FOOTES REST</t>
  </si>
  <si>
    <t xml:space="preserve">2026-RH-ALTERRA_DEER VALLEY </t>
  </si>
  <si>
    <t>2026-RH-GRAND HYATT BAHA MAR-PHASE 2</t>
  </si>
  <si>
    <t xml:space="preserve">2026-RH-DEER VALLEY  </t>
  </si>
  <si>
    <t>2026-RH-MAUNA LANI</t>
  </si>
  <si>
    <t xml:space="preserve">2026-RH-SUNRIVER RESORT </t>
  </si>
  <si>
    <t>Sum of COUNT</t>
  </si>
  <si>
    <t>(blank)</t>
  </si>
  <si>
    <t>2026/W42</t>
  </si>
  <si>
    <t>2026/W44</t>
  </si>
  <si>
    <t>2026/W37</t>
  </si>
  <si>
    <t>2026/W40</t>
  </si>
  <si>
    <t>2026/W46</t>
  </si>
  <si>
    <t>2026/W49</t>
  </si>
  <si>
    <t>2026-BISCAYNE-PARK_AVENUE_HOTEL</t>
  </si>
  <si>
    <t>2026/W39</t>
  </si>
  <si>
    <t>2026/W38</t>
  </si>
  <si>
    <t>2026/W47</t>
  </si>
  <si>
    <t>2026-BISCAYNE-AGV MODEL ROOM</t>
  </si>
  <si>
    <t>2027/W01</t>
  </si>
  <si>
    <t>2027/W02</t>
  </si>
  <si>
    <t>2026-BISCAYNE-SPA</t>
  </si>
  <si>
    <t>2027/W03</t>
  </si>
  <si>
    <t>2027/W04</t>
  </si>
  <si>
    <t>2026/W48</t>
  </si>
  <si>
    <t>2026-RH-GRAND HYATT DENVER</t>
  </si>
  <si>
    <t>2026/W41</t>
  </si>
  <si>
    <t>2026/W43</t>
  </si>
  <si>
    <t>2026/W52</t>
  </si>
  <si>
    <t>2026/W45</t>
  </si>
  <si>
    <t>2027/W09</t>
  </si>
  <si>
    <t>2027/W11</t>
  </si>
  <si>
    <t>2026-RH-RANCHO VALENCIA</t>
  </si>
  <si>
    <t>2027/W15</t>
  </si>
  <si>
    <t>2027/W16</t>
  </si>
  <si>
    <t>2027/W19</t>
  </si>
  <si>
    <t>2027/W26</t>
  </si>
  <si>
    <t>2027/W10</t>
  </si>
  <si>
    <t xml:space="preserve">2026-RH-COMPETITIVE EDGE </t>
  </si>
  <si>
    <t>2026-RH-RITZ CABO VILLA</t>
  </si>
  <si>
    <t>CONT</t>
  </si>
  <si>
    <t>Sum of PROJECT BREAK VALUE</t>
  </si>
  <si>
    <t>NPD Sum</t>
  </si>
  <si>
    <t>NPI Sum</t>
  </si>
  <si>
    <t>TBC-BISCAYNE-PARK_AVENUE_HOTEL</t>
  </si>
  <si>
    <t>BIEN Sum</t>
  </si>
  <si>
    <t>Check vs c Van confirm FC sx -&gt; Nói Michael cho BOQ sx để prepare capacity</t>
  </si>
  <si>
    <t>DUNG Sum</t>
  </si>
  <si>
    <t xml:space="preserve">2026-RH-NAMA LISBON-PUBLIC SPACE </t>
  </si>
  <si>
    <t>DUY Sum</t>
  </si>
  <si>
    <t>2026-FLEETWOOD -WALDORF ASTORIA DEER VALLEY</t>
  </si>
  <si>
    <t>2026-TRIMA-JOIA TIERRA DEL SOL</t>
  </si>
  <si>
    <t>THAO Sum</t>
  </si>
  <si>
    <t>2026-BISCAYNE-AGSR - ARIZONA GRAND SUITES - EXTRA</t>
  </si>
  <si>
    <t>TRAN Sum</t>
  </si>
  <si>
    <t>PHONG Sum</t>
  </si>
  <si>
    <t>Values</t>
  </si>
  <si>
    <t>Total Value</t>
  </si>
  <si>
    <t>ROSEWOOD CALISTOGA SAMPLE - Sue Bilstad</t>
  </si>
  <si>
    <t>ROSEWOOD CALISTOGA MAIN RUN - Sue Bilstad</t>
  </si>
  <si>
    <t>SUN RIVER RESORT MR - Monica Cuevas</t>
  </si>
  <si>
    <t>RH CASSIE CONDO - Sue Bilstad</t>
  </si>
  <si>
    <t>SNAKE RIVER LODGE - Madison Lay</t>
  </si>
  <si>
    <t>NAMA LISBON  - Madison Lay </t>
  </si>
  <si>
    <t>ST REGIS KANAI - Sue Bilstad</t>
  </si>
  <si>
    <t>VICEROY SUGAR BEACH - Madison Lay </t>
  </si>
  <si>
    <t>TRUMP DORAL - Madison Lay </t>
  </si>
  <si>
    <t>CUSTOM MIYU TABLES - Caroline Dillard</t>
  </si>
  <si>
    <t>KINDERED KEYSTONE - Monica Cuevas </t>
  </si>
  <si>
    <t>CAUD WELL - Madison Lay </t>
  </si>
  <si>
    <t>AWH TOP NOTCH - Madison Lay</t>
  </si>
  <si>
    <t>GRAND HYATT DENVER - Sue Bilstad</t>
  </si>
  <si>
    <t>RH TRUMP SUITES NYC - Sue Bilstad</t>
  </si>
  <si>
    <t>COMPETITIVE EDGE - Caroline Dillard</t>
  </si>
  <si>
    <t>RITZ DOVE MTN - Madison Lay</t>
  </si>
  <si>
    <t>CIA O&amp;O - Sue Bilstad</t>
  </si>
  <si>
    <t>BELGROVE VILLAS - Natasha Funk </t>
  </si>
  <si>
    <t>New Adds in Pipeline </t>
  </si>
  <si>
    <t>FOOTES REST SAMPLE - Madison Lay</t>
  </si>
  <si>
    <t>FOOTES REST MAIN RUN - Madison Lay</t>
  </si>
  <si>
    <t>HOTEL CLEO TENERIFE - Madison Lay</t>
  </si>
  <si>
    <t>AHMADIAH</t>
  </si>
  <si>
    <t>AYALA</t>
  </si>
  <si>
    <t>BENJAMIN</t>
  </si>
  <si>
    <t>BROOKFIELD</t>
  </si>
  <si>
    <t>COSMIC REALTY</t>
  </si>
  <si>
    <t xml:space="preserve">FLEETWOOD </t>
  </si>
  <si>
    <t>25% desposit, 75% period shipment</t>
  </si>
  <si>
    <t>MOHI</t>
  </si>
  <si>
    <t>KD</t>
  </si>
  <si>
    <t>L&amp;S</t>
  </si>
  <si>
    <t>RSC</t>
  </si>
  <si>
    <t>SPECTRUM</t>
  </si>
  <si>
    <t>THE PARKER</t>
  </si>
  <si>
    <t>TRIMA</t>
  </si>
  <si>
    <t>HENDERSON</t>
  </si>
  <si>
    <t>HBA</t>
  </si>
  <si>
    <t>BISCAYNE</t>
  </si>
  <si>
    <t xml:space="preserve">BWG </t>
  </si>
  <si>
    <t>SH</t>
  </si>
  <si>
    <t>AG</t>
  </si>
  <si>
    <t>MV</t>
  </si>
  <si>
    <t>SHIP MONTH</t>
  </si>
  <si>
    <t>VENEER/WOOD
DATE</t>
  </si>
  <si>
    <t>MARBLE
DATE</t>
  </si>
  <si>
    <t>METAL
DATE</t>
  </si>
  <si>
    <t>MIRROR
DATE</t>
  </si>
  <si>
    <t>ELECTRICAL
DATE</t>
  </si>
  <si>
    <t>FABRIC
DATE</t>
  </si>
  <si>
    <t>1/2.
 DESIGN &amp; DEV
PLANNED FINISH</t>
  </si>
  <si>
    <t>1/2. 
DESIGN &amp; DEV
ACTUAL FINISH</t>
  </si>
  <si>
    <t>3. 
BOM PLANNED
FINISH</t>
  </si>
  <si>
    <t>3. 
BOM ACTUAL
FINISH</t>
  </si>
  <si>
    <t>4. 
PROTOTYPE
PLANNED FINISH</t>
  </si>
  <si>
    <t>4. 
PROTOTYPE
ACTUAL COMPLETE</t>
  </si>
  <si>
    <t>5/6. PRODUCTION
PLANNED FINISH</t>
  </si>
  <si>
    <t>5/6. PRODUCTION
ACTUAL FINISH</t>
  </si>
  <si>
    <t>2026/W22-35</t>
  </si>
  <si>
    <t>2026/W22</t>
  </si>
  <si>
    <t>2026/W35</t>
  </si>
  <si>
    <t>2026/W14</t>
  </si>
  <si>
    <t>31/7-7/8</t>
  </si>
  <si>
    <t>2026/W29-35</t>
  </si>
  <si>
    <t>2026/W15</t>
  </si>
  <si>
    <t>4. Prototype</t>
  </si>
  <si>
    <t>2026/W24</t>
  </si>
  <si>
    <t>TRUMP NYC</t>
  </si>
  <si>
    <t>2026/W23</t>
  </si>
  <si>
    <t>2026/W32</t>
  </si>
  <si>
    <t>2026/W32/33/34</t>
  </si>
  <si>
    <t>2026/W18</t>
  </si>
  <si>
    <t>2026/W31</t>
  </si>
  <si>
    <t>2026/W29-31</t>
  </si>
  <si>
    <t>2026/W34-37</t>
  </si>
  <si>
    <t>2026/W16</t>
  </si>
  <si>
    <t>2026/W18/20/22</t>
  </si>
  <si>
    <t>2026/W19</t>
  </si>
  <si>
    <t>2026/W34</t>
  </si>
  <si>
    <t>2026/W36/37/38/39/41/42/45/46</t>
  </si>
  <si>
    <t>2026/W20/21</t>
  </si>
  <si>
    <t>2026/W20</t>
  </si>
  <si>
    <t>2026/W21</t>
  </si>
  <si>
    <t>2026/W12</t>
  </si>
  <si>
    <t>2026/W26</t>
  </si>
  <si>
    <t>2026/W30</t>
  </si>
  <si>
    <t>2026/W27</t>
  </si>
  <si>
    <t>Caribbean</t>
  </si>
  <si>
    <t>2026/SW32</t>
  </si>
  <si>
    <t>RH BRANDYWISE</t>
  </si>
  <si>
    <t>NPD to NPI</t>
  </si>
  <si>
    <t>SUNRIVER RESORT MR</t>
  </si>
  <si>
    <t>SUB-STAGE</t>
  </si>
  <si>
    <t>STAGE NOTES</t>
  </si>
  <si>
    <t>APPLICABLE STATUS</t>
  </si>
  <si>
    <t>DESCRIPTION</t>
  </si>
  <si>
    <t>DESIGN &amp; COSTING</t>
  </si>
  <si>
    <t>FC, VIEW</t>
  </si>
  <si>
    <t>Concept Design in Progress</t>
  </si>
  <si>
    <t>Costing in Progress</t>
  </si>
  <si>
    <t>Quotation Submitted</t>
  </si>
  <si>
    <t>Negotiation in Progress</t>
  </si>
  <si>
    <t>Quotation Approved</t>
  </si>
  <si>
    <t>PRE-PRODUCTION</t>
  </si>
  <si>
    <t>Waiting for PO, Production Scheduled, Drawing Approved</t>
  </si>
  <si>
    <t>Awaiting official PO; production &amp; drawing approved, but not started</t>
  </si>
  <si>
    <t>PO Received – Waiting for Deposit – Drawing Approved</t>
  </si>
  <si>
    <t>PO received, deposit pending; drawing approved</t>
  </si>
  <si>
    <t>PO Received – Waiting for Deposit – Drawing in Progress</t>
  </si>
  <si>
    <t>PO received, deposit pending; drawing ongoing</t>
  </si>
  <si>
    <t>PO Received – Waiting for Deposit – Drawing Submitted – Pending Client Feedback</t>
  </si>
  <si>
    <t>PO received, deposit pending; drawing submitted, awaiting feedback</t>
  </si>
  <si>
    <t>PO Received – Waiting for Deposit – Drawing Revision in Progress</t>
  </si>
  <si>
    <t>PO received, deposit pending; drawing revising</t>
  </si>
  <si>
    <t>PO &amp; Deposit Received – Drawing in Progress</t>
  </si>
  <si>
    <t>PO &amp; deposit received; drawing ongoing</t>
  </si>
  <si>
    <t>PO &amp; Deposit Received – Drawing Submitted – Pending Client Feedback</t>
  </si>
  <si>
    <t>PO &amp; deposit received; drawing submitted, awaiting feedback</t>
  </si>
  <si>
    <t>PO &amp; Deposit Received – Drawing Revision in Progress</t>
  </si>
  <si>
    <t>PO &amp; deposit received; drawing revising</t>
  </si>
  <si>
    <t>PO &amp; Deposit Received – Drawing Approved – Pending Production Scheduling</t>
  </si>
  <si>
    <t>PO &amp; deposit received; drawing approved; awaiting schedule</t>
  </si>
  <si>
    <t>Pending schedule, Pending deposit-PO Received, Drawing approved.</t>
  </si>
  <si>
    <t>Pending schedule, Deposit&amp;PO Received, Drawing approved.</t>
  </si>
  <si>
    <t>In Production</t>
  </si>
  <si>
    <t>Production in progress (PO + deposit + approved drawings)</t>
  </si>
  <si>
    <t>QC in Progress</t>
  </si>
  <si>
    <t>Quality control inspection ongoing</t>
  </si>
  <si>
    <t>INALIZATION &amp; SHIPPING</t>
  </si>
  <si>
    <t>Waiting for QC Approval</t>
  </si>
  <si>
    <t>Production completed, pending QC approval</t>
  </si>
  <si>
    <t>FINALIZATION &amp; SHIPPING</t>
  </si>
  <si>
    <t>Booking in Progress</t>
  </si>
  <si>
    <t>Shipment booking in progress</t>
  </si>
  <si>
    <t>Ready to Ship</t>
  </si>
  <si>
    <t>Goods ready for dispatch</t>
  </si>
  <si>
    <t>Goods shipped</t>
  </si>
  <si>
    <t>Prototype in Progress</t>
  </si>
  <si>
    <t>FC, NOR</t>
  </si>
  <si>
    <t>Prototype/sample under development</t>
  </si>
  <si>
    <t>Drawing Submitted – Pending Client Feedback</t>
  </si>
  <si>
    <t>Drawing in Progress</t>
  </si>
  <si>
    <t>WAITING OFFICIAL PO</t>
  </si>
  <si>
    <t>Waiting for Prototype Completion &amp; Official PO</t>
  </si>
  <si>
    <t>Prototype in progress, awaiting PO</t>
  </si>
  <si>
    <t>NOR, FC</t>
  </si>
  <si>
    <t>Prototype approved, waiting for official PO</t>
  </si>
  <si>
    <t>Waiting for Official PO</t>
  </si>
  <si>
    <t>Drawing Submitted-Waiting for Official PO</t>
  </si>
  <si>
    <t>Sample completed/shipped-Waiting for Official PO</t>
  </si>
  <si>
    <t>Sample completed/shipped-Drawing Revision in Progress</t>
  </si>
  <si>
    <t>Sample completed/shipped-Drawing Submitted – Pending Client Feedback</t>
  </si>
  <si>
    <t>VIEWING</t>
  </si>
  <si>
    <t>Viewing Only</t>
  </si>
  <si>
    <t>VIEW</t>
  </si>
  <si>
    <t>For reference/tracking only, not active</t>
  </si>
  <si>
    <t>WK#</t>
  </si>
  <si>
    <t>MONTH</t>
  </si>
  <si>
    <t>START</t>
  </si>
  <si>
    <t>Friday of WK</t>
  </si>
  <si>
    <t>LAST</t>
  </si>
  <si>
    <t>PRODUCTION WEEK</t>
  </si>
  <si>
    <t>TOTAL WEEKS/MONTH</t>
  </si>
  <si>
    <t>REMARK</t>
  </si>
  <si>
    <t>Mon</t>
  </si>
  <si>
    <t>Sunday</t>
  </si>
  <si>
    <t>2026/W01</t>
  </si>
  <si>
    <t>Jan</t>
  </si>
  <si>
    <t>New Year</t>
  </si>
  <si>
    <t>2026/W02</t>
  </si>
  <si>
    <t>2026/W03</t>
  </si>
  <si>
    <t>2026/W04</t>
  </si>
  <si>
    <t>2026/W05</t>
  </si>
  <si>
    <t>2026/W06</t>
  </si>
  <si>
    <t>Feb</t>
  </si>
  <si>
    <t>Pre-Tet: Low efficiency</t>
  </si>
  <si>
    <t>2026/W07</t>
  </si>
  <si>
    <t>Lunar New Year (start Feb 12)</t>
  </si>
  <si>
    <t>2026/W08</t>
  </si>
  <si>
    <t>Lunar New Year</t>
  </si>
  <si>
    <t>2026/W09</t>
  </si>
  <si>
    <t>Lunar New Year (end Mar 01)</t>
  </si>
  <si>
    <t xml:space="preserve">Note: End date is extended from Feb 25 to Mar 01 </t>
  </si>
  <si>
    <t>2026/W10</t>
  </si>
  <si>
    <t>Mar</t>
  </si>
  <si>
    <t>Post-Tet: Low efficiency</t>
  </si>
  <si>
    <t>2026/W11</t>
  </si>
  <si>
    <t>2026/W17</t>
  </si>
  <si>
    <t>Hung King’s Commemoration (Apr 27), 
Victory day (4/30) &amp; Int'l Labor Day (5/1)</t>
  </si>
  <si>
    <t>Jun</t>
  </si>
  <si>
    <t>2026/W25</t>
  </si>
  <si>
    <t>Jul</t>
  </si>
  <si>
    <t>2026/W28</t>
  </si>
  <si>
    <t>Aug</t>
  </si>
  <si>
    <t>2026/W33</t>
  </si>
  <si>
    <t>2026/W36</t>
  </si>
  <si>
    <t>Sep</t>
  </si>
  <si>
    <t>National Day (9/1 &amp; 9/2)</t>
  </si>
  <si>
    <t>Oct</t>
  </si>
  <si>
    <t>Nov</t>
  </si>
  <si>
    <t>Vietnam’s Culture Day (11/24)v</t>
  </si>
  <si>
    <t>Dec</t>
  </si>
  <si>
    <t>2026/W50</t>
  </si>
  <si>
    <t>2026/W51</t>
  </si>
  <si>
    <t>2027/W05</t>
  </si>
  <si>
    <t>2027/W06</t>
  </si>
  <si>
    <t>2027/W07</t>
  </si>
  <si>
    <t>2027/W08</t>
  </si>
  <si>
    <t>2027/W12</t>
  </si>
  <si>
    <t>2027/W13</t>
  </si>
  <si>
    <t>2027/W14</t>
  </si>
  <si>
    <t>Hung King’s Commemoration (Apr 16, 2027)</t>
  </si>
  <si>
    <t>2027/W17</t>
  </si>
  <si>
    <t>2027/W18</t>
  </si>
  <si>
    <t>Victory day (4/30) &amp; Int'l Labor Day (5/1)</t>
  </si>
  <si>
    <t>2027/W20</t>
  </si>
  <si>
    <t>2027/W21</t>
  </si>
  <si>
    <t>2027/W22</t>
  </si>
  <si>
    <t>2027/W23</t>
  </si>
  <si>
    <t>2027/W24</t>
  </si>
  <si>
    <t>2027/W25</t>
  </si>
  <si>
    <t>2027/W27</t>
  </si>
  <si>
    <t>2027/W28</t>
  </si>
  <si>
    <t>2027/W29</t>
  </si>
  <si>
    <t>2027/W30</t>
  </si>
  <si>
    <t>2027/W31</t>
  </si>
  <si>
    <t>2027/W32</t>
  </si>
  <si>
    <t>2027/W33</t>
  </si>
  <si>
    <t>2027/W34</t>
  </si>
  <si>
    <t>2027/W35</t>
  </si>
  <si>
    <t>2027/W36</t>
  </si>
  <si>
    <t>2027/W37</t>
  </si>
  <si>
    <t>2027/W38</t>
  </si>
  <si>
    <t>2027/W39</t>
  </si>
  <si>
    <t>2027/W40</t>
  </si>
  <si>
    <t>2027/W41</t>
  </si>
  <si>
    <t>2027/W42</t>
  </si>
  <si>
    <t>2027/W43</t>
  </si>
  <si>
    <t>2027/W44</t>
  </si>
  <si>
    <t>2027/W45</t>
  </si>
  <si>
    <t>2027/W46</t>
  </si>
  <si>
    <t>2027/W47</t>
  </si>
  <si>
    <t>2027/W48</t>
  </si>
  <si>
    <t>Vietnam’s Culture Day (11/24)</t>
  </si>
  <si>
    <t>2027/W49</t>
  </si>
  <si>
    <t>2027/W50</t>
  </si>
  <si>
    <t>2027/W51</t>
  </si>
  <si>
    <t>2027/W52</t>
  </si>
  <si>
    <t>(Multiple Items)</t>
  </si>
  <si>
    <t>COMMERCIAL PROJECTS - FOLDER STRUCTURE &amp; NAMING CONVENTION</t>
  </si>
  <si>
    <t>LEVEL</t>
  </si>
  <si>
    <t>CODE</t>
  </si>
  <si>
    <t>FOLDER NAME</t>
  </si>
  <si>
    <t>NAMING CONVENTION</t>
  </si>
  <si>
    <t>EXAMPLE</t>
  </si>
  <si>
    <t>VERSION CONTROL</t>
  </si>
  <si>
    <t>NOTES</t>
  </si>
  <si>
    <t>COMMERCIAL PROJECTS</t>
  </si>
  <si>
    <t>Root folder for all commercial projects</t>
  </si>
  <si>
    <t>Main folder - do not rename</t>
  </si>
  <si>
    <t>GENERAL POLICIES &amp; COMPLIANCE</t>
  </si>
  <si>
    <t>Company policies, compliance docs</t>
  </si>
  <si>
    <t>[CATEGORY NAME]</t>
  </si>
  <si>
    <t>Contains general policies</t>
  </si>
  <si>
    <t>PROCESS</t>
  </si>
  <si>
    <t>SOPs, workflows, procedures</t>
  </si>
  <si>
    <t>Work procedures</t>
  </si>
  <si>
    <t>FORMS &amp; TEMPLATES</t>
  </si>
  <si>
    <t>Standard forms and templates</t>
  </si>
  <si>
    <t>Standard templates</t>
  </si>
  <si>
    <t>GENERAL REPORTS</t>
  </si>
  <si>
    <t>Monthly/quarterly reports</t>
  </si>
  <si>
    <t>[REPORT TYPE]_[YYYY-MM]</t>
  </si>
  <si>
    <t>MONTHLY_REPORT_2026-05</t>
  </si>
  <si>
    <t>Latest = no suffix</t>
  </si>
  <si>
    <t>Summary reports</t>
  </si>
  <si>
    <t>TRACKERS</t>
  </si>
  <si>
    <t>Master trackers, dashboards</t>
  </si>
  <si>
    <t>[TRACKER NAME]_MASTER</t>
  </si>
  <si>
    <t>PROJECT_TRACKER_MASTER</t>
  </si>
  <si>
    <t>Main tracking files</t>
  </si>
  <si>
    <t>ARCHIVE OLD</t>
  </si>
  <si>
    <t>Archived old files and documents</t>
  </si>
  <si>
    <t>Archive folder for old files</t>
  </si>
  <si>
    <t>PROJECTS</t>
  </si>
  <si>
    <t>All client folders</t>
  </si>
  <si>
    <t>[CLIENT TYPE]</t>
  </si>
  <si>
    <t>RH / NON RH</t>
  </si>
  <si>
    <t>Categorize by client type</t>
  </si>
  <si>
    <t>1.7.1</t>
  </si>
  <si>
    <t>Restoration Hardware projects</t>
  </si>
  <si>
    <t>RH client projects</t>
  </si>
  <si>
    <t>1.7.2</t>
  </si>
  <si>
    <t>Non-RH client projects</t>
  </si>
  <si>
    <t>Other client projects</t>
  </si>
  <si>
    <t>1.7.x.1</t>
  </si>
  <si>
    <t>PROJECT FOLDER</t>
  </si>
  <si>
    <t>Individual project folder</t>
  </si>
  <si>
    <t>[YYYY]_[CUST]_[PROJECT]</t>
  </si>
  <si>
    <t>2026_RH_GRAND HYATT BAHA MAR</t>
  </si>
  <si>
    <t>Project folder - naming is critical!</t>
  </si>
  <si>
    <t>1.7.x.1.1</t>
  </si>
  <si>
    <t>PROTOTYPE</t>
  </si>
  <si>
    <t>Prototype phase folder (12 folders)</t>
  </si>
  <si>
    <t>Contains 09_PHOTO for prototype photos</t>
  </si>
  <si>
    <t>1.7.x.1.2</t>
  </si>
  <si>
    <t>MAIN_RUN</t>
  </si>
  <si>
    <t>Main production run folder (11 folders)</t>
  </si>
  <si>
    <t>No PHOTO folder - production phase</t>
  </si>
  <si>
    <t>1.7.x.1.2.1</t>
  </si>
  <si>
    <t>01_PROJECT MGT</t>
  </si>
  <si>
    <t>Project management file</t>
  </si>
  <si>
    <t>PM_[PROJECT]_MASTER.xlsx</t>
  </si>
  <si>
    <t>1.7.x.1.2.2</t>
  </si>
  <si>
    <t>02_BOQ</t>
  </si>
  <si>
    <t>Bill of Quantities</t>
  </si>
  <si>
    <t>Current = no version suffix</t>
  </si>
  <si>
    <t>📁 _ARCHIVE for old versions</t>
  </si>
  <si>
    <t>1.7.x.1.2.3</t>
  </si>
  <si>
    <t>03_PO</t>
  </si>
  <si>
    <t>Purchase Orders</t>
  </si>
  <si>
    <t>1.7.x.1.2.4</t>
  </si>
  <si>
    <t>04_DRAWING &amp; SPEC</t>
  </si>
  <si>
    <t>Technical drawings &amp; specifications</t>
  </si>
  <si>
    <t>See subfolder structure</t>
  </si>
  <si>
    <t>Version subfolders inside</t>
  </si>
  <si>
    <t>1.7.x.1.2.5</t>
  </si>
  <si>
    <t>05_FINISH</t>
  </si>
  <si>
    <t>Finish samples &amp; approvals</t>
  </si>
  <si>
    <t>Same structure as DRAWING &amp; SPEC</t>
  </si>
  <si>
    <t>1.7.x.1.2.6</t>
  </si>
  <si>
    <t>06_COSTING</t>
  </si>
  <si>
    <t>Cost breakdowns, changes</t>
  </si>
  <si>
    <t>V01-YYMMDD format</t>
  </si>
  <si>
    <t>COST_[PROJECT]_V01-260115.xlsx</t>
  </si>
  <si>
    <t>1.7.x.1.2.7</t>
  </si>
  <si>
    <t>07_PAYMENT</t>
  </si>
  <si>
    <t>Invoices, receipts</t>
  </si>
  <si>
    <t>INV_[TYPE]_[NO]_YYMMDD.pdf</t>
  </si>
  <si>
    <t>1.7.x.1.2.8</t>
  </si>
  <si>
    <t>08_SHIPMENT</t>
  </si>
  <si>
    <t>Shipping docs, packing lists</t>
  </si>
  <si>
    <t>3 subfolders: Schedule, Packing, Docs</t>
  </si>
  <si>
    <t>1.7.x.1.2.9</t>
  </si>
  <si>
    <t>09_COMPLIANCE</t>
  </si>
  <si>
    <t>Testing, OBA, compliance docs</t>
  </si>
  <si>
    <t>3 subfolders: Testing, OBA, Compliance</t>
  </si>
  <si>
    <t>1.7.x.1.2.10</t>
  </si>
  <si>
    <t>10_CORRESPONDENCE</t>
  </si>
  <si>
    <t>Emails, meeting notes</t>
  </si>
  <si>
    <t>EMAIL_[TOPIC]_YYMMDD.pdf</t>
  </si>
  <si>
    <t>1.7.x.1.2.11</t>
  </si>
  <si>
    <t>11_ARCHIVE</t>
  </si>
  <si>
    <t>Historical data and archived files</t>
  </si>
  <si>
    <t>Store old/historical project data</t>
  </si>
  <si>
    <t>⚠️ PROTOTYPE vs MAIN_RUN FOLDER DIFFERENCE</t>
  </si>
  <si>
    <t>PHASE</t>
  </si>
  <si>
    <t>FOLDERS</t>
  </si>
  <si>
    <t>DIFFERENCE</t>
  </si>
  <si>
    <t>12 folders</t>
  </si>
  <si>
    <t>Has 09_PHOTO for prototype development photos</t>
  </si>
  <si>
    <t>11 folders</t>
  </si>
  <si>
    <t>No PHOTO folder - production phase doesn't need photo documentation</t>
  </si>
  <si>
    <t>PROTOTYPE FOLDER STRUCTURE (12 Folders)</t>
  </si>
  <si>
    <t>1.7.x.1.1.1</t>
  </si>
  <si>
    <t>1.7.x.1.1.2</t>
  </si>
  <si>
    <t>1.7.x.1.1.3</t>
  </si>
  <si>
    <t>1.7.x.1.1.4</t>
  </si>
  <si>
    <t>1.7.x.1.1.5</t>
  </si>
  <si>
    <t>1.7.x.1.1.6</t>
  </si>
  <si>
    <t>1.7.x.1.1.7</t>
  </si>
  <si>
    <t>1.7.x.1.1.8</t>
  </si>
  <si>
    <t>1.7.x.1.1.9</t>
  </si>
  <si>
    <t>09_PHOTO</t>
  </si>
  <si>
    <t>Prototype photos &amp; images</t>
  </si>
  <si>
    <t>PHOTO_[ITEM]_[TYPE]_YYMMDD.jpg</t>
  </si>
  <si>
    <t>1.7.x.1.1.10</t>
  </si>
  <si>
    <t>10_COMPLIANCE</t>
  </si>
  <si>
    <t>SUBFOLDER NAME</t>
  </si>
  <si>
    <t>FORMAT</t>
  </si>
  <si>
    <t>SUBFOLDERS INSIDE</t>
  </si>
  <si>
    <t>FILE NAMING</t>
  </si>
  <si>
    <t>01_FROM_CLIENT</t>
  </si>
  <si>
    <t>[SEQ]_FROM_CLIENT</t>
  </si>
  <si>
    <t>Original specs/drawings from client</t>
  </si>
  <si>
    <t>📁 BY_BATCH, BY_SKU</t>
  </si>
  <si>
    <t>CLIENT_[DOC TYPE]_YYMMDD.pdf</t>
  </si>
  <si>
    <t xml:space="preserve">    └ BY_BATCH</t>
  </si>
  <si>
    <t>BY_BATCH</t>
  </si>
  <si>
    <t>Organized by approval batch</t>
  </si>
  <si>
    <t>📁 BATCH_01, BATCH_02...</t>
  </si>
  <si>
    <t xml:space="preserve">        └ BATCH_01-YYMMDD</t>
  </si>
  <si>
    <t>BATCH_[##]-YYMMDD</t>
  </si>
  <si>
    <t>Batch 1 client docs (date received)</t>
  </si>
  <si>
    <t>BATCH_01-260115</t>
  </si>
  <si>
    <t>CLIENT_[SKU]_YYMMDD.pdf</t>
  </si>
  <si>
    <t>02_RSC_SUB</t>
  </si>
  <si>
    <t>[SEQ]_RSC_SUB</t>
  </si>
  <si>
    <t>RSC submissions to client</t>
  </si>
  <si>
    <t>Submissions organized by batch</t>
  </si>
  <si>
    <t>Batch 1 submission (date submitted)</t>
  </si>
  <si>
    <t>📁 V01, V02...</t>
  </si>
  <si>
    <t>BATCH_01-260315</t>
  </si>
  <si>
    <t>03_CLIENT_FB</t>
  </si>
  <si>
    <t>[SEQ]_CLIENT_FB</t>
  </si>
  <si>
    <t>Client feedback/comments</t>
  </si>
  <si>
    <t>Feedback organized by batch</t>
  </si>
  <si>
    <t>Batch 1 feedback (date received)</t>
  </si>
  <si>
    <t>BATCH_01-260320</t>
  </si>
  <si>
    <t>FB_BATCH01_YYMMDD.pdf</t>
  </si>
  <si>
    <t>04_APPROVED</t>
  </si>
  <si>
    <t>[SEQ]_APPROVED</t>
  </si>
  <si>
    <t>Final approved versions</t>
  </si>
  <si>
    <t>📁 BY_BATCH, BY_SKU, FULL_APPROVAL</t>
  </si>
  <si>
    <t xml:space="preserve">    └ FULL_APPROVAL</t>
  </si>
  <si>
    <t>FULL_APPROVAL</t>
  </si>
  <si>
    <t>All approved items (master folder)</t>
  </si>
  <si>
    <t>None - contains all approved files</t>
  </si>
  <si>
    <t>DWG_[SKU]_FINAL.pdf</t>
  </si>
  <si>
    <t>Approved items by batch</t>
  </si>
  <si>
    <t>Batch 1 approved (approval date)</t>
  </si>
  <si>
    <t>BATCH_01-260410</t>
  </si>
  <si>
    <t>NAMING RULES:</t>
  </si>
  <si>
    <t>• BATCH_[##] = Approval batch number (BATCH_01, BATCH_02, BATCH_03...)</t>
  </si>
  <si>
    <t>• V[#] = Version number (V01, V02, V03...) for tracking revisions</t>
  </si>
  <si>
    <t>• YYMMDD = Short date format (260315 = March 15, 2026)</t>
  </si>
  <si>
    <t>• FULL_APPROVAL folder contains copies of ALL approved files for easy reference</t>
  </si>
  <si>
    <t>• Use BY_BATCH for tracking approval progress by shipment batch</t>
  </si>
  <si>
    <t>FINISH - SUBFOLDER STRUCTURE (UPDATED)</t>
  </si>
  <si>
    <t>Original finish specs from client</t>
  </si>
  <si>
    <t>CLIENT_FINISH_[MAT]_YYMMDD.pdf</t>
  </si>
  <si>
    <t>Batch 1 client finish specs</t>
  </si>
  <si>
    <t>RSC finish submissions</t>
  </si>
  <si>
    <t>Submissions by approval batch</t>
  </si>
  <si>
    <t>Batch 1 finish submission</t>
  </si>
  <si>
    <t>Client feedback on finishes</t>
  </si>
  <si>
    <t>Feedback by batch</t>
  </si>
  <si>
    <t>Approved finishes</t>
  </si>
  <si>
    <t>📁 FULL_APPROVAL, BY_BATCH, BY_SKU</t>
  </si>
  <si>
    <t>All approved finishes (master)</t>
  </si>
  <si>
    <t>None - all approved files</t>
  </si>
  <si>
    <t>FINISH_[SKU]_APPROVED.pdf</t>
  </si>
  <si>
    <t>Approved by batch</t>
  </si>
  <si>
    <t>Batch 1 approved finishes</t>
  </si>
  <si>
    <t>BATCH_01-260415</t>
  </si>
  <si>
    <t>SHIPMENT - SUBFOLDER STRUCTURE</t>
  </si>
  <si>
    <t>WHEN TO USE</t>
  </si>
  <si>
    <t>01_SHIPPING_SCHEDULE</t>
  </si>
  <si>
    <t>SHIP_SCHED</t>
  </si>
  <si>
    <t>Shipping schedules &amp; timelines</t>
  </si>
  <si>
    <t>Plan shipping dates/windows</t>
  </si>
  <si>
    <t>SHIP_SCHED_[PROJECT]_V01-YYMMDD.xlsx</t>
  </si>
  <si>
    <t>SHIP_SCHED_GRAND_HYATT_V01-260501.xlsx</t>
  </si>
  <si>
    <t>02_PACKING_LIST</t>
  </si>
  <si>
    <t>PACK</t>
  </si>
  <si>
    <t>Packing lists &amp; container details</t>
  </si>
  <si>
    <t>Document items per container</t>
  </si>
  <si>
    <t>PACK_[CONT#]_YYMMDD.xlsx</t>
  </si>
  <si>
    <t>PACK_CONT01_260515.xlsx</t>
  </si>
  <si>
    <t>03_SHIPPING_DOCS</t>
  </si>
  <si>
    <t>SHIP_DOC</t>
  </si>
  <si>
    <t>Shipping documents (B/L, CI, PL)</t>
  </si>
  <si>
    <t>Formal shipping documents</t>
  </si>
  <si>
    <t>SHIP_[TYPE]_[CONT#]_YYMMDD.pdf</t>
  </si>
  <si>
    <t>SHIP_BL_CONT01_260520.pdf</t>
  </si>
  <si>
    <t>FILE TYPES IN 03_SHIPPING_DOCS:</t>
  </si>
  <si>
    <t>• B/L = Bill of Lading</t>
  </si>
  <si>
    <t>• CI = Commercial Invoice</t>
  </si>
  <si>
    <t>• PL = Packing List (formal)</t>
  </si>
  <si>
    <t>• CO = Certificate of Origin</t>
  </si>
  <si>
    <t>• INSP = Inspection Report</t>
  </si>
  <si>
    <t>COMPLIANCE - SUBFOLDER STRUCTURE</t>
  </si>
  <si>
    <t xml:space="preserve">    📁 1.1_GENERAL POLICIES &amp; COMPLIANCE</t>
  </si>
  <si>
    <t>01_TESTING_REPORT</t>
  </si>
  <si>
    <t>TEST</t>
  </si>
  <si>
    <t>Testing reports &amp; lab results</t>
  </si>
  <si>
    <t>3rd party testing completed</t>
  </si>
  <si>
    <t>TEST_[TYPE]_[ITEM]_YYMMDD.pdf</t>
  </si>
  <si>
    <t>TEST_FOAM_BED01A_260315.pdf</t>
  </si>
  <si>
    <t>02_OBA</t>
  </si>
  <si>
    <t>OBA</t>
  </si>
  <si>
    <t>On-Board Approval documents</t>
  </si>
  <si>
    <t>Quality inspection before ship</t>
  </si>
  <si>
    <t>OBA_[ITEM]_YYMMDD.pdf</t>
  </si>
  <si>
    <t>OBA_BED01A_260510.pdf</t>
  </si>
  <si>
    <t>03_COMPLIANCE_CERT</t>
  </si>
  <si>
    <t>CERT</t>
  </si>
  <si>
    <t>Compliance certificates</t>
  </si>
  <si>
    <t>Official compliance docs</t>
  </si>
  <si>
    <t>CERT_[TYPE]_[ITEM].pdf</t>
  </si>
  <si>
    <t>CERT_CARB_BED01A.pdf</t>
  </si>
  <si>
    <t>COMMON COMPLIANCE TYPES:</t>
  </si>
  <si>
    <t>• FOAM = Foam testing (TB117, CAL133)</t>
  </si>
  <si>
    <t>• CARB = CARB certification (wood)</t>
  </si>
  <si>
    <t>• TSCA = TSCA compliance</t>
  </si>
  <si>
    <t>• BIFMA = BIFMA testing</t>
  </si>
  <si>
    <t>• CA65 = California Prop 65</t>
  </si>
  <si>
    <t>• OBA = On-Board Approval (final inspection)</t>
  </si>
  <si>
    <t>FILE NAMING CONVENTIONS</t>
  </si>
  <si>
    <t xml:space="preserve">                        📄 DWG_DESK02B_R1.pdf</t>
  </si>
  <si>
    <t>DOC TYPE</t>
  </si>
  <si>
    <t>EXAMPLE 1</t>
  </si>
  <si>
    <t>EXAMPLE 2</t>
  </si>
  <si>
    <t>BOQ</t>
  </si>
  <si>
    <t>BOQ_[PROJECT].xlsx (current)
BOQ_[PROJECT]_V[#]-YYMMDD.xlsx (archived)</t>
  </si>
  <si>
    <t>BOQ_GRAND_HYATT.xlsx</t>
  </si>
  <si>
    <t>📁 _ARCHIVE: BOQ_GRAND_HYATT_V01-260115.xlsx</t>
  </si>
  <si>
    <t>Current file = no version; Archive = add version+date</t>
  </si>
  <si>
    <t>PO_[PROJECT].pdf (current)
PO_[PROJECT]_V[#]-YYMMDD.pdf (archived)</t>
  </si>
  <si>
    <t>Purchase Order</t>
  </si>
  <si>
    <t>PO_GRAND_HYATT.pdf</t>
  </si>
  <si>
    <t>📁 _ARCHIVE: PO_GRAND_HYATT_V01-260317.pdf</t>
  </si>
  <si>
    <t>Drawing</t>
  </si>
  <si>
    <t>DWG</t>
  </si>
  <si>
    <t>DWG_[ITEM CODE]_V[#]</t>
  </si>
  <si>
    <t>Technical Drawing</t>
  </si>
  <si>
    <t>DWG_BED01A_V01.pdf</t>
  </si>
  <si>
    <t>DWG_BED01A_V02_FINAL.pdf</t>
  </si>
  <si>
    <t>Add _FINAL when approved</t>
  </si>
  <si>
    <t>Spec</t>
  </si>
  <si>
    <t>SPEC</t>
  </si>
  <si>
    <t>SPEC_[MATERIAL]_[ITEM]_V[#]</t>
  </si>
  <si>
    <t>Specification</t>
  </si>
  <si>
    <t>SPEC_MARBLE_BED01A_V01.pdf</t>
  </si>
  <si>
    <t>SPEC_MARBLE_BED01A_V02_FINAL.pdf</t>
  </si>
  <si>
    <t>Finish</t>
  </si>
  <si>
    <t>FINISH_[MATERIAL]_V[#]</t>
  </si>
  <si>
    <t>Finish Sample/Approval</t>
  </si>
  <si>
    <t>FINISH_WOOD_V01.pdf</t>
  </si>
  <si>
    <t>FINISH_METAL_V02_APPROVED.pdf</t>
  </si>
  <si>
    <t>Add _APPROVED when finalized</t>
  </si>
  <si>
    <t>Invoice</t>
  </si>
  <si>
    <t>INV</t>
  </si>
  <si>
    <t>INV_[TYPE]_[NO]_YYMMDD</t>
  </si>
  <si>
    <t>INV_DEPOSIT_001_260115.pdf</t>
  </si>
  <si>
    <t>INV_FINAL_002_260801.pdf</t>
  </si>
  <si>
    <t>Type: DEPOSIT/BATCH/FINAL</t>
  </si>
  <si>
    <t>Packing</t>
  </si>
  <si>
    <t>PACK_[CONT#]_YYMMDD</t>
  </si>
  <si>
    <t>Packing List</t>
  </si>
  <si>
    <t>PACK_WK22_SUMMARY.xlsx</t>
  </si>
  <si>
    <t>Per container or per week</t>
  </si>
  <si>
    <t>Shipment</t>
  </si>
  <si>
    <t>SHIP</t>
  </si>
  <si>
    <t>SHIP_[TYPE]_[CONT#]_YYMMDD</t>
  </si>
  <si>
    <t>Shipping Document</t>
  </si>
  <si>
    <t>SHIP_CI_CONT01_260520.pdf</t>
  </si>
  <si>
    <t>Type: BL/CI/PL/CO</t>
  </si>
  <si>
    <t>Testing</t>
  </si>
  <si>
    <t>TEST_[TYPE]_[ITEM]_YYMMDD</t>
  </si>
  <si>
    <t>Testing Report</t>
  </si>
  <si>
    <t>TEST_BIFMA_CHAIR01_260401.pdf</t>
  </si>
  <si>
    <t>Testing type + item + date</t>
  </si>
  <si>
    <t>OBA_[ITEM]_YYMMDD</t>
  </si>
  <si>
    <t>On-Board Approval</t>
  </si>
  <si>
    <t>OBA_DESK02B_260512.pdf</t>
  </si>
  <si>
    <t>Item code + inspection date</t>
  </si>
  <si>
    <t>PM File</t>
  </si>
  <si>
    <t>PM</t>
  </si>
  <si>
    <t>PM_[PROJECT]_MASTER</t>
  </si>
  <si>
    <t>Project Management</t>
  </si>
  <si>
    <t>PM_GRAND_HYATT_MASTER.xlsx</t>
  </si>
  <si>
    <t>PM_ELYSEE_MASTER.xlsx</t>
  </si>
  <si>
    <t>1 file only per project</t>
  </si>
  <si>
    <t>Email</t>
  </si>
  <si>
    <t>EMAIL</t>
  </si>
  <si>
    <t>EMAIL_[TOPIC]_YYMMDD</t>
  </si>
  <si>
    <t>Email correspondence</t>
  </si>
  <si>
    <t>EMAIL_DWG_APPROVAL_260315.pdf</t>
  </si>
  <si>
    <t>EMAIL_PO_CONFIRM_260317.pdf</t>
  </si>
  <si>
    <t>Save important emails as PDF</t>
  </si>
  <si>
    <t>VERSION CONTROL RULES</t>
  </si>
  <si>
    <t xml:space="preserve">                📁 09_PROJECT MGT</t>
  </si>
  <si>
    <t>RULE</t>
  </si>
  <si>
    <t>EXAMPLE BEFORE</t>
  </si>
  <si>
    <t>EXAMPLE AFTER</t>
  </si>
  <si>
    <t>Version Number</t>
  </si>
  <si>
    <t>Track revisions</t>
  </si>
  <si>
    <t>Add V[##] suffix</t>
  </si>
  <si>
    <t>BOQ_PROJECT.xlsx</t>
  </si>
  <si>
    <t>BOQ_PROJECT_V01-260115.xlsx</t>
  </si>
  <si>
    <t>V01, V02, V03... increment each revision</t>
  </si>
  <si>
    <t>Date Stamp</t>
  </si>
  <si>
    <t>Track when created</t>
  </si>
  <si>
    <t>Add -YYMMDD suffix</t>
  </si>
  <si>
    <t>BOQ_V01.xlsx</t>
  </si>
  <si>
    <t>BOQ_V01-260115.xlsx</t>
  </si>
  <si>
    <t>YYMMDD = 2-digit year + month + day</t>
  </si>
  <si>
    <t>Final Status</t>
  </si>
  <si>
    <t>Document approved</t>
  </si>
  <si>
    <t>Add _FINAL suffix</t>
  </si>
  <si>
    <t>DWG_BED01A_V02.pdf</t>
  </si>
  <si>
    <t>Only 1 FINAL version per item</t>
  </si>
  <si>
    <t>Approved Status</t>
  </si>
  <si>
    <t>Finish approved</t>
  </si>
  <si>
    <t>Add _APPROVED suffix</t>
  </si>
  <si>
    <t>FINISH_WOOD_V02.pdf</t>
  </si>
  <si>
    <t>FINISH_WOOD_V02_APPROVED.pdf</t>
  </si>
  <si>
    <t>For finishes only</t>
  </si>
  <si>
    <t>WIP Status</t>
  </si>
  <si>
    <t>Work in progress</t>
  </si>
  <si>
    <t>Add _WIP suffix</t>
  </si>
  <si>
    <t>DWG_DESK02B.pdf</t>
  </si>
  <si>
    <t>DWG_DESK02B_WIP.pdf</t>
  </si>
  <si>
    <t>Files in _CURRENT folder</t>
  </si>
  <si>
    <t>Archive Old (Option 1)</t>
  </si>
  <si>
    <t>When creating new version</t>
  </si>
  <si>
    <t>Move old file to _ARCHIVE, add V##-YYMMDD</t>
  </si>
  <si>
    <t>📁 02_BOQ/BOQ_PROJECT.xlsx</t>
  </si>
  <si>
    <t>📁 02_BOQ/_ARCHIVE/BOQ_PROJECT_V01-260115.xlsx
📁 02_BOQ/BOQ_PROJECT.xlsx (new current)</t>
  </si>
  <si>
    <t>Current file has NO version suffix</t>
  </si>
  <si>
    <t>QUICK REFERENCE - COMPLETE FOLDER TREE EXAMPLE</t>
  </si>
  <si>
    <t>📁 COMMERCIAL PROJECTS</t>
  </si>
  <si>
    <t xml:space="preserve">    📁 1.1_POLICIES &amp; COMPLIANCE</t>
  </si>
  <si>
    <t xml:space="preserve">    📁 1.2_PROCESS</t>
  </si>
  <si>
    <t xml:space="preserve">    📁 1.3_FORMS &amp; TEMPLATES</t>
  </si>
  <si>
    <t xml:space="preserve">    📁 1.4_GENERAL REPORTS</t>
  </si>
  <si>
    <t xml:space="preserve">    📁 1.5_TRACKERS</t>
  </si>
  <si>
    <t xml:space="preserve">    📁 1.6_ARCHIVE</t>
  </si>
  <si>
    <t>← Archive folder for old files</t>
  </si>
  <si>
    <t xml:space="preserve">    📁 1.7_PROJECTS</t>
  </si>
  <si>
    <t xml:space="preserve">        📁 RH</t>
  </si>
  <si>
    <t xml:space="preserve">            📁 2026_RH_GRAND HYATT BAHA MAR</t>
  </si>
  <si>
    <t>← Project folder: [YYYY]_[CUST]_[PROJECT]</t>
  </si>
  <si>
    <t xml:space="preserve">                📁 PROTOTYPE</t>
  </si>
  <si>
    <t>← Prototype phase← Same structure as Main run (12 FOLDERS - includes 09_PHOTO)</t>
  </si>
  <si>
    <t xml:space="preserve">                    📁 01_PROJECT MGT</t>
  </si>
  <si>
    <t>NAMING</t>
  </si>
  <si>
    <t xml:space="preserve">                    📁 02_BOQ</t>
  </si>
  <si>
    <t xml:space="preserve">                    📁 03_PO</t>
  </si>
  <si>
    <t xml:space="preserve">                    📁 04_DRAWING &amp; SPEC</t>
  </si>
  <si>
    <t xml:space="preserve">                    📁 05_FINISH</t>
  </si>
  <si>
    <t xml:space="preserve">                    📁 06_COSTING</t>
  </si>
  <si>
    <t xml:space="preserve">                    📁 07_PAYMENT</t>
  </si>
  <si>
    <t xml:space="preserve">                    📁 08_SHIPMENT</t>
  </si>
  <si>
    <t xml:space="preserve">                    📁 09_PHOTO &amp; REPORT</t>
  </si>
  <si>
    <t>⭐ PROTOTYPE ONLY</t>
  </si>
  <si>
    <t xml:space="preserve">                    📁 10_COMPLIANCE</t>
  </si>
  <si>
    <t xml:space="preserve">                    📁 11_EMAILS</t>
  </si>
  <si>
    <t xml:space="preserve">                    📁 12_ARCHIVE</t>
  </si>
  <si>
    <t>← Historical data archive</t>
  </si>
  <si>
    <t xml:space="preserve">                📁 MAIN_RUN</t>
  </si>
  <si>
    <t>← Main production run (11 FOLDERS - no PHOTO)</t>
  </si>
  <si>
    <t>← FIRST SUBFOLDER - Project Management</t>
  </si>
  <si>
    <t xml:space="preserve">                        📄 PM_GRAND_HYATT_MASTER.xlsx</t>
  </si>
  <si>
    <t xml:space="preserve">                        📁 _ARCHIVE</t>
  </si>
  <si>
    <t xml:space="preserve">                            📄 BOQ_GRAND_HYATT_V01-260115.xlsx</t>
  </si>
  <si>
    <t xml:space="preserve">                        📄 BOQ_GRAND_HYATT.xlsx ← CURRENT (no version)</t>
  </si>
  <si>
    <t xml:space="preserve">                            📄 PO_GRAND_HYATT_V01-260317.pdf</t>
  </si>
  <si>
    <t xml:space="preserve">                        📄 PO_GRAND_HYATT.pdf ← CURRENT (no version)</t>
  </si>
  <si>
    <t xml:space="preserve">                        📁 01_CLIENT SPEC</t>
  </si>
  <si>
    <t xml:space="preserve">                                📁 BATCH_01-260115</t>
  </si>
  <si>
    <t xml:space="preserve">                                📁 BATCH_02-260220</t>
  </si>
  <si>
    <t xml:space="preserve">                                📁 FULL_SPEC</t>
  </si>
  <si>
    <t>← RSC submissions</t>
  </si>
  <si>
    <t xml:space="preserve">                        📁 02_RSC_SUB</t>
  </si>
  <si>
    <t xml:space="preserve">                                📁 BATCH_01-260315</t>
  </si>
  <si>
    <t xml:space="preserve">                                📁 BATCH_02-260321</t>
  </si>
  <si>
    <t>← Client feedback</t>
  </si>
  <si>
    <t xml:space="preserve">                        📁 03_CLIENT_FB</t>
  </si>
  <si>
    <t xml:space="preserve">                                📁 BATCH_01-260320</t>
  </si>
  <si>
    <t xml:space="preserve">                        📁 04_APPROVED</t>
  </si>
  <si>
    <t>← ALL approved files here</t>
  </si>
  <si>
    <t xml:space="preserve">                            📁 FULL_APPROVAL</t>
  </si>
  <si>
    <t xml:space="preserve">                                📁 BATCH_01-260410</t>
  </si>
  <si>
    <t>← BY_BATCH + BY_SKU structure</t>
  </si>
  <si>
    <t xml:space="preserve">                        📁 01_FROM_CLIENT</t>
  </si>
  <si>
    <t xml:space="preserve">                            📁 FULL SPECS</t>
  </si>
  <si>
    <t>WOOD-</t>
  </si>
  <si>
    <t>← ALL approved finishes</t>
  </si>
  <si>
    <t xml:space="preserve">                                📁 BATCH_01-260415</t>
  </si>
  <si>
    <t xml:space="preserve">                        📄 INV_DEPOSIT_001_260401.pdf</t>
  </si>
  <si>
    <t xml:space="preserve">                        📄 INV_BATCH_002_260601.pdf</t>
  </si>
  <si>
    <t>← 3 subfolders</t>
  </si>
  <si>
    <t xml:space="preserve">                        📁 01_SHIPPING_SCHEDULE</t>
  </si>
  <si>
    <t xml:space="preserve">                            📄 SHIP_SCHED_GRAND_HYATT_V01-260501.xlsx</t>
  </si>
  <si>
    <t xml:space="preserve">                        📁 02_PACKING_LIST</t>
  </si>
  <si>
    <t xml:space="preserve">                            📄 PACK_CONT01_260515.xlsx</t>
  </si>
  <si>
    <t xml:space="preserve">                        📁 03_SHIPPING_DOCS</t>
  </si>
  <si>
    <t xml:space="preserve">                            📄 SHIP_BL_CONT01_260520.pdf</t>
  </si>
  <si>
    <t xml:space="preserve">                    📁 09_COMPLIANCE</t>
  </si>
  <si>
    <t xml:space="preserve">                        📁 01_TESTING_REPORT</t>
  </si>
  <si>
    <t xml:space="preserve">                            📄 TEST_FOAM_BED01A_260315.pdf</t>
  </si>
  <si>
    <t xml:space="preserve">                        📁 02_OBA</t>
  </si>
  <si>
    <t xml:space="preserve">                            📄 OBA_BED01A_260510.pdf</t>
  </si>
  <si>
    <t xml:space="preserve">                        📁 03_COMPLIANCE_CERT</t>
  </si>
  <si>
    <t xml:space="preserve">                            📄 CERT_CARB_BED01A.pdf</t>
  </si>
  <si>
    <t xml:space="preserve">                    📁 10_EMAILS</t>
  </si>
  <si>
    <t xml:space="preserve">                        📄 EMAIL_DWG_APPROVAL_260410.pdf</t>
  </si>
  <si>
    <t xml:space="preserve">                    📁 11_ARCHIVE</t>
  </si>
  <si>
    <t>← Same structure as RH</t>
  </si>
  <si>
    <t xml:space="preserve">        📁 L&amp;S, BROOKFIELD , KD TRAVIS BLOCK , SPECTRUM , FLEETWOOD, OTHERS</t>
  </si>
  <si>
    <t xml:space="preserve">            📁 2026_FLEETWOOD_FOUR SEASON JACKSONVILLE</t>
  </si>
  <si>
    <t xml:space="preserve">            📁 2026_L&amp;S_ELYSEE HOTEL</t>
  </si>
  <si>
    <t>YES/NO</t>
  </si>
  <si>
    <t>Completion status</t>
  </si>
  <si>
    <t>Gate condition</t>
  </si>
  <si>
    <t>MATERIAL STATUS</t>
  </si>
  <si>
    <t>NOT STARTED</t>
  </si>
  <si>
    <t>PRODUCTION READINESS → Production:
✔ PO
✔ Deposit
✔ Drawing approved</t>
  </si>
  <si>
    <r>
      <t xml:space="preserve">NPD </t>
    </r>
    <r>
      <rPr>
        <sz val="11"/>
        <color theme="1"/>
        <rFont val="Aptos Narrow"/>
        <family val="2"/>
      </rPr>
      <t>to NPI</t>
    </r>
  </si>
  <si>
    <t>SUONG</t>
  </si>
  <si>
    <t>FOUR SEASONS DENVER</t>
  </si>
  <si>
    <t>DATE OF RECEIEVD</t>
  </si>
  <si>
    <t>TIME (WK)</t>
  </si>
  <si>
    <t>Line drawing &amp; Spec receive</t>
  </si>
  <si>
    <t>Forecast</t>
  </si>
  <si>
    <t>Drawing/ Color send to Customer</t>
  </si>
  <si>
    <t>Drawing/ Color approval</t>
  </si>
  <si>
    <t>BOM &amp; WO releasing</t>
  </si>
  <si>
    <t>WW</t>
  </si>
  <si>
    <t>FIN</t>
  </si>
  <si>
    <t>FG &amp; SHIP</t>
  </si>
  <si>
    <t>Total</t>
  </si>
  <si>
    <t>Prototype shipped</t>
  </si>
  <si>
    <t>MAIN RUN</t>
  </si>
  <si>
    <t>SHIP+ CLIENT REVIEW</t>
  </si>
  <si>
    <t xml:space="preserve">PO receievd </t>
  </si>
  <si>
    <t>DWS &amp; FIN</t>
  </si>
  <si>
    <t>PILOT</t>
  </si>
  <si>
    <t>PRO</t>
  </si>
  <si>
    <t>Name</t>
  </si>
  <si>
    <t>MSNV</t>
  </si>
  <si>
    <t>Annie Van, Pham Thi Ai – van.pham@rochdalespears.com</t>
  </si>
  <si>
    <t>Thao, Le Phuong – thao.le@rochdalespears.com</t>
  </si>
  <si>
    <t>Dung, Nguyen Duy – dung.nguyenduy@rochdalespears.com</t>
  </si>
  <si>
    <t>Bien, Ha Long – bien.ha@rochdalespears.com</t>
  </si>
  <si>
    <t>Duong, Le Thi – duong.le@rochdalespears.com</t>
  </si>
  <si>
    <t>Duy, Ho Khai – duy.ho@rochdalespears.com</t>
  </si>
  <si>
    <t>49320 </t>
  </si>
  <si>
    <t>Tran, Phang Phuong Hue – tran.phang@rochdalespears.com</t>
  </si>
  <si>
    <t>Trinh, Tran Ngoc Phuong – trinh.tran@rochdalespears.com</t>
  </si>
  <si>
    <t>PROJECT SUMMARY BY PIC</t>
  </si>
  <si>
    <t>Tip: Use Filter to hide SHIPPED projects - Click dropdown on STATUS column</t>
  </si>
  <si>
    <t>NPD/NPI STAGE</t>
  </si>
  <si>
    <t>VENEER/WOOD</t>
  </si>
  <si>
    <t>MARBLE</t>
  </si>
  <si>
    <t>METAL</t>
  </si>
  <si>
    <t>FABRIC</t>
  </si>
  <si>
    <t>2026-RH-CUSTOM MIYU TABLES</t>
  </si>
  <si>
    <t>2026-RH-MONTAUK YACHT CLUB</t>
  </si>
  <si>
    <t>2026-RH-SUNRIVER RESORT MR</t>
  </si>
  <si>
    <t>2025-RH-CHICAGO PENDRY</t>
  </si>
  <si>
    <t>2025-RH-CIA O&amp;O GUESTROOMS</t>
  </si>
  <si>
    <t>2026-BROOKFIELD-RITZ CARLTON PHILADELPHIA</t>
  </si>
  <si>
    <t>2026-FLEETWOOD -AUBERGE HOUSTON MR</t>
  </si>
  <si>
    <t>TBC-BROOKFIELD-PARK HYATT VANCOUVER</t>
  </si>
  <si>
    <t>2026-RH-AWH TOPNOTCH</t>
  </si>
  <si>
    <t>2026-THE PARKER-JAMES NY NOMAD</t>
  </si>
  <si>
    <t>2026-RH-RH BRANDYWISE</t>
  </si>
  <si>
    <t>2026-FLEETWOOD -HARD ROCK LAS VEGAS WEST TOWER</t>
  </si>
  <si>
    <t>TBC-L&amp;S-SILVERSANDS GRAND ANSE</t>
  </si>
  <si>
    <t>Removed-AHMADIAH-MARRIOTT KHOBAR</t>
  </si>
  <si>
    <t>2025-RH-TRUMP NYC</t>
  </si>
  <si>
    <t xml:space="preserve">Pending PO </t>
  </si>
  <si>
    <t>COM Received. Schedule for review with John Lee on 20-Oct.</t>
  </si>
  <si>
    <t>Schedule to submit 16-23 Oct</t>
  </si>
  <si>
    <t>Pending finish confirm for "Aged natural"</t>
  </si>
  <si>
    <t>Just received control sample 5-Oct</t>
  </si>
  <si>
    <t>RESTORATION HARDWARE_HS Sum</t>
  </si>
  <si>
    <t>HA STUDIO PICO/WILKINS-REODER</t>
  </si>
  <si>
    <t>2026-RH-HA STUDIO PICO/WILKINS-REODER</t>
  </si>
  <si>
    <t>NOR Sum</t>
  </si>
  <si>
    <t>Total  COUNT</t>
  </si>
  <si>
    <t xml:space="preserve"> COUNT</t>
  </si>
  <si>
    <t>Lex</t>
  </si>
  <si>
    <t>James Le will come for final inspection before packing 10-Oct</t>
  </si>
  <si>
    <t>Schedule for Fleetwood WW inspection W45</t>
  </si>
  <si>
    <t>KNOX DALLAS INSPECTION COVERS</t>
  </si>
  <si>
    <t xml:space="preserve"> FOUR SEASONS LAS VEGAS</t>
  </si>
  <si>
    <t>LAKE OCONEE TENTS</t>
  </si>
  <si>
    <t>SKUs</t>
  </si>
  <si>
    <t>Qty</t>
  </si>
  <si>
    <t>BE Qty</t>
  </si>
  <si>
    <t>1st shipment</t>
  </si>
  <si>
    <t>2nd</t>
  </si>
  <si>
    <t>3rd</t>
  </si>
  <si>
    <t>Friday</t>
  </si>
  <si>
    <t>Transit time (days)</t>
  </si>
  <si>
    <t>London Port</t>
  </si>
  <si>
    <t>BOQ 1</t>
  </si>
  <si>
    <t>Sunriver</t>
  </si>
  <si>
    <t>WK13-14</t>
  </si>
  <si>
    <t>BOQ 2nd</t>
  </si>
  <si>
    <t>Start WK15</t>
  </si>
  <si>
    <t>Ship WK</t>
  </si>
  <si>
    <t>Lower Ground Floor, Ground Floor, 2nd Floor</t>
  </si>
  <si>
    <t>MCO</t>
  </si>
  <si>
    <t>WASHINGTON-DUKE</t>
  </si>
  <si>
    <t>FAIRFIELD</t>
  </si>
  <si>
    <t>MONDO CONTRACT</t>
  </si>
  <si>
    <t>MONDO</t>
  </si>
  <si>
    <t>LEXINGTON HOTEL</t>
  </si>
  <si>
    <t>Pending approval Drawing for Custom Bed End Bench  (M-SE-04), metal finish: Bronze finish which apply for 4 SKU: Custom Wardrobe Unit (M-CB-02) , Beverage Unit (M-CB-03), Bathroom Shelf,  Desk @ Double Queen (M-DE-01)</t>
  </si>
  <si>
    <t>Need PO this week WK42</t>
  </si>
  <si>
    <t>2026-KD-KNOX DALLAS INSPECTION COVERS</t>
  </si>
  <si>
    <t>2026-BISCAYNE-OLY PA</t>
  </si>
  <si>
    <t>2026-FAIRFIELD-WASHINGTON-DUKE</t>
  </si>
  <si>
    <t>TBC-FAIRFIELD-WASHINGTON-DUKE</t>
  </si>
  <si>
    <t>2026-BISCAYNE-MCO</t>
  </si>
  <si>
    <t>2026-RH- FOUR SEASONS LAS VEGAS</t>
  </si>
  <si>
    <t>Pending Deposit</t>
  </si>
  <si>
    <t>GY</t>
  </si>
  <si>
    <t>Guyana</t>
  </si>
  <si>
    <t>Florida, Miami</t>
  </si>
  <si>
    <t>Texas</t>
  </si>
  <si>
    <t>Pennsylvania</t>
  </si>
  <si>
    <t>Nevada</t>
  </si>
  <si>
    <t>Georgia</t>
  </si>
  <si>
    <t>Orlando, Florida</t>
  </si>
  <si>
    <t>Washington DC</t>
  </si>
  <si>
    <t>Lexington</t>
  </si>
  <si>
    <t>2028/M03</t>
  </si>
  <si>
    <t>KA</t>
  </si>
  <si>
    <t>LOCAL</t>
  </si>
  <si>
    <t>KA Sum</t>
  </si>
  <si>
    <t>LOCAL Sum</t>
  </si>
  <si>
    <t>2026-RH-LAKE OCONEE TENTS</t>
  </si>
  <si>
    <t>2026-MONDO-LEXINGTON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</si>
</sst>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_);[Red]\(&quot;$&quot;#,##0.00\)"/>
    <numFmt numFmtId="44" formatCode="_(&quot;$&quot;* #,##0.00_);_(&quot;$&quot;* \(#,##0.00\);_(&quot;$&quot;* &quot;-&quot;??_);_(@_)"/>
    <numFmt numFmtId="43" formatCode="_(* #,##0.00_);_(* \(#,##0.00\);_(* &quot;-&quot;??_);_(@_)"/>
    <numFmt numFmtId="164" formatCode="mm/dd/yyyy"/>
    <numFmt numFmtId="165" formatCode="[$-409]mmm\-yy;@"/>
    <numFmt numFmtId="166" formatCode="&quot;$&quot;#,##0"/>
    <numFmt numFmtId="167" formatCode="&quot;$&quot;#,##0.00"/>
    <numFmt numFmtId="168" formatCode="_([$$-409]* #,##0_);_([$$-409]* \(#,##0\);_([$$-409]* &quot;-&quot;??_);_(@_)"/>
    <numFmt numFmtId="169" formatCode="yyyy\-mm\-dd;@"/>
    <numFmt numFmtId="170" formatCode="[$-409]d\-mmm;@"/>
    <numFmt numFmtId="171" formatCode="_(* #,##0_);_(* \(#,##0\);_(* &quot;-&quot;??_);_(@_)"/>
    <numFmt numFmtId="172" formatCode="_(&quot;$&quot;* #,##0_);_(&quot;$&quot;* \(#,##0\);_(&quot;$&quot;* &quot;-&quot;??_);_(@_)"/>
    <numFmt numFmtId="173" formatCode="mmm\ dd"/>
    <numFmt numFmtId="174" formatCode="[$-409]d\-mmm\-yy;@"/>
    <numFmt numFmtId="175" formatCode="dd\-mmm\-yy"/>
    <numFmt numFmtId="176" formatCode="0.0"/>
  </numFmts>
  <fonts count="70"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Aptos Narrow"/>
      <family val="2"/>
      <scheme val="minor"/>
    </font>
    <font>
      <sz val="11"/>
      <color rgb="FF000000"/>
      <name val="Calibri"/>
      <family val="2"/>
    </font>
    <font>
      <sz val="11"/>
      <name val="Lexend Deca Light"/>
    </font>
    <font>
      <sz val="11"/>
      <color theme="1"/>
      <name val="Lexend Deca Light"/>
    </font>
    <font>
      <b/>
      <sz val="11"/>
      <color theme="0"/>
      <name val="Lexend Deca Light"/>
    </font>
    <font>
      <b/>
      <sz val="11"/>
      <name val="Lexend Deca Light"/>
    </font>
    <font>
      <b/>
      <sz val="11"/>
      <name val="Aptos Narrow"/>
      <family val="2"/>
      <scheme val="minor"/>
    </font>
    <font>
      <sz val="11"/>
      <name val="Aptos Narrow"/>
      <family val="2"/>
      <scheme val="minor"/>
    </font>
    <font>
      <b/>
      <sz val="14"/>
      <color rgb="FFFFFFFF"/>
      <name val="Calibri"/>
      <family val="2"/>
    </font>
    <font>
      <b/>
      <sz val="14"/>
      <color rgb="FFFF0000"/>
      <name val="Aptos Narrow"/>
      <family val="2"/>
      <scheme val="minor"/>
    </font>
    <font>
      <sz val="10"/>
      <name val="Arial"/>
      <family val="2"/>
    </font>
    <font>
      <sz val="12"/>
      <name val="Aptos Narrow"/>
      <family val="2"/>
      <scheme val="minor"/>
    </font>
    <font>
      <b/>
      <sz val="14"/>
      <color theme="0"/>
      <name val="Aptos Narrow"/>
      <family val="2"/>
      <scheme val="minor"/>
    </font>
    <font>
      <sz val="14"/>
      <color theme="1"/>
      <name val="Aptos Narrow"/>
      <family val="2"/>
      <scheme val="minor"/>
    </font>
    <font>
      <sz val="14"/>
      <name val="Aptos Narrow"/>
      <family val="2"/>
      <scheme val="minor"/>
    </font>
    <font>
      <b/>
      <sz val="14"/>
      <name val="Aptos Narrow"/>
      <family val="2"/>
      <scheme val="minor"/>
    </font>
    <font>
      <b/>
      <sz val="14"/>
      <color theme="1"/>
      <name val="Aptos Narrow"/>
      <family val="2"/>
      <scheme val="minor"/>
    </font>
    <font>
      <b/>
      <sz val="14"/>
      <color rgb="FF0000FF"/>
      <name val="Aptos Narrow"/>
      <family val="2"/>
      <scheme val="minor"/>
    </font>
    <font>
      <sz val="14"/>
      <color rgb="FF000000"/>
      <name val="Aptos Narrow"/>
      <family val="2"/>
      <scheme val="minor"/>
    </font>
    <font>
      <sz val="14"/>
      <color rgb="FF0000FF"/>
      <name val="Aptos Narrow"/>
      <family val="2"/>
      <scheme val="minor"/>
    </font>
    <font>
      <sz val="14"/>
      <color theme="0"/>
      <name val="Aptos Narrow"/>
      <family val="2"/>
      <scheme val="minor"/>
    </font>
    <font>
      <sz val="14"/>
      <color theme="0" tint="-4.9989318521683403E-2"/>
      <name val="Aptos Narrow"/>
      <family val="2"/>
      <scheme val="minor"/>
    </font>
    <font>
      <b/>
      <sz val="14"/>
      <color theme="0" tint="-4.9989318521683403E-2"/>
      <name val="Aptos Narrow"/>
      <family val="2"/>
      <scheme val="minor"/>
    </font>
    <font>
      <sz val="11"/>
      <name val="Lexend Deca"/>
    </font>
    <font>
      <sz val="16"/>
      <color rgb="FF0A0A0A"/>
      <name val="Courier New"/>
      <family val="3"/>
    </font>
    <font>
      <b/>
      <sz val="12"/>
      <color rgb="FFFFFFFF"/>
      <name val="Calibri"/>
      <family val="2"/>
    </font>
    <font>
      <b/>
      <sz val="14"/>
      <color rgb="FFFFFFFF"/>
      <name val="Calibri"/>
      <family val="2"/>
      <charset val="1"/>
    </font>
    <font>
      <sz val="11"/>
      <color theme="1"/>
      <name val="Aptos Narrow"/>
      <family val="2"/>
    </font>
    <font>
      <b/>
      <sz val="12"/>
      <name val="Calibri"/>
      <family val="2"/>
    </font>
    <font>
      <b/>
      <sz val="12"/>
      <color rgb="FF1B2A4A"/>
      <name val="Calibri"/>
      <family val="2"/>
    </font>
    <font>
      <b/>
      <sz val="12"/>
      <color rgb="FFFF0000"/>
      <name val="Calibri"/>
      <family val="2"/>
    </font>
    <font>
      <sz val="12"/>
      <color theme="1"/>
      <name val="Calibri"/>
      <family val="2"/>
    </font>
    <font>
      <b/>
      <sz val="12"/>
      <color theme="1"/>
      <name val="Calibri"/>
      <family val="2"/>
    </font>
    <font>
      <sz val="12"/>
      <color rgb="FF000000"/>
      <name val="Calibri"/>
      <family val="2"/>
    </font>
    <font>
      <sz val="12"/>
      <color rgb="FF0000FF"/>
      <name val="Calibri"/>
      <family val="2"/>
    </font>
    <font>
      <sz val="12"/>
      <name val="Calibri"/>
      <family val="2"/>
    </font>
    <font>
      <sz val="12"/>
      <color rgb="FFFF0000"/>
      <name val="Calibri"/>
      <family val="2"/>
    </font>
    <font>
      <b/>
      <sz val="12"/>
      <color theme="0"/>
      <name val="Calibri"/>
      <family val="2"/>
    </font>
    <font>
      <b/>
      <sz val="11"/>
      <color rgb="FF0000FF"/>
      <name val="Aptos Narrow"/>
      <family val="2"/>
      <scheme val="minor"/>
    </font>
    <font>
      <sz val="11"/>
      <color rgb="FF0000FF"/>
      <name val="Aptos Narrow"/>
      <family val="2"/>
      <scheme val="minor"/>
    </font>
    <font>
      <sz val="11"/>
      <color theme="9" tint="-0.499984740745262"/>
      <name val="Aptos Narrow"/>
      <family val="2"/>
      <scheme val="minor"/>
    </font>
    <font>
      <b/>
      <sz val="11"/>
      <color theme="9" tint="-0.499984740745262"/>
      <name val="Aptos Narrow"/>
      <family val="2"/>
      <scheme val="minor"/>
    </font>
    <font>
      <b/>
      <sz val="11"/>
      <color rgb="FFFF0000"/>
      <name val="Lexend Deca Light"/>
    </font>
    <font>
      <sz val="12"/>
      <color theme="0"/>
      <name val="Calibri"/>
      <family val="2"/>
    </font>
    <font>
      <b/>
      <sz val="10"/>
      <color rgb="FFFFFFFF"/>
      <name val="Aptos Narrow"/>
      <family val="2"/>
      <scheme val="minor"/>
    </font>
    <font>
      <sz val="10"/>
      <color theme="1"/>
      <name val="Aptos Narrow"/>
      <family val="2"/>
      <scheme val="minor"/>
    </font>
    <font>
      <b/>
      <sz val="11"/>
      <color rgb="FFFF0066"/>
      <name val="Aptos Narrow"/>
      <family val="2"/>
      <scheme val="minor"/>
    </font>
    <font>
      <sz val="8"/>
      <name val="Aptos Narrow"/>
      <family val="2"/>
      <scheme val="minor"/>
    </font>
    <font>
      <b/>
      <sz val="16"/>
      <color rgb="FFFFFFFF"/>
      <name val="Aptos Narrow"/>
      <family val="2"/>
      <scheme val="minor"/>
    </font>
    <font>
      <b/>
      <sz val="11"/>
      <color rgb="FFFFFFFF"/>
      <name val="Aptos Narrow"/>
      <family val="2"/>
      <scheme val="minor"/>
    </font>
    <font>
      <sz val="11"/>
      <color rgb="FFFFFFFF"/>
      <name val="Aptos Narrow"/>
      <family val="2"/>
      <scheme val="minor"/>
    </font>
    <font>
      <sz val="10"/>
      <color theme="1"/>
      <name val="Consolas"/>
      <family val="3"/>
    </font>
    <font>
      <b/>
      <sz val="10"/>
      <color theme="1"/>
      <name val="Consolas"/>
      <family val="3"/>
    </font>
    <font>
      <b/>
      <sz val="12"/>
      <color rgb="FFFFFFFF"/>
      <name val="Aptos Narrow"/>
      <family val="2"/>
      <scheme val="minor"/>
    </font>
    <font>
      <b/>
      <sz val="12"/>
      <color rgb="FFFFFFFF"/>
      <name val="Consolas"/>
      <family val="3"/>
    </font>
    <font>
      <sz val="11"/>
      <color rgb="FFFF0000"/>
      <name val="Aptos Narrow"/>
      <family val="2"/>
      <scheme val="minor"/>
    </font>
    <font>
      <b/>
      <sz val="11"/>
      <color rgb="FFFF0000"/>
      <name val="Aptos Narrow"/>
      <family val="2"/>
      <scheme val="minor"/>
    </font>
    <font>
      <i/>
      <sz val="11"/>
      <color rgb="FF666666"/>
      <name val="Aptos Narrow"/>
      <family val="2"/>
      <scheme val="minor"/>
    </font>
    <font>
      <sz val="11"/>
      <color theme="5" tint="-0.249977111117893"/>
      <name val="Aptos Narrow"/>
      <family val="2"/>
      <scheme val="minor"/>
    </font>
    <font>
      <b/>
      <sz val="11"/>
      <color theme="5" tint="-0.249977111117893"/>
      <name val="Aptos Narrow"/>
      <family val="2"/>
      <scheme val="minor"/>
    </font>
    <font>
      <sz val="11"/>
      <color rgb="FF000000"/>
      <name val="Aptos Narrow"/>
      <family val="2"/>
      <scheme val="minor"/>
    </font>
    <font>
      <b/>
      <sz val="11"/>
      <color theme="1"/>
      <name val="Segoe UI"/>
      <family val="2"/>
    </font>
    <font>
      <sz val="11"/>
      <color theme="1"/>
      <name val="Segoe UI"/>
      <family val="2"/>
    </font>
    <font>
      <b/>
      <sz val="11"/>
      <color rgb="FF0000CC"/>
      <name val="Aptos Narrow"/>
      <family val="2"/>
      <scheme val="minor"/>
    </font>
    <font>
      <sz val="8"/>
      <color rgb="FF242424"/>
      <name val="Segoe UI"/>
      <family val="2"/>
    </font>
    <font>
      <sz val="11"/>
      <color theme="5" tint="-0.499984740745262"/>
      <name val="Aptos Narrow"/>
      <family val="2"/>
      <scheme val="minor"/>
    </font>
    <font>
      <sz val="12"/>
      <color rgb="FF000000"/>
      <name val="Aptos"/>
      <charset val="1"/>
    </font>
  </fonts>
  <fills count="46">
    <fill>
      <patternFill patternType="none"/>
    </fill>
    <fill>
      <patternFill patternType="gray125"/>
    </fill>
    <fill>
      <patternFill patternType="solid">
        <fgColor rgb="FF92D050"/>
        <bgColor indexed="64"/>
      </patternFill>
    </fill>
    <fill>
      <patternFill patternType="solid">
        <fgColor rgb="FF0070C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5"/>
        <bgColor indexed="64"/>
      </patternFill>
    </fill>
    <fill>
      <patternFill patternType="solid">
        <fgColor theme="8" tint="0.59999389629810485"/>
        <bgColor indexed="64"/>
      </patternFill>
    </fill>
    <fill>
      <patternFill patternType="solid">
        <fgColor rgb="FF2C3E50"/>
        <bgColor rgb="FF333333"/>
      </patternFill>
    </fill>
    <fill>
      <patternFill patternType="solid">
        <fgColor rgb="FFC00000"/>
        <bgColor rgb="FF333333"/>
      </patternFill>
    </fill>
    <fill>
      <patternFill patternType="solid">
        <fgColor theme="3" tint="0.89999084444715716"/>
        <bgColor indexed="64"/>
      </patternFill>
    </fill>
    <fill>
      <patternFill patternType="solid">
        <fgColor rgb="FF002060"/>
        <bgColor indexed="64"/>
      </patternFill>
    </fill>
    <fill>
      <patternFill patternType="solid">
        <fgColor theme="4" tint="-0.249977111117893"/>
        <bgColor theme="4" tint="-0.249977111117893"/>
      </patternFill>
    </fill>
    <fill>
      <patternFill patternType="solid">
        <fgColor rgb="FFD9EAD3"/>
        <bgColor rgb="FFE8E8E8"/>
      </patternFill>
    </fill>
    <fill>
      <patternFill patternType="solid">
        <fgColor rgb="FFEAF4E5"/>
        <bgColor rgb="FFE8E8E8"/>
      </patternFill>
    </fill>
    <fill>
      <patternFill patternType="solid">
        <fgColor rgb="FFC00000"/>
        <bgColor rgb="FF9C0006"/>
      </patternFill>
    </fill>
    <fill>
      <patternFill patternType="solid">
        <fgColor rgb="FF2C3E50"/>
        <bgColor rgb="FF1B2A4A"/>
      </patternFill>
    </fill>
    <fill>
      <patternFill patternType="solid">
        <fgColor theme="9" tint="-0.499984740745262"/>
        <bgColor rgb="FF2C3E50"/>
      </patternFill>
    </fill>
    <fill>
      <patternFill patternType="solid">
        <fgColor theme="9" tint="-0.499984740745262"/>
        <bgColor rgb="FFE8E8E8"/>
      </patternFill>
    </fill>
    <fill>
      <patternFill patternType="solid">
        <fgColor theme="4"/>
        <bgColor indexed="64"/>
      </patternFill>
    </fill>
    <fill>
      <patternFill patternType="solid">
        <fgColor theme="4"/>
        <bgColor rgb="FF333333"/>
      </patternFill>
    </fill>
    <fill>
      <patternFill patternType="solid">
        <fgColor theme="3" tint="0.749992370372631"/>
        <bgColor rgb="FF333333"/>
      </patternFill>
    </fill>
    <fill>
      <patternFill patternType="solid">
        <fgColor theme="3" tint="0.749992370372631"/>
        <bgColor rgb="FFE8E8E8"/>
      </patternFill>
    </fill>
    <fill>
      <patternFill patternType="solid">
        <fgColor rgb="FF1F4E79"/>
        <bgColor indexed="64"/>
      </patternFill>
    </fill>
    <fill>
      <patternFill patternType="solid">
        <fgColor rgb="FF2E7D6F"/>
        <bgColor indexed="64"/>
      </patternFill>
    </fill>
    <fill>
      <patternFill patternType="solid">
        <fgColor rgb="FFC45911"/>
        <bgColor indexed="64"/>
      </patternFill>
    </fill>
    <fill>
      <patternFill patternType="solid">
        <fgColor rgb="FF00B050"/>
        <bgColor indexed="64"/>
      </patternFill>
    </fill>
    <fill>
      <patternFill patternType="solid">
        <fgColor rgb="FF2E75B6"/>
        <bgColor indexed="64"/>
      </patternFill>
    </fill>
    <fill>
      <patternFill patternType="solid">
        <fgColor rgb="FF5B9BD5"/>
        <bgColor indexed="64"/>
      </patternFill>
    </fill>
    <fill>
      <patternFill patternType="solid">
        <fgColor rgb="FFFFC000"/>
        <bgColor indexed="64"/>
      </patternFill>
    </fill>
    <fill>
      <patternFill patternType="solid">
        <fgColor rgb="FFD5E8E4"/>
        <bgColor indexed="64"/>
      </patternFill>
    </fill>
    <fill>
      <patternFill patternType="solid">
        <fgColor rgb="FFE2EFDA"/>
        <bgColor indexed="64"/>
      </patternFill>
    </fill>
    <fill>
      <patternFill patternType="solid">
        <fgColor rgb="FF4472C4"/>
        <bgColor indexed="64"/>
      </patternFill>
    </fill>
    <fill>
      <patternFill patternType="solid">
        <fgColor rgb="FFD6DCE4"/>
        <bgColor indexed="64"/>
      </patternFill>
    </fill>
    <fill>
      <patternFill patternType="solid">
        <fgColor rgb="FFFFF2CC"/>
        <bgColor indexed="64"/>
      </patternFill>
    </fill>
    <fill>
      <patternFill patternType="solid">
        <fgColor rgb="FFDDEBF7"/>
        <bgColor indexed="64"/>
      </patternFill>
    </fill>
    <fill>
      <patternFill patternType="solid">
        <fgColor rgb="FFD9E1F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5F5F5"/>
        <bgColor indexed="64"/>
      </patternFill>
    </fill>
    <fill>
      <patternFill patternType="solid">
        <fgColor theme="9" tint="0.39997558519241921"/>
        <bgColor indexed="64"/>
      </patternFill>
    </fill>
    <fill>
      <patternFill patternType="solid">
        <fgColor theme="4"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dashDot">
        <color indexed="64"/>
      </left>
      <right style="dashDot">
        <color indexed="64"/>
      </right>
      <top style="dashDot">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bottom style="thin">
        <color theme="4" tint="0.79998168889431442"/>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diagonal/>
    </border>
    <border>
      <left style="medium">
        <color rgb="FFE6E6E6"/>
      </left>
      <right style="medium">
        <color rgb="FFE6E6E6"/>
      </right>
      <top style="medium">
        <color rgb="FFE6E6E6"/>
      </top>
      <bottom style="medium">
        <color rgb="FFE6E6E6"/>
      </bottom>
      <diagonal/>
    </border>
  </borders>
  <cellStyleXfs count="6">
    <xf numFmtId="0" fontId="0" fillId="0" borderId="0"/>
    <xf numFmtId="0" fontId="3" fillId="0" borderId="0"/>
    <xf numFmtId="44" fontId="3" fillId="0" borderId="0" applyFont="0" applyFill="0" applyBorder="0" applyAlignment="0" applyProtection="0"/>
    <xf numFmtId="0" fontId="13" fillId="0" borderId="0"/>
    <xf numFmtId="43" fontId="3" fillId="0" borderId="0" applyFont="0" applyFill="0" applyBorder="0" applyAlignment="0" applyProtection="0"/>
    <xf numFmtId="0" fontId="3" fillId="0" borderId="0"/>
  </cellStyleXfs>
  <cellXfs count="367">
    <xf numFmtId="0" fontId="0" fillId="0" borderId="0" xfId="0"/>
    <xf numFmtId="0" fontId="0" fillId="0" borderId="1" xfId="0" applyBorder="1"/>
    <xf numFmtId="0" fontId="0" fillId="0" borderId="0" xfId="0" applyAlignment="1">
      <alignment vertical="center"/>
    </xf>
    <xf numFmtId="0" fontId="0" fillId="0" borderId="1" xfId="0" applyBorder="1" applyAlignment="1">
      <alignment horizontal="center" vertical="center"/>
    </xf>
    <xf numFmtId="0" fontId="0" fillId="0" borderId="0" xfId="0" applyAlignment="1">
      <alignment horizontal="center" vertical="center"/>
    </xf>
    <xf numFmtId="8" fontId="0" fillId="0" borderId="0" xfId="0" applyNumberFormat="1" applyAlignment="1">
      <alignment vertical="center"/>
    </xf>
    <xf numFmtId="0" fontId="0" fillId="0" borderId="1" xfId="0" applyBorder="1" applyAlignment="1">
      <alignment vertical="center"/>
    </xf>
    <xf numFmtId="0" fontId="0" fillId="0" borderId="2" xfId="0" applyBorder="1" applyAlignment="1">
      <alignment vertical="center"/>
    </xf>
    <xf numFmtId="14" fontId="0" fillId="0" borderId="1" xfId="0" applyNumberFormat="1" applyBorder="1" applyAlignment="1">
      <alignment horizontal="left" vertical="center"/>
    </xf>
    <xf numFmtId="0" fontId="0" fillId="0" borderId="0" xfId="0" pivotButton="1"/>
    <xf numFmtId="2" fontId="0" fillId="0" borderId="0" xfId="0" applyNumberFormat="1" applyAlignment="1">
      <alignment vertical="center"/>
    </xf>
    <xf numFmtId="14" fontId="0" fillId="0" borderId="1" xfId="0" applyNumberFormat="1" applyBorder="1" applyAlignment="1">
      <alignment horizontal="center" vertical="center"/>
    </xf>
    <xf numFmtId="0" fontId="2" fillId="0" borderId="0" xfId="0" applyFont="1"/>
    <xf numFmtId="0" fontId="0" fillId="0" borderId="0" xfId="0" applyAlignment="1">
      <alignment horizontal="left"/>
    </xf>
    <xf numFmtId="14" fontId="0" fillId="0" borderId="1" xfId="0" applyNumberFormat="1" applyBorder="1" applyAlignment="1">
      <alignment vertical="center"/>
    </xf>
    <xf numFmtId="8" fontId="0" fillId="0" borderId="1" xfId="0" applyNumberFormat="1" applyBorder="1" applyAlignment="1">
      <alignment horizontal="center" vertical="center"/>
    </xf>
    <xf numFmtId="0" fontId="0" fillId="0" borderId="1" xfId="0" applyBorder="1" applyAlignment="1">
      <alignment horizontal="left" vertical="center"/>
    </xf>
    <xf numFmtId="8" fontId="0" fillId="0" borderId="3" xfId="0" applyNumberFormat="1" applyBorder="1" applyAlignment="1">
      <alignment horizontal="center" vertical="center"/>
    </xf>
    <xf numFmtId="0" fontId="0" fillId="0" borderId="4" xfId="0"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0" fillId="0" borderId="0" xfId="0" applyAlignment="1">
      <alignment wrapText="1"/>
    </xf>
    <xf numFmtId="0" fontId="0" fillId="0" borderId="6" xfId="0" applyBorder="1" applyAlignment="1">
      <alignment horizontal="center" vertical="center"/>
    </xf>
    <xf numFmtId="0" fontId="0" fillId="0" borderId="6" xfId="0" applyBorder="1" applyAlignment="1">
      <alignment vertical="center"/>
    </xf>
    <xf numFmtId="8" fontId="0" fillId="0" borderId="6" xfId="0" applyNumberFormat="1" applyBorder="1" applyAlignment="1">
      <alignment horizontal="center" vertical="center"/>
    </xf>
    <xf numFmtId="14" fontId="0" fillId="0" borderId="6" xfId="0" applyNumberFormat="1" applyBorder="1" applyAlignment="1">
      <alignment horizontal="left" vertical="center"/>
    </xf>
    <xf numFmtId="0" fontId="0" fillId="0" borderId="7" xfId="0" applyBorder="1" applyAlignment="1">
      <alignment vertical="center"/>
    </xf>
    <xf numFmtId="8" fontId="0" fillId="0" borderId="1" xfId="0" applyNumberFormat="1" applyBorder="1" applyAlignment="1">
      <alignment vertical="center"/>
    </xf>
    <xf numFmtId="0" fontId="4" fillId="0" borderId="1" xfId="0" applyFont="1" applyBorder="1" applyAlignment="1">
      <alignment vertical="center"/>
    </xf>
    <xf numFmtId="14" fontId="0" fillId="0" borderId="3" xfId="0" applyNumberFormat="1" applyBorder="1" applyAlignment="1">
      <alignment horizontal="center" vertical="center"/>
    </xf>
    <xf numFmtId="8" fontId="0" fillId="0" borderId="4" xfId="0" applyNumberFormat="1" applyBorder="1" applyAlignment="1">
      <alignment vertical="center"/>
    </xf>
    <xf numFmtId="0" fontId="0" fillId="0" borderId="8" xfId="0" applyBorder="1" applyAlignment="1">
      <alignment vertical="center"/>
    </xf>
    <xf numFmtId="0" fontId="0" fillId="0" borderId="0" xfId="0" applyAlignment="1">
      <alignment vertical="top"/>
    </xf>
    <xf numFmtId="14" fontId="0" fillId="0" borderId="1" xfId="0" applyNumberFormat="1" applyBorder="1" applyAlignment="1">
      <alignment horizontal="left" vertical="top"/>
    </xf>
    <xf numFmtId="0" fontId="0" fillId="0" borderId="1" xfId="0" applyBorder="1" applyAlignment="1">
      <alignment horizontal="left" vertical="top"/>
    </xf>
    <xf numFmtId="14" fontId="0" fillId="0" borderId="1" xfId="0" applyNumberFormat="1" applyBorder="1" applyAlignment="1">
      <alignment horizontal="center" vertical="top"/>
    </xf>
    <xf numFmtId="14" fontId="0" fillId="0" borderId="6" xfId="0" applyNumberFormat="1" applyBorder="1" applyAlignment="1">
      <alignment horizontal="left" vertical="top"/>
    </xf>
    <xf numFmtId="0" fontId="2" fillId="2" borderId="1" xfId="0" applyFont="1" applyFill="1" applyBorder="1" applyAlignment="1">
      <alignment horizontal="center" vertical="top" wrapText="1"/>
    </xf>
    <xf numFmtId="0" fontId="0" fillId="0" borderId="0" xfId="0" applyAlignment="1">
      <alignment horizontal="center" vertical="top" wrapText="1"/>
    </xf>
    <xf numFmtId="0" fontId="5" fillId="0" borderId="0" xfId="1" applyFont="1"/>
    <xf numFmtId="2" fontId="5" fillId="0" borderId="0" xfId="1" applyNumberFormat="1" applyFont="1"/>
    <xf numFmtId="0" fontId="6" fillId="0" borderId="0" xfId="1" applyFont="1"/>
    <xf numFmtId="0" fontId="7" fillId="8" borderId="9" xfId="1" applyFont="1" applyFill="1" applyBorder="1" applyAlignment="1">
      <alignment horizontal="center" vertical="top" wrapText="1"/>
    </xf>
    <xf numFmtId="0" fontId="6" fillId="0" borderId="0" xfId="1" applyFont="1" applyAlignment="1">
      <alignment vertical="top"/>
    </xf>
    <xf numFmtId="0" fontId="8" fillId="6" borderId="1" xfId="1" applyFont="1" applyFill="1" applyBorder="1" applyAlignment="1">
      <alignment horizontal="center"/>
    </xf>
    <xf numFmtId="164" fontId="8" fillId="0" borderId="1" xfId="1" applyNumberFormat="1" applyFont="1" applyBorder="1" applyAlignment="1">
      <alignment horizontal="left"/>
    </xf>
    <xf numFmtId="165" fontId="5" fillId="0" borderId="1" xfId="1" applyNumberFormat="1" applyFont="1" applyBorder="1" applyAlignment="1">
      <alignment horizontal="center"/>
    </xf>
    <xf numFmtId="164" fontId="5" fillId="0" borderId="1" xfId="1" applyNumberFormat="1" applyFont="1" applyBorder="1" applyAlignment="1">
      <alignment horizontal="left"/>
    </xf>
    <xf numFmtId="0" fontId="5" fillId="0" borderId="1" xfId="1" applyFont="1" applyBorder="1" applyAlignment="1">
      <alignment horizontal="center"/>
    </xf>
    <xf numFmtId="2" fontId="5" fillId="0" borderId="1" xfId="1" applyNumberFormat="1" applyFont="1" applyBorder="1" applyAlignment="1">
      <alignment horizontal="center"/>
    </xf>
    <xf numFmtId="0" fontId="8" fillId="5" borderId="1" xfId="1" applyFont="1" applyFill="1" applyBorder="1" applyAlignment="1">
      <alignment horizontal="center"/>
    </xf>
    <xf numFmtId="164" fontId="5" fillId="5" borderId="1" xfId="1" applyNumberFormat="1" applyFont="1" applyFill="1" applyBorder="1" applyAlignment="1">
      <alignment horizontal="left"/>
    </xf>
    <xf numFmtId="0" fontId="5" fillId="5" borderId="1" xfId="1" applyFont="1" applyFill="1" applyBorder="1" applyAlignment="1">
      <alignment horizontal="center"/>
    </xf>
    <xf numFmtId="2" fontId="5" fillId="5" borderId="1" xfId="1" applyNumberFormat="1" applyFont="1" applyFill="1" applyBorder="1" applyAlignment="1">
      <alignment horizontal="center"/>
    </xf>
    <xf numFmtId="0" fontId="8" fillId="9" borderId="1" xfId="1" applyFont="1" applyFill="1" applyBorder="1" applyAlignment="1">
      <alignment horizontal="center"/>
    </xf>
    <xf numFmtId="164" fontId="5" fillId="9" borderId="1" xfId="1" applyNumberFormat="1" applyFont="1" applyFill="1" applyBorder="1" applyAlignment="1">
      <alignment horizontal="left"/>
    </xf>
    <xf numFmtId="0" fontId="5" fillId="9" borderId="1" xfId="1" applyFont="1" applyFill="1" applyBorder="1" applyAlignment="1">
      <alignment horizontal="center"/>
    </xf>
    <xf numFmtId="2" fontId="5" fillId="9" borderId="1" xfId="1" applyNumberFormat="1" applyFont="1" applyFill="1" applyBorder="1" applyAlignment="1">
      <alignment horizontal="center"/>
    </xf>
    <xf numFmtId="0" fontId="8" fillId="4" borderId="1" xfId="1" applyFont="1" applyFill="1" applyBorder="1" applyAlignment="1">
      <alignment horizontal="center"/>
    </xf>
    <xf numFmtId="164" fontId="5" fillId="4" borderId="1" xfId="1" applyNumberFormat="1" applyFont="1" applyFill="1" applyBorder="1" applyAlignment="1">
      <alignment horizontal="left"/>
    </xf>
    <xf numFmtId="0" fontId="5" fillId="4" borderId="1" xfId="1" applyFont="1" applyFill="1" applyBorder="1" applyAlignment="1">
      <alignment horizontal="center"/>
    </xf>
    <xf numFmtId="2" fontId="5" fillId="4" borderId="1" xfId="1" applyNumberFormat="1" applyFont="1" applyFill="1" applyBorder="1" applyAlignment="1">
      <alignment horizontal="center"/>
    </xf>
    <xf numFmtId="0" fontId="8" fillId="5" borderId="1" xfId="1" applyFont="1" applyFill="1" applyBorder="1" applyAlignment="1">
      <alignment horizontal="center" vertical="center"/>
    </xf>
    <xf numFmtId="164" fontId="5" fillId="5" borderId="1" xfId="1" applyNumberFormat="1" applyFont="1" applyFill="1" applyBorder="1" applyAlignment="1">
      <alignment horizontal="left" vertical="center"/>
    </xf>
    <xf numFmtId="0" fontId="5" fillId="5" borderId="1" xfId="1" applyFont="1" applyFill="1" applyBorder="1" applyAlignment="1">
      <alignment horizontal="center" vertical="center"/>
    </xf>
    <xf numFmtId="2" fontId="5" fillId="5" borderId="1" xfId="1" applyNumberFormat="1" applyFont="1" applyFill="1" applyBorder="1" applyAlignment="1">
      <alignment horizontal="center" vertical="center"/>
    </xf>
    <xf numFmtId="0" fontId="5" fillId="5" borderId="1" xfId="1" applyFont="1" applyFill="1" applyBorder="1" applyAlignment="1">
      <alignment horizontal="center" vertical="center" wrapText="1"/>
    </xf>
    <xf numFmtId="0" fontId="6" fillId="0" borderId="0" xfId="1" applyFont="1" applyAlignment="1">
      <alignment vertical="center"/>
    </xf>
    <xf numFmtId="14" fontId="0" fillId="0" borderId="8" xfId="0" applyNumberFormat="1" applyBorder="1" applyAlignment="1">
      <alignment horizontal="left" vertical="center"/>
    </xf>
    <xf numFmtId="0" fontId="9" fillId="7" borderId="1" xfId="0" applyFont="1" applyFill="1" applyBorder="1" applyAlignment="1">
      <alignment horizontal="center" vertical="top" wrapText="1"/>
    </xf>
    <xf numFmtId="166" fontId="0" fillId="0" borderId="0" xfId="0" applyNumberFormat="1"/>
    <xf numFmtId="0" fontId="9" fillId="7" borderId="10" xfId="0" applyFont="1" applyFill="1" applyBorder="1" applyAlignment="1">
      <alignment vertical="center"/>
    </xf>
    <xf numFmtId="0" fontId="0" fillId="0" borderId="3"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vertical="center"/>
    </xf>
    <xf numFmtId="0" fontId="0" fillId="0" borderId="15" xfId="0" applyBorder="1" applyAlignment="1">
      <alignment vertical="center"/>
    </xf>
    <xf numFmtId="0" fontId="0" fillId="0" borderId="13" xfId="0" applyBorder="1" applyAlignment="1">
      <alignment vertical="center"/>
    </xf>
    <xf numFmtId="0" fontId="0" fillId="0" borderId="8" xfId="0" applyBorder="1" applyAlignment="1">
      <alignment horizontal="center" vertical="center"/>
    </xf>
    <xf numFmtId="8" fontId="0" fillId="0" borderId="14" xfId="0" applyNumberFormat="1" applyBorder="1" applyAlignment="1">
      <alignment horizontal="center" vertical="center"/>
    </xf>
    <xf numFmtId="14" fontId="0" fillId="0" borderId="14" xfId="0" applyNumberFormat="1" applyBorder="1" applyAlignment="1">
      <alignment horizontal="left" vertical="center"/>
    </xf>
    <xf numFmtId="14" fontId="0" fillId="0" borderId="14" xfId="0" applyNumberFormat="1" applyBorder="1" applyAlignment="1">
      <alignment horizontal="center" vertical="center"/>
    </xf>
    <xf numFmtId="14" fontId="0" fillId="0" borderId="14" xfId="0" applyNumberFormat="1" applyBorder="1" applyAlignment="1">
      <alignment horizontal="left" vertical="top"/>
    </xf>
    <xf numFmtId="0" fontId="0" fillId="0" borderId="1" xfId="0" applyBorder="1" applyAlignment="1">
      <alignment vertical="top"/>
    </xf>
    <xf numFmtId="167" fontId="0" fillId="0" borderId="1" xfId="0" applyNumberFormat="1" applyBorder="1" applyAlignment="1">
      <alignment horizontal="center" vertical="center"/>
    </xf>
    <xf numFmtId="167" fontId="0" fillId="0" borderId="6" xfId="0" applyNumberFormat="1" applyBorder="1" applyAlignment="1">
      <alignment horizontal="center" vertical="center"/>
    </xf>
    <xf numFmtId="167" fontId="0" fillId="0" borderId="14" xfId="0" applyNumberFormat="1" applyBorder="1" applyAlignment="1">
      <alignment horizontal="center" vertical="center"/>
    </xf>
    <xf numFmtId="167" fontId="0" fillId="0" borderId="0" xfId="0" applyNumberFormat="1" applyAlignment="1">
      <alignment horizontal="center" vertical="center"/>
    </xf>
    <xf numFmtId="16" fontId="0" fillId="0" borderId="1" xfId="0" applyNumberFormat="1" applyBorder="1" applyAlignment="1">
      <alignment horizontal="left" vertical="center"/>
    </xf>
    <xf numFmtId="16" fontId="0" fillId="0" borderId="1" xfId="0" applyNumberFormat="1" applyBorder="1" applyAlignment="1">
      <alignment horizontal="left" vertical="top"/>
    </xf>
    <xf numFmtId="14" fontId="2" fillId="4" borderId="1" xfId="0" applyNumberFormat="1" applyFont="1" applyFill="1" applyBorder="1" applyAlignment="1">
      <alignment horizontal="center" vertical="top" wrapText="1"/>
    </xf>
    <xf numFmtId="14" fontId="0" fillId="0" borderId="0" xfId="0" applyNumberFormat="1" applyAlignment="1">
      <alignment horizontal="center" vertical="center"/>
    </xf>
    <xf numFmtId="14" fontId="0" fillId="0" borderId="6" xfId="0" applyNumberFormat="1" applyBorder="1" applyAlignment="1">
      <alignment horizontal="center" vertical="center"/>
    </xf>
    <xf numFmtId="167" fontId="2" fillId="10" borderId="1" xfId="0" applyNumberFormat="1" applyFont="1" applyFill="1" applyBorder="1" applyAlignment="1">
      <alignment horizontal="center" vertical="top" wrapText="1"/>
    </xf>
    <xf numFmtId="0" fontId="2" fillId="10" borderId="1" xfId="0" applyFont="1" applyFill="1" applyBorder="1" applyAlignment="1">
      <alignment horizontal="center" vertical="top" wrapText="1"/>
    </xf>
    <xf numFmtId="14" fontId="0" fillId="0" borderId="5" xfId="0" applyNumberFormat="1" applyBorder="1" applyAlignment="1">
      <alignment horizontal="left" vertical="center"/>
    </xf>
    <xf numFmtId="0" fontId="0" fillId="0" borderId="5" xfId="0" applyBorder="1" applyAlignment="1">
      <alignment horizontal="center" vertical="center"/>
    </xf>
    <xf numFmtId="167"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0" borderId="2" xfId="0" applyBorder="1" applyAlignment="1">
      <alignment horizontal="center" vertical="center"/>
    </xf>
    <xf numFmtId="0" fontId="0" fillId="0" borderId="6" xfId="0" applyBorder="1" applyAlignment="1">
      <alignment vertical="top"/>
    </xf>
    <xf numFmtId="0" fontId="0" fillId="0" borderId="6" xfId="0" applyBorder="1"/>
    <xf numFmtId="14" fontId="0" fillId="0" borderId="14" xfId="0" applyNumberFormat="1" applyBorder="1" applyAlignment="1">
      <alignment vertical="center"/>
    </xf>
    <xf numFmtId="0" fontId="0" fillId="0" borderId="0" xfId="0" applyAlignment="1">
      <alignment horizontal="left" vertical="center"/>
    </xf>
    <xf numFmtId="0" fontId="2" fillId="2" borderId="1" xfId="0" applyFont="1" applyFill="1" applyBorder="1" applyAlignment="1">
      <alignment horizontal="left" vertical="top" wrapText="1"/>
    </xf>
    <xf numFmtId="0" fontId="1" fillId="3"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14" fontId="6" fillId="0" borderId="0" xfId="1" applyNumberFormat="1" applyFont="1"/>
    <xf numFmtId="8" fontId="0" fillId="0" borderId="4" xfId="0" applyNumberFormat="1" applyBorder="1" applyAlignment="1">
      <alignment vertical="center" wrapText="1"/>
    </xf>
    <xf numFmtId="44" fontId="0" fillId="0" borderId="0" xfId="2" applyFont="1"/>
    <xf numFmtId="168" fontId="0" fillId="0" borderId="0" xfId="2" applyNumberFormat="1" applyFont="1"/>
    <xf numFmtId="169" fontId="0" fillId="0" borderId="0" xfId="0" applyNumberFormat="1" applyAlignment="1">
      <alignment horizontal="left"/>
    </xf>
    <xf numFmtId="0" fontId="11" fillId="11" borderId="0" xfId="0" applyFont="1" applyFill="1" applyAlignment="1">
      <alignment horizontal="center" vertical="top" wrapText="1"/>
    </xf>
    <xf numFmtId="0" fontId="11" fillId="12" borderId="0" xfId="0" applyFont="1" applyFill="1" applyAlignment="1">
      <alignment horizontal="center" vertical="top" wrapText="1"/>
    </xf>
    <xf numFmtId="0" fontId="2" fillId="0" borderId="0" xfId="0" applyFont="1" applyAlignment="1">
      <alignment horizontal="center" vertical="center" wrapText="1"/>
    </xf>
    <xf numFmtId="0" fontId="0" fillId="0" borderId="0" xfId="0" applyAlignment="1">
      <alignment vertical="center" wrapText="1"/>
    </xf>
    <xf numFmtId="0" fontId="0" fillId="13" borderId="0" xfId="0" applyFill="1" applyAlignment="1">
      <alignment vertical="center" wrapText="1"/>
    </xf>
    <xf numFmtId="0" fontId="0" fillId="13" borderId="0" xfId="0" applyFill="1"/>
    <xf numFmtId="0" fontId="10" fillId="0" borderId="0" xfId="0" applyFont="1"/>
    <xf numFmtId="0" fontId="14" fillId="0" borderId="0" xfId="0" applyFont="1" applyAlignment="1">
      <alignment wrapText="1"/>
    </xf>
    <xf numFmtId="170" fontId="14" fillId="0" borderId="0" xfId="0" applyNumberFormat="1" applyFont="1" applyAlignment="1">
      <alignment horizontal="center" wrapText="1"/>
    </xf>
    <xf numFmtId="0" fontId="2" fillId="0" borderId="0" xfId="0" applyFont="1" applyAlignment="1">
      <alignment horizontal="center" vertical="center"/>
    </xf>
    <xf numFmtId="0" fontId="0" fillId="0" borderId="0" xfId="0" applyAlignment="1">
      <alignment horizontal="center"/>
    </xf>
    <xf numFmtId="171" fontId="6" fillId="0" borderId="0" xfId="4" applyNumberFormat="1" applyFont="1"/>
    <xf numFmtId="0" fontId="15" fillId="14" borderId="6" xfId="3" applyFont="1" applyFill="1" applyBorder="1" applyAlignment="1">
      <alignment horizontal="center" vertical="center" wrapText="1"/>
    </xf>
    <xf numFmtId="0" fontId="16" fillId="0" borderId="0" xfId="0" applyFont="1" applyAlignment="1">
      <alignment vertical="center" wrapText="1"/>
    </xf>
    <xf numFmtId="0" fontId="17" fillId="0" borderId="0" xfId="0" applyFont="1" applyAlignment="1">
      <alignment vertical="center" wrapText="1"/>
    </xf>
    <xf numFmtId="170" fontId="17" fillId="0" borderId="0" xfId="0" applyNumberFormat="1" applyFont="1" applyAlignment="1">
      <alignment horizontal="center" vertical="center" wrapText="1"/>
    </xf>
    <xf numFmtId="0" fontId="16" fillId="0" borderId="0" xfId="0" applyFont="1" applyAlignment="1">
      <alignment vertical="center"/>
    </xf>
    <xf numFmtId="170" fontId="16" fillId="0" borderId="0" xfId="0" applyNumberFormat="1" applyFont="1" applyAlignment="1">
      <alignment horizontal="center" vertical="center"/>
    </xf>
    <xf numFmtId="170" fontId="16" fillId="0" borderId="0" xfId="0" applyNumberFormat="1" applyFont="1" applyAlignment="1">
      <alignment horizontal="center" vertical="center" wrapText="1"/>
    </xf>
    <xf numFmtId="0" fontId="18" fillId="0" borderId="0" xfId="0" applyFont="1" applyAlignment="1">
      <alignment vertical="center" wrapText="1"/>
    </xf>
    <xf numFmtId="0" fontId="19" fillId="0" borderId="0" xfId="0" applyFont="1" applyAlignment="1">
      <alignment vertical="center" wrapText="1"/>
    </xf>
    <xf numFmtId="172" fontId="17" fillId="0" borderId="0" xfId="2" applyNumberFormat="1" applyFont="1" applyAlignment="1">
      <alignment vertical="center" wrapText="1"/>
    </xf>
    <xf numFmtId="172" fontId="16" fillId="0" borderId="0" xfId="2" applyNumberFormat="1" applyFont="1" applyAlignment="1">
      <alignment vertical="center" wrapText="1"/>
    </xf>
    <xf numFmtId="170" fontId="18" fillId="0" borderId="0" xfId="0" applyNumberFormat="1" applyFont="1" applyAlignment="1">
      <alignment horizontal="center" vertical="center" wrapText="1"/>
    </xf>
    <xf numFmtId="170" fontId="19" fillId="0" borderId="0" xfId="0" applyNumberFormat="1" applyFont="1" applyAlignment="1">
      <alignment horizontal="center" vertical="center"/>
    </xf>
    <xf numFmtId="170" fontId="19" fillId="0" borderId="0" xfId="0" applyNumberFormat="1" applyFont="1" applyAlignment="1">
      <alignment horizontal="center" vertical="center" wrapText="1"/>
    </xf>
    <xf numFmtId="44" fontId="0" fillId="0" borderId="0" xfId="2" applyFont="1" applyFill="1"/>
    <xf numFmtId="168" fontId="0" fillId="0" borderId="0" xfId="2" applyNumberFormat="1" applyFont="1" applyFill="1"/>
    <xf numFmtId="0" fontId="20" fillId="0" borderId="0" xfId="0" applyFont="1" applyAlignment="1">
      <alignment vertical="center" wrapText="1"/>
    </xf>
    <xf numFmtId="170" fontId="20" fillId="0" borderId="0" xfId="0" applyNumberFormat="1" applyFont="1" applyAlignment="1">
      <alignment horizontal="center" vertical="center" wrapText="1"/>
    </xf>
    <xf numFmtId="170" fontId="20" fillId="0" borderId="0" xfId="0" applyNumberFormat="1" applyFont="1" applyAlignment="1">
      <alignment horizontal="center" vertical="center"/>
    </xf>
    <xf numFmtId="0" fontId="15" fillId="14" borderId="6" xfId="3" applyFont="1" applyFill="1" applyBorder="1" applyAlignment="1">
      <alignment horizontal="center" vertical="top" wrapText="1"/>
    </xf>
    <xf numFmtId="172" fontId="12" fillId="4" borderId="6" xfId="2" applyNumberFormat="1" applyFont="1" applyFill="1" applyBorder="1" applyAlignment="1">
      <alignment horizontal="center" vertical="top" wrapText="1"/>
    </xf>
    <xf numFmtId="0" fontId="12" fillId="4" borderId="6" xfId="3" applyFont="1" applyFill="1" applyBorder="1" applyAlignment="1">
      <alignment horizontal="center" vertical="top" wrapText="1"/>
    </xf>
    <xf numFmtId="0" fontId="15" fillId="3" borderId="6" xfId="3" applyFont="1" applyFill="1" applyBorder="1" applyAlignment="1">
      <alignment horizontal="center" vertical="top" wrapText="1"/>
    </xf>
    <xf numFmtId="170" fontId="15" fillId="3" borderId="6" xfId="3" applyNumberFormat="1" applyFont="1" applyFill="1" applyBorder="1" applyAlignment="1">
      <alignment horizontal="center" vertical="top" wrapText="1"/>
    </xf>
    <xf numFmtId="0" fontId="16" fillId="0" borderId="0" xfId="0" applyFont="1" applyAlignment="1">
      <alignment vertical="top" wrapText="1"/>
    </xf>
    <xf numFmtId="14" fontId="16" fillId="0" borderId="0" xfId="0" applyNumberFormat="1" applyFont="1" applyAlignment="1">
      <alignment vertical="center" wrapText="1"/>
    </xf>
    <xf numFmtId="0" fontId="15" fillId="0" borderId="0" xfId="0" applyFont="1" applyAlignment="1">
      <alignment vertical="center" wrapText="1"/>
    </xf>
    <xf numFmtId="0" fontId="23" fillId="0" borderId="0" xfId="0" applyFont="1" applyAlignment="1">
      <alignment vertical="center" wrapText="1"/>
    </xf>
    <xf numFmtId="172" fontId="23" fillId="0" borderId="0" xfId="2" applyNumberFormat="1" applyFont="1" applyAlignment="1">
      <alignment vertical="center" wrapText="1"/>
    </xf>
    <xf numFmtId="170" fontId="15" fillId="0" borderId="0" xfId="0" applyNumberFormat="1" applyFont="1" applyAlignment="1">
      <alignment horizontal="center" vertical="center" wrapText="1"/>
    </xf>
    <xf numFmtId="0" fontId="23" fillId="0" borderId="0" xfId="0" applyFont="1" applyAlignment="1">
      <alignment vertical="center"/>
    </xf>
    <xf numFmtId="0" fontId="18" fillId="0" borderId="0" xfId="0" applyFont="1" applyAlignment="1">
      <alignment vertical="top" wrapText="1"/>
    </xf>
    <xf numFmtId="0" fontId="26" fillId="0" borderId="1" xfId="1" applyFont="1" applyBorder="1" applyAlignment="1">
      <alignment horizontal="center" vertical="center"/>
    </xf>
    <xf numFmtId="0" fontId="19" fillId="0" borderId="0" xfId="0" applyFont="1" applyAlignment="1">
      <alignment horizontal="left" vertical="center" wrapText="1"/>
    </xf>
    <xf numFmtId="0" fontId="16" fillId="0" borderId="0" xfId="0" applyFont="1" applyAlignment="1">
      <alignment horizontal="left" vertical="center" wrapText="1"/>
    </xf>
    <xf numFmtId="17" fontId="19" fillId="0" borderId="0" xfId="0" applyNumberFormat="1" applyFont="1" applyAlignment="1">
      <alignment horizontal="left" vertical="center" wrapText="1"/>
    </xf>
    <xf numFmtId="0" fontId="17" fillId="0" borderId="0" xfId="0" applyFont="1" applyAlignment="1">
      <alignment horizontal="left" vertical="center" wrapText="1"/>
    </xf>
    <xf numFmtId="0" fontId="21" fillId="0" borderId="0" xfId="0" applyFont="1" applyAlignment="1">
      <alignment vertical="center" wrapText="1"/>
    </xf>
    <xf numFmtId="0" fontId="2" fillId="0" borderId="0" xfId="0" pivotButton="1" applyFont="1" applyAlignment="1">
      <alignment horizontal="center" vertical="top" wrapText="1"/>
    </xf>
    <xf numFmtId="0" fontId="2" fillId="0" borderId="0" xfId="0" applyFont="1" applyAlignment="1">
      <alignment horizontal="center" vertical="top" wrapText="1"/>
    </xf>
    <xf numFmtId="164" fontId="6" fillId="0" borderId="0" xfId="1" applyNumberFormat="1" applyFont="1"/>
    <xf numFmtId="0" fontId="27" fillId="0" borderId="0" xfId="0" applyFont="1"/>
    <xf numFmtId="0" fontId="1" fillId="15" borderId="16" xfId="0" applyFont="1" applyFill="1" applyBorder="1" applyAlignment="1">
      <alignment horizontal="center" vertical="center"/>
    </xf>
    <xf numFmtId="0" fontId="2" fillId="4" borderId="0" xfId="0" applyFont="1" applyFill="1"/>
    <xf numFmtId="0" fontId="28" fillId="11" borderId="0" xfId="0" applyFont="1" applyFill="1" applyAlignment="1">
      <alignment horizontal="center" vertical="top" wrapText="1"/>
    </xf>
    <xf numFmtId="0" fontId="28" fillId="11" borderId="0" xfId="0" applyFont="1" applyFill="1" applyAlignment="1">
      <alignment horizontal="center" vertical="top" shrinkToFit="1"/>
    </xf>
    <xf numFmtId="0" fontId="29" fillId="18" borderId="0" xfId="0" applyFont="1" applyFill="1" applyAlignment="1">
      <alignment horizontal="center" vertical="top" wrapText="1"/>
    </xf>
    <xf numFmtId="0" fontId="29" fillId="19" borderId="0" xfId="0" applyFont="1" applyFill="1" applyAlignment="1">
      <alignment horizontal="center" vertical="top" wrapText="1"/>
    </xf>
    <xf numFmtId="0" fontId="32" fillId="16" borderId="18" xfId="0" applyFont="1" applyFill="1" applyBorder="1" applyAlignment="1">
      <alignment horizontal="center" vertical="top" wrapText="1"/>
    </xf>
    <xf numFmtId="0" fontId="33" fillId="0" borderId="0" xfId="0" applyFont="1" applyAlignment="1">
      <alignment horizontal="center" vertical="top" wrapText="1"/>
    </xf>
    <xf numFmtId="0" fontId="34" fillId="0" borderId="1" xfId="0" applyFont="1" applyBorder="1"/>
    <xf numFmtId="0" fontId="34" fillId="0" borderId="1" xfId="0" applyFont="1" applyBorder="1" applyAlignment="1">
      <alignment vertical="center"/>
    </xf>
    <xf numFmtId="8" fontId="35" fillId="0" borderId="1" xfId="0" applyNumberFormat="1" applyFont="1" applyBorder="1"/>
    <xf numFmtId="0" fontId="35" fillId="0" borderId="1" xfId="0" applyFont="1" applyBorder="1"/>
    <xf numFmtId="14" fontId="35" fillId="0" borderId="1" xfId="0" applyNumberFormat="1" applyFont="1" applyBorder="1"/>
    <xf numFmtId="14" fontId="34" fillId="0" borderId="1" xfId="0" applyNumberFormat="1" applyFont="1" applyBorder="1"/>
    <xf numFmtId="44" fontId="34" fillId="0" borderId="1" xfId="2" applyFont="1" applyBorder="1"/>
    <xf numFmtId="49" fontId="34" fillId="0" borderId="1" xfId="2" applyNumberFormat="1" applyFont="1" applyBorder="1"/>
    <xf numFmtId="173" fontId="36" fillId="17" borderId="17" xfId="0" applyNumberFormat="1" applyFont="1" applyFill="1" applyBorder="1"/>
    <xf numFmtId="173" fontId="37" fillId="17" borderId="17" xfId="0" applyNumberFormat="1" applyFont="1" applyFill="1" applyBorder="1"/>
    <xf numFmtId="0" fontId="36" fillId="17" borderId="17" xfId="0" applyFont="1" applyFill="1" applyBorder="1" applyAlignment="1">
      <alignment horizontal="center"/>
    </xf>
    <xf numFmtId="0" fontId="35" fillId="0" borderId="4" xfId="0" applyFont="1" applyBorder="1" applyAlignment="1">
      <alignment shrinkToFit="1"/>
    </xf>
    <xf numFmtId="0" fontId="35" fillId="0" borderId="1" xfId="0" applyFont="1" applyBorder="1" applyAlignment="1">
      <alignment shrinkToFit="1"/>
    </xf>
    <xf numFmtId="0" fontId="35" fillId="0" borderId="0" xfId="0" applyFont="1"/>
    <xf numFmtId="44" fontId="38" fillId="0" borderId="1" xfId="2" applyFont="1" applyBorder="1"/>
    <xf numFmtId="44" fontId="34" fillId="4" borderId="1" xfId="2" applyFont="1" applyFill="1" applyBorder="1"/>
    <xf numFmtId="0" fontId="34" fillId="0" borderId="0" xfId="0" applyFont="1"/>
    <xf numFmtId="0" fontId="34" fillId="0" borderId="0" xfId="0" applyFont="1" applyAlignment="1">
      <alignment wrapText="1"/>
    </xf>
    <xf numFmtId="14" fontId="34" fillId="0" borderId="0" xfId="0" applyNumberFormat="1" applyFont="1"/>
    <xf numFmtId="44" fontId="39" fillId="0" borderId="0" xfId="2" applyFont="1"/>
    <xf numFmtId="49" fontId="39" fillId="0" borderId="0" xfId="2" applyNumberFormat="1" applyFont="1"/>
    <xf numFmtId="0" fontId="34" fillId="0" borderId="0" xfId="0" applyFont="1" applyAlignment="1">
      <alignment shrinkToFit="1"/>
    </xf>
    <xf numFmtId="0" fontId="40" fillId="21" borderId="18" xfId="0" applyFont="1" applyFill="1" applyBorder="1" applyAlignment="1">
      <alignment horizontal="center" vertical="top" wrapText="1"/>
    </xf>
    <xf numFmtId="0" fontId="2" fillId="0" borderId="0" xfId="0" applyFont="1" applyAlignment="1">
      <alignment horizontal="center" vertical="top"/>
    </xf>
    <xf numFmtId="14" fontId="6" fillId="4" borderId="0" xfId="1" applyNumberFormat="1" applyFont="1" applyFill="1"/>
    <xf numFmtId="0" fontId="6" fillId="4" borderId="0" xfId="1" applyFont="1" applyFill="1"/>
    <xf numFmtId="0" fontId="18" fillId="0" borderId="0" xfId="0" applyFont="1" applyAlignment="1">
      <alignment horizontal="left" vertical="center" wrapText="1"/>
    </xf>
    <xf numFmtId="172" fontId="17" fillId="0" borderId="0" xfId="2" applyNumberFormat="1" applyFont="1" applyAlignment="1">
      <alignment horizontal="center" vertical="center" wrapText="1"/>
    </xf>
    <xf numFmtId="0" fontId="17" fillId="0" borderId="0" xfId="0" applyFont="1" applyAlignment="1">
      <alignment horizontal="center" vertical="center" wrapText="1"/>
    </xf>
    <xf numFmtId="0" fontId="26" fillId="0" borderId="0" xfId="1" applyFont="1" applyAlignment="1">
      <alignment horizontal="center" vertical="center"/>
    </xf>
    <xf numFmtId="8" fontId="34" fillId="0" borderId="1" xfId="2" applyNumberFormat="1" applyFont="1" applyBorder="1"/>
    <xf numFmtId="44" fontId="34" fillId="2" borderId="1" xfId="2" applyFont="1" applyFill="1" applyBorder="1"/>
    <xf numFmtId="8" fontId="34" fillId="2" borderId="1" xfId="2" applyNumberFormat="1" applyFont="1" applyFill="1" applyBorder="1"/>
    <xf numFmtId="0" fontId="0" fillId="4" borderId="0" xfId="0" applyFill="1"/>
    <xf numFmtId="0" fontId="40" fillId="20" borderId="18" xfId="0" applyFont="1" applyFill="1" applyBorder="1" applyAlignment="1">
      <alignment horizontal="center" vertical="center" wrapText="1"/>
    </xf>
    <xf numFmtId="15" fontId="35" fillId="0" borderId="1" xfId="0" applyNumberFormat="1" applyFont="1" applyBorder="1"/>
    <xf numFmtId="0" fontId="45" fillId="4" borderId="9" xfId="1" applyFont="1" applyFill="1" applyBorder="1" applyAlignment="1">
      <alignment horizontal="center" vertical="top" wrapText="1"/>
    </xf>
    <xf numFmtId="44" fontId="46" fillId="22" borderId="0" xfId="2" applyFont="1" applyFill="1"/>
    <xf numFmtId="49" fontId="46" fillId="22" borderId="0" xfId="2" applyNumberFormat="1" applyFont="1" applyFill="1"/>
    <xf numFmtId="0" fontId="28" fillId="23" borderId="0" xfId="0" applyFont="1" applyFill="1" applyAlignment="1">
      <alignment horizontal="center" vertical="top" wrapText="1"/>
    </xf>
    <xf numFmtId="0" fontId="28" fillId="22" borderId="0" xfId="0" applyFont="1" applyFill="1" applyAlignment="1">
      <alignment horizontal="center" vertical="top" wrapText="1"/>
    </xf>
    <xf numFmtId="44" fontId="40" fillId="22" borderId="0" xfId="2" applyFont="1" applyFill="1"/>
    <xf numFmtId="0" fontId="31" fillId="24" borderId="0" xfId="0" applyFont="1" applyFill="1" applyAlignment="1">
      <alignment horizontal="center" vertical="top" wrapText="1"/>
    </xf>
    <xf numFmtId="0" fontId="31" fillId="25" borderId="18" xfId="0" applyFont="1" applyFill="1" applyBorder="1" applyAlignment="1">
      <alignment horizontal="center" vertical="top" wrapText="1"/>
    </xf>
    <xf numFmtId="0" fontId="42" fillId="0" borderId="0" xfId="0" applyFont="1"/>
    <xf numFmtId="164" fontId="5" fillId="29" borderId="1" xfId="1" applyNumberFormat="1" applyFont="1" applyFill="1" applyBorder="1" applyAlignment="1">
      <alignment horizontal="left"/>
    </xf>
    <xf numFmtId="0" fontId="49" fillId="13" borderId="0" xfId="0" applyFont="1" applyFill="1"/>
    <xf numFmtId="166" fontId="49" fillId="13" borderId="0" xfId="0" applyNumberFormat="1" applyFont="1" applyFill="1"/>
    <xf numFmtId="0" fontId="52" fillId="27" borderId="0" xfId="0" applyFont="1" applyFill="1" applyAlignment="1">
      <alignment horizontal="center" wrapText="1"/>
    </xf>
    <xf numFmtId="0" fontId="52" fillId="26" borderId="0" xfId="0" applyFont="1" applyFill="1" applyAlignment="1">
      <alignment wrapText="1"/>
    </xf>
    <xf numFmtId="0" fontId="53" fillId="30" borderId="0" xfId="0" applyFont="1" applyFill="1" applyAlignment="1">
      <alignment wrapText="1"/>
    </xf>
    <xf numFmtId="0" fontId="53" fillId="31" borderId="0" xfId="0" applyFont="1" applyFill="1" applyAlignment="1">
      <alignment wrapText="1"/>
    </xf>
    <xf numFmtId="0" fontId="52" fillId="27" borderId="0" xfId="0" applyFont="1" applyFill="1" applyAlignment="1">
      <alignment wrapText="1"/>
    </xf>
    <xf numFmtId="0" fontId="0" fillId="33" borderId="0" xfId="0" applyFill="1" applyAlignment="1">
      <alignment wrapText="1"/>
    </xf>
    <xf numFmtId="0" fontId="54" fillId="0" borderId="0" xfId="0" applyFont="1"/>
    <xf numFmtId="0" fontId="54" fillId="34" borderId="0" xfId="0" applyFont="1" applyFill="1"/>
    <xf numFmtId="0" fontId="54" fillId="0" borderId="0" xfId="0" applyFont="1" applyAlignment="1">
      <alignment wrapText="1"/>
    </xf>
    <xf numFmtId="0" fontId="54" fillId="34" borderId="0" xfId="0" applyFont="1" applyFill="1" applyAlignment="1">
      <alignment wrapText="1"/>
    </xf>
    <xf numFmtId="0" fontId="56" fillId="35" borderId="0" xfId="0" applyFont="1" applyFill="1"/>
    <xf numFmtId="0" fontId="2" fillId="36" borderId="0" xfId="0" applyFont="1" applyFill="1"/>
    <xf numFmtId="0" fontId="55" fillId="0" borderId="0" xfId="0" applyFont="1"/>
    <xf numFmtId="0" fontId="55" fillId="36" borderId="0" xfId="0" applyFont="1" applyFill="1"/>
    <xf numFmtId="0" fontId="55" fillId="36" borderId="0" xfId="0" applyFont="1" applyFill="1" applyAlignment="1">
      <alignment wrapText="1"/>
    </xf>
    <xf numFmtId="0" fontId="58" fillId="0" borderId="0" xfId="0" applyFont="1"/>
    <xf numFmtId="0" fontId="2" fillId="37" borderId="0" xfId="0" applyFont="1" applyFill="1"/>
    <xf numFmtId="0" fontId="2" fillId="34" borderId="0" xfId="0" applyFont="1" applyFill="1"/>
    <xf numFmtId="0" fontId="2" fillId="39" borderId="0" xfId="0" applyFont="1" applyFill="1"/>
    <xf numFmtId="0" fontId="0" fillId="40" borderId="0" xfId="0" applyFill="1"/>
    <xf numFmtId="0" fontId="0" fillId="41" borderId="0" xfId="0" applyFill="1"/>
    <xf numFmtId="0" fontId="59" fillId="40" borderId="0" xfId="0" applyFont="1" applyFill="1"/>
    <xf numFmtId="0" fontId="52" fillId="26" borderId="0" xfId="0" applyFont="1" applyFill="1"/>
    <xf numFmtId="166" fontId="58" fillId="0" borderId="0" xfId="0" applyNumberFormat="1" applyFont="1"/>
    <xf numFmtId="0" fontId="0" fillId="2" borderId="0" xfId="0" applyFill="1"/>
    <xf numFmtId="0" fontId="59" fillId="4" borderId="0" xfId="0" applyFont="1" applyFill="1"/>
    <xf numFmtId="14" fontId="59" fillId="4" borderId="0" xfId="0" applyNumberFormat="1" applyFont="1" applyFill="1"/>
    <xf numFmtId="14" fontId="0" fillId="0" borderId="0" xfId="0" applyNumberFormat="1"/>
    <xf numFmtId="175" fontId="63" fillId="37" borderId="0" xfId="0" applyNumberFormat="1" applyFont="1" applyFill="1" applyAlignment="1">
      <alignment horizontal="center" vertical="center" wrapText="1"/>
    </xf>
    <xf numFmtId="0" fontId="2" fillId="42" borderId="0" xfId="0" applyFont="1" applyFill="1"/>
    <xf numFmtId="0" fontId="64" fillId="43" borderId="19" xfId="0" applyFont="1" applyFill="1" applyBorder="1" applyAlignment="1">
      <alignment horizontal="center" vertical="center" wrapText="1"/>
    </xf>
    <xf numFmtId="0" fontId="65" fillId="0" borderId="19" xfId="0" applyFont="1" applyBorder="1" applyAlignment="1">
      <alignment vertical="center" wrapText="1"/>
    </xf>
    <xf numFmtId="0" fontId="64" fillId="0" borderId="19" xfId="0" applyFont="1" applyBorder="1" applyAlignment="1">
      <alignment vertical="center" wrapText="1"/>
    </xf>
    <xf numFmtId="0" fontId="2" fillId="4" borderId="1" xfId="0" applyFont="1" applyFill="1" applyBorder="1" applyAlignment="1">
      <alignment horizontal="left"/>
    </xf>
    <xf numFmtId="0" fontId="0" fillId="0" borderId="1" xfId="0" applyBorder="1" applyAlignment="1">
      <alignment horizontal="left"/>
    </xf>
    <xf numFmtId="166" fontId="59" fillId="4" borderId="0" xfId="0" applyNumberFormat="1" applyFont="1" applyFill="1"/>
    <xf numFmtId="164" fontId="5" fillId="44" borderId="1" xfId="0" applyNumberFormat="1" applyFont="1" applyFill="1" applyBorder="1" applyAlignment="1">
      <alignment horizontal="left" vertical="center"/>
    </xf>
    <xf numFmtId="0" fontId="8" fillId="4" borderId="1" xfId="0" applyFont="1" applyFill="1" applyBorder="1" applyAlignment="1">
      <alignment horizontal="center"/>
    </xf>
    <xf numFmtId="164" fontId="5" fillId="4" borderId="1" xfId="0" applyNumberFormat="1" applyFont="1" applyFill="1" applyBorder="1" applyAlignment="1">
      <alignment horizontal="left"/>
    </xf>
    <xf numFmtId="0" fontId="5" fillId="4" borderId="1" xfId="0" applyFont="1" applyFill="1" applyBorder="1" applyAlignment="1">
      <alignment horizontal="center"/>
    </xf>
    <xf numFmtId="2" fontId="5" fillId="4" borderId="1" xfId="0" applyNumberFormat="1" applyFont="1" applyFill="1" applyBorder="1" applyAlignment="1">
      <alignment horizontal="center"/>
    </xf>
    <xf numFmtId="0" fontId="59" fillId="0" borderId="0" xfId="0" applyFont="1"/>
    <xf numFmtId="0" fontId="8" fillId="40" borderId="1" xfId="1" applyFont="1" applyFill="1" applyBorder="1" applyAlignment="1">
      <alignment horizontal="center"/>
    </xf>
    <xf numFmtId="164" fontId="5" fillId="40" borderId="1" xfId="1" applyNumberFormat="1" applyFont="1" applyFill="1" applyBorder="1" applyAlignment="1">
      <alignment horizontal="left"/>
    </xf>
    <xf numFmtId="0" fontId="5" fillId="40" borderId="1" xfId="1" applyFont="1" applyFill="1" applyBorder="1" applyAlignment="1">
      <alignment horizontal="center"/>
    </xf>
    <xf numFmtId="2" fontId="5" fillId="40" borderId="1" xfId="1" applyNumberFormat="1" applyFont="1" applyFill="1" applyBorder="1" applyAlignment="1">
      <alignment horizontal="center"/>
    </xf>
    <xf numFmtId="0" fontId="2" fillId="0" borderId="0" xfId="0" applyFont="1" applyAlignment="1">
      <alignment vertical="top" wrapText="1"/>
    </xf>
    <xf numFmtId="0" fontId="47" fillId="26" borderId="0" xfId="0" applyFont="1" applyFill="1" applyAlignment="1">
      <alignment horizontal="center" vertical="center"/>
    </xf>
    <xf numFmtId="0" fontId="47" fillId="27" borderId="0" xfId="0" applyFont="1" applyFill="1" applyAlignment="1">
      <alignment horizontal="center" vertical="center"/>
    </xf>
    <xf numFmtId="0" fontId="47" fillId="28" borderId="0" xfId="0" applyFont="1" applyFill="1" applyAlignment="1">
      <alignment horizontal="center" vertical="center"/>
    </xf>
    <xf numFmtId="1" fontId="0" fillId="0" borderId="0" xfId="0" applyNumberFormat="1" applyAlignment="1">
      <alignment vertical="center"/>
    </xf>
    <xf numFmtId="174" fontId="0" fillId="0" borderId="0" xfId="0" applyNumberFormat="1" applyAlignment="1">
      <alignment vertical="center"/>
    </xf>
    <xf numFmtId="15" fontId="0" fillId="0" borderId="0" xfId="0" applyNumberFormat="1" applyAlignment="1">
      <alignment vertical="center"/>
    </xf>
    <xf numFmtId="15" fontId="0" fillId="0" borderId="0" xfId="0" applyNumberFormat="1" applyAlignment="1">
      <alignment horizontal="center" vertical="center"/>
    </xf>
    <xf numFmtId="167" fontId="0" fillId="0" borderId="0" xfId="0" applyNumberFormat="1" applyAlignment="1">
      <alignment vertical="center"/>
    </xf>
    <xf numFmtId="15" fontId="0" fillId="0" borderId="0" xfId="0" applyNumberFormat="1" applyAlignment="1">
      <alignment horizontal="right" vertical="center"/>
    </xf>
    <xf numFmtId="174" fontId="0" fillId="0" borderId="0" xfId="0" applyNumberFormat="1" applyAlignment="1">
      <alignment horizontal="right" vertical="center"/>
    </xf>
    <xf numFmtId="175" fontId="0" fillId="0" borderId="0" xfId="0" applyNumberFormat="1" applyAlignment="1">
      <alignment vertical="center"/>
    </xf>
    <xf numFmtId="175" fontId="0" fillId="0" borderId="0" xfId="0" applyNumberFormat="1" applyAlignment="1">
      <alignment horizontal="center" vertical="center"/>
    </xf>
    <xf numFmtId="0" fontId="67" fillId="0" borderId="0" xfId="0" applyFont="1"/>
    <xf numFmtId="0" fontId="47" fillId="26" borderId="0" xfId="0" applyFont="1" applyFill="1" applyAlignment="1">
      <alignment horizontal="center" vertical="top" wrapText="1"/>
    </xf>
    <xf numFmtId="0" fontId="47" fillId="27" borderId="0" xfId="0" applyFont="1" applyFill="1" applyAlignment="1">
      <alignment horizontal="center" vertical="top" wrapText="1"/>
    </xf>
    <xf numFmtId="0" fontId="47" fillId="28" borderId="0" xfId="0" applyFont="1" applyFill="1" applyAlignment="1">
      <alignment horizontal="center" vertical="top" wrapText="1"/>
    </xf>
    <xf numFmtId="1" fontId="47" fillId="28" borderId="0" xfId="0" applyNumberFormat="1" applyFont="1" applyFill="1" applyAlignment="1">
      <alignment horizontal="center" vertical="top" wrapText="1"/>
    </xf>
    <xf numFmtId="174" fontId="47" fillId="28" borderId="0" xfId="0" applyNumberFormat="1" applyFont="1" applyFill="1" applyAlignment="1">
      <alignment horizontal="center" vertical="top" wrapText="1"/>
    </xf>
    <xf numFmtId="0" fontId="48" fillId="0" borderId="0" xfId="0" applyFont="1" applyAlignment="1">
      <alignment horizontal="center" vertical="top" wrapText="1"/>
    </xf>
    <xf numFmtId="0" fontId="47" fillId="28" borderId="0" xfId="0" applyFont="1" applyFill="1" applyAlignment="1">
      <alignment vertical="center"/>
    </xf>
    <xf numFmtId="0" fontId="47" fillId="27" borderId="0" xfId="0" applyFont="1" applyFill="1" applyAlignment="1">
      <alignment vertical="top" wrapText="1"/>
    </xf>
    <xf numFmtId="167" fontId="0" fillId="0" borderId="0" xfId="0" applyNumberFormat="1" applyAlignment="1">
      <alignment horizontal="right" vertical="center"/>
    </xf>
    <xf numFmtId="0" fontId="61" fillId="0" borderId="0" xfId="0" applyFont="1"/>
    <xf numFmtId="0" fontId="43" fillId="0" borderId="0" xfId="0" applyFont="1"/>
    <xf numFmtId="0" fontId="44" fillId="0" borderId="0" xfId="0" applyFont="1"/>
    <xf numFmtId="0" fontId="62" fillId="0" borderId="0" xfId="0" applyFont="1"/>
    <xf numFmtId="0" fontId="41" fillId="0" borderId="0" xfId="0" applyFont="1"/>
    <xf numFmtId="0" fontId="58" fillId="4" borderId="0" xfId="0" applyFont="1" applyFill="1"/>
    <xf numFmtId="0" fontId="0" fillId="6" borderId="0" xfId="0" applyFill="1"/>
    <xf numFmtId="166" fontId="0" fillId="6" borderId="0" xfId="0" applyNumberFormat="1" applyFill="1"/>
    <xf numFmtId="166" fontId="44" fillId="4" borderId="0" xfId="0" applyNumberFormat="1" applyFont="1" applyFill="1"/>
    <xf numFmtId="166" fontId="49" fillId="4" borderId="0" xfId="0" applyNumberFormat="1" applyFont="1" applyFill="1"/>
    <xf numFmtId="0" fontId="68" fillId="0" borderId="0" xfId="0" applyFont="1"/>
    <xf numFmtId="0" fontId="69" fillId="0" borderId="0" xfId="0" applyFont="1"/>
    <xf numFmtId="0" fontId="66" fillId="0" borderId="0" xfId="0" applyFont="1"/>
    <xf numFmtId="0" fontId="49" fillId="0" borderId="0" xfId="0" applyFont="1"/>
    <xf numFmtId="176" fontId="0" fillId="0" borderId="0" xfId="0" applyNumberFormat="1"/>
    <xf numFmtId="176" fontId="2" fillId="0" borderId="0" xfId="0" applyNumberFormat="1" applyFont="1"/>
    <xf numFmtId="176" fontId="61" fillId="0" borderId="0" xfId="0" applyNumberFormat="1" applyFont="1"/>
    <xf numFmtId="176" fontId="62" fillId="0" borderId="0" xfId="0" applyNumberFormat="1" applyFont="1"/>
    <xf numFmtId="176" fontId="49" fillId="0" borderId="0" xfId="0" applyNumberFormat="1" applyFont="1"/>
    <xf numFmtId="176" fontId="66" fillId="0" borderId="0" xfId="0" applyNumberFormat="1" applyFont="1"/>
    <xf numFmtId="176" fontId="0" fillId="45" borderId="0" xfId="0" applyNumberFormat="1" applyFill="1"/>
    <xf numFmtId="0" fontId="19" fillId="0" borderId="0" xfId="0" applyFont="1" applyAlignment="1">
      <alignment horizontal="center" vertical="center" wrapText="1"/>
    </xf>
    <xf numFmtId="0" fontId="19" fillId="0" borderId="0" xfId="0" applyFont="1" applyAlignment="1">
      <alignment horizontal="left" vertical="center" wrapText="1"/>
    </xf>
    <xf numFmtId="0" fontId="18" fillId="0" borderId="0" xfId="0" applyFont="1" applyAlignment="1">
      <alignment horizontal="center" vertical="center" wrapText="1"/>
    </xf>
    <xf numFmtId="0" fontId="17" fillId="0" borderId="0" xfId="0" applyFont="1" applyAlignment="1">
      <alignment horizontal="left" vertical="center" wrapText="1"/>
    </xf>
    <xf numFmtId="172" fontId="17" fillId="0" borderId="0" xfId="2" applyNumberFormat="1" applyFont="1" applyAlignment="1">
      <alignment horizontal="center" vertical="center" wrapText="1"/>
    </xf>
    <xf numFmtId="16" fontId="18" fillId="0" borderId="0" xfId="0" applyNumberFormat="1" applyFont="1" applyAlignment="1">
      <alignment horizontal="left" vertical="center" wrapText="1"/>
    </xf>
    <xf numFmtId="0" fontId="18" fillId="0" borderId="0" xfId="0" applyFont="1" applyAlignment="1">
      <alignment horizontal="left" vertical="center" wrapText="1"/>
    </xf>
    <xf numFmtId="0" fontId="17" fillId="0" borderId="0" xfId="0" applyFont="1" applyAlignment="1">
      <alignment horizontal="center" vertical="center" wrapText="1"/>
    </xf>
    <xf numFmtId="0" fontId="57" fillId="26" borderId="0" xfId="0" applyFont="1" applyFill="1"/>
    <xf numFmtId="0" fontId="54" fillId="0" borderId="0" xfId="0" applyFont="1"/>
    <xf numFmtId="0" fontId="56" fillId="26" borderId="0" xfId="0" applyFont="1" applyFill="1"/>
    <xf numFmtId="0" fontId="0" fillId="0" borderId="0" xfId="0"/>
    <xf numFmtId="0" fontId="51" fillId="26" borderId="0" xfId="0" applyFont="1" applyFill="1" applyAlignment="1">
      <alignment horizontal="center" wrapText="1"/>
    </xf>
    <xf numFmtId="0" fontId="19" fillId="32" borderId="0" xfId="0" applyFont="1" applyFill="1" applyAlignment="1">
      <alignment horizontal="left"/>
    </xf>
    <xf numFmtId="0" fontId="57" fillId="35" borderId="0" xfId="0" applyFont="1" applyFill="1"/>
    <xf numFmtId="0" fontId="2" fillId="37" borderId="0" xfId="0" applyFont="1" applyFill="1"/>
    <xf numFmtId="0" fontId="2" fillId="38" borderId="0" xfId="0" applyFont="1" applyFill="1"/>
    <xf numFmtId="0" fontId="51" fillId="26" borderId="0" xfId="0" applyFont="1" applyFill="1" applyAlignment="1">
      <alignment horizontal="center"/>
    </xf>
    <xf numFmtId="0" fontId="60" fillId="0" borderId="0" xfId="0" applyFont="1"/>
    <xf numFmtId="0" fontId="0" fillId="0" borderId="0" xfId="0" applyFill="1"/>
    <xf numFmtId="166" fontId="0" fillId="0" borderId="0" xfId="0" applyNumberFormat="1" applyFill="1"/>
    <xf numFmtId="166" fontId="2" fillId="0" borderId="0" xfId="0" applyNumberFormat="1" applyFont="1" applyFill="1"/>
    <xf numFmtId="0" fontId="2" fillId="0" borderId="0" xfId="0" applyFont="1" applyFill="1" applyAlignment="1">
      <alignment horizontal="center" vertical="top"/>
    </xf>
    <xf numFmtId="0" fontId="2" fillId="0" borderId="0" xfId="0" applyFont="1" applyFill="1" applyAlignment="1">
      <alignment horizontal="center" vertical="top" wrapText="1"/>
    </xf>
    <xf numFmtId="0" fontId="61" fillId="0" borderId="0" xfId="0" applyFont="1" applyFill="1"/>
    <xf numFmtId="166" fontId="61" fillId="0" borderId="0" xfId="0" applyNumberFormat="1" applyFont="1" applyFill="1"/>
    <xf numFmtId="166" fontId="62" fillId="0" borderId="0" xfId="0" applyNumberFormat="1" applyFont="1" applyFill="1"/>
    <xf numFmtId="166" fontId="49" fillId="0" borderId="0" xfId="0" applyNumberFormat="1" applyFont="1" applyFill="1"/>
    <xf numFmtId="166" fontId="0" fillId="0" borderId="0" xfId="0" applyNumberFormat="1" applyFont="1" applyFill="1"/>
    <xf numFmtId="166" fontId="66" fillId="0" borderId="0" xfId="0" applyNumberFormat="1" applyFont="1" applyFill="1"/>
    <xf numFmtId="0" fontId="66" fillId="0" borderId="0" xfId="0" applyFont="1" applyFill="1"/>
    <xf numFmtId="0" fontId="49" fillId="0" borderId="0" xfId="0" applyFont="1" applyFill="1"/>
    <xf numFmtId="166" fontId="0" fillId="45" borderId="0" xfId="0" applyNumberFormat="1" applyFont="1" applyFill="1"/>
    <xf numFmtId="166" fontId="44" fillId="0" borderId="0" xfId="0" applyNumberFormat="1" applyFont="1" applyFill="1"/>
    <xf numFmtId="0" fontId="44" fillId="0" borderId="0" xfId="0" applyFont="1" applyFill="1"/>
    <xf numFmtId="176" fontId="0" fillId="0" borderId="0" xfId="0" applyNumberFormat="1" applyFill="1"/>
    <xf numFmtId="176" fontId="2" fillId="0" borderId="0" xfId="0" applyNumberFormat="1" applyFont="1" applyFill="1"/>
    <xf numFmtId="176" fontId="44" fillId="0" borderId="0" xfId="0" applyNumberFormat="1" applyFont="1" applyFill="1"/>
    <xf numFmtId="176" fontId="66" fillId="0" borderId="0" xfId="0" applyNumberFormat="1" applyFont="1" applyFill="1"/>
    <xf numFmtId="176" fontId="0" fillId="45" borderId="0" xfId="0" applyNumberFormat="1" applyFont="1" applyFill="1"/>
    <xf numFmtId="0" fontId="2" fillId="0" borderId="0" xfId="0" applyFont="1" applyFill="1"/>
    <xf numFmtId="0" fontId="2" fillId="0" borderId="0" xfId="0" applyFont="1" applyFill="1" applyAlignment="1">
      <alignment vertical="top"/>
    </xf>
    <xf numFmtId="0" fontId="2" fillId="0" borderId="0" xfId="0" applyFont="1" applyFill="1" applyAlignment="1">
      <alignment vertical="top" wrapText="1"/>
    </xf>
    <xf numFmtId="0" fontId="1" fillId="0" borderId="0" xfId="0" applyFont="1" applyFill="1" applyAlignment="1">
      <alignment horizontal="center" vertical="top"/>
    </xf>
    <xf numFmtId="1" fontId="0" fillId="0" borderId="0" xfId="0" applyNumberFormat="1" applyFill="1"/>
    <xf numFmtId="1" fontId="2" fillId="0" borderId="0" xfId="0" applyNumberFormat="1" applyFont="1" applyFill="1"/>
    <xf numFmtId="0" fontId="0" fillId="0" borderId="0" xfId="0" applyNumberFormat="1"/>
    <xf numFmtId="0" fontId="58" fillId="0" borderId="0" xfId="0" applyNumberFormat="1" applyFont="1"/>
    <xf numFmtId="0" fontId="59" fillId="0" borderId="0" xfId="0" applyNumberFormat="1" applyFont="1"/>
    <xf numFmtId="0" fontId="49" fillId="13" borderId="0" xfId="0" applyNumberFormat="1" applyFont="1" applyFill="1"/>
    <xf numFmtId="0" fontId="0" fillId="6" borderId="0" xfId="0" applyNumberFormat="1" applyFill="1"/>
  </cellXfs>
  <cellStyles count="6">
    <cellStyle name="Comma" xfId="4" builtinId="3"/>
    <cellStyle name="Currency" xfId="2" builtinId="4"/>
    <cellStyle name="Normal" xfId="0" builtinId="0"/>
    <cellStyle name="Normal 10" xfId="5" xr:uid="{2687F3DB-E6DC-47C0-BDA0-03C1E94BD320}"/>
    <cellStyle name="Normal 2" xfId="1" xr:uid="{15CE3AEE-C0D7-4284-8791-E61A6EB3C0F4}"/>
    <cellStyle name="Normal 6" xfId="3" xr:uid="{6266E7B6-8CC8-4A16-9947-086A612C1A5D}"/>
  </cellStyles>
  <dxfs count="1304">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174" formatCode="[$-409]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67" formatCode="&quot;$&quot;#,##0.00"/>
      <alignment horizontal="general" vertical="center" textRotation="0" wrapText="0" indent="0" justifyLastLine="0" shrinkToFit="0" readingOrder="0"/>
    </dxf>
    <dxf>
      <numFmt numFmtId="167" formatCode="&quot;$&quot;#,##0.0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20" formatCode="d\-mmm\-yy"/>
      <alignment horizontal="center" vertical="center" textRotation="0" wrapText="0" indent="0" justifyLastLine="0" shrinkToFit="0" readingOrder="0"/>
    </dxf>
    <dxf>
      <numFmt numFmtId="20" formatCode="d\-mmm\-yy"/>
      <alignment horizontal="general" vertical="center" textRotation="0" wrapText="0" indent="0" justifyLastLine="0" shrinkToFit="0" readingOrder="0"/>
    </dxf>
    <dxf>
      <numFmt numFmtId="20" formatCode="d\-mmm\-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color rgb="FF9C0006"/>
      </font>
      <fill>
        <patternFill patternType="solid">
          <fgColor indexed="64"/>
          <bgColor rgb="FFFFC7CE"/>
        </patternFill>
      </fill>
    </dxf>
    <dxf>
      <font>
        <color rgb="FF843C0C"/>
      </font>
      <fill>
        <patternFill patternType="solid">
          <fgColor indexed="64"/>
          <bgColor rgb="FFF4B084"/>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FFFFFF"/>
      </font>
      <fill>
        <patternFill patternType="solid">
          <fgColor indexed="64"/>
          <bgColor rgb="FF80808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1F4E79"/>
      </font>
      <fill>
        <patternFill patternType="solid">
          <fgColor indexed="64"/>
          <bgColor rgb="FFBDD7EE"/>
        </patternFill>
      </fill>
    </dxf>
    <dxf>
      <font>
        <color rgb="FF006100"/>
      </font>
      <fill>
        <patternFill patternType="solid">
          <fgColor indexed="64"/>
          <bgColor rgb="FFC6EFCE"/>
        </patternFill>
      </fill>
    </dxf>
    <dxf>
      <font>
        <color rgb="FFC65911"/>
      </font>
      <fill>
        <patternFill patternType="solid">
          <fgColor indexed="64"/>
          <bgColor rgb="FFFCE4D6"/>
        </patternFill>
      </fill>
    </dxf>
    <dxf>
      <font>
        <color rgb="FF9C0006"/>
      </font>
      <fill>
        <patternFill patternType="solid">
          <fgColor indexed="64"/>
          <bgColor rgb="FFFFC7CE"/>
        </patternFill>
      </fill>
    </dxf>
    <dxf>
      <font>
        <color rgb="FF1F4E79"/>
      </font>
      <fill>
        <patternFill patternType="solid">
          <fgColor indexed="64"/>
          <bgColor rgb="FFBDD7EE"/>
        </patternFill>
      </fill>
    </dxf>
    <dxf>
      <font>
        <color rgb="FF9C5700"/>
      </font>
      <fill>
        <patternFill patternType="solid">
          <fgColor indexed="64"/>
          <bgColor rgb="FFFFEB9C"/>
        </patternFill>
      </fill>
    </dxf>
    <dxf>
      <font>
        <color rgb="FF006100"/>
      </font>
      <fill>
        <patternFill patternType="solid">
          <fgColor indexed="64"/>
          <bgColor rgb="FFC6EFCE"/>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rgb="FFFFFF00"/>
        </patternFill>
      </fill>
    </dxf>
    <dxf>
      <fill>
        <patternFill>
          <bgColor rgb="FFFF0000"/>
        </patternFill>
      </fill>
    </dxf>
    <dxf>
      <fill>
        <patternFill>
          <bgColor rgb="FF92D050"/>
        </patternFill>
      </fill>
    </dxf>
    <dxf>
      <fill>
        <patternFill>
          <bgColor rgb="FFFF0000"/>
        </patternFill>
      </fill>
    </dxf>
    <dxf>
      <numFmt numFmtId="166" formatCode="&quot;$&quot;#,##0"/>
    </dxf>
    <dxf>
      <font>
        <b/>
        <i val="0"/>
        <strike val="0"/>
        <condense val="0"/>
        <extend val="0"/>
        <outline val="0"/>
        <shadow val="0"/>
        <u val="none"/>
        <vertAlign val="baseline"/>
        <sz val="11"/>
        <color rgb="FFFFFFFF"/>
        <name val="Aptos Narrow"/>
        <family val="2"/>
        <scheme val="minor"/>
      </font>
      <fill>
        <patternFill patternType="solid">
          <fgColor indexed="64"/>
          <bgColor rgb="FF1F4E79"/>
        </patternFill>
      </fill>
    </dxf>
    <dxf>
      <font>
        <b/>
      </font>
    </dxf>
    <dxf>
      <fill>
        <patternFill patternType="solid">
          <bgColor theme="4" tint="0.79998168889431442"/>
        </patternFill>
      </fill>
    </dxf>
    <dxf>
      <fill>
        <patternFill patternType="solid">
          <bgColor theme="2"/>
        </patternFill>
      </fill>
    </dxf>
    <dxf>
      <font>
        <color rgb="FFFF0000"/>
      </font>
    </dxf>
    <dxf>
      <font>
        <color rgb="FFFF0066"/>
      </font>
    </dxf>
    <dxf>
      <numFmt numFmtId="166" formatCode="&quot;$&quot;#,##0"/>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wrapText="1"/>
    </dxf>
    <dxf>
      <font>
        <b/>
      </font>
      <alignment horizontal="center"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ont>
        <color rgb="FF0000FF"/>
      </font>
    </dxf>
    <dxf>
      <font>
        <color theme="5" tint="-0.499984740745262"/>
      </font>
    </dxf>
    <dxf>
      <font>
        <color theme="5" tint="-0.499984740745262"/>
      </font>
    </dxf>
    <dxf>
      <font>
        <color rgb="FF0000FF"/>
      </font>
    </dxf>
    <dxf>
      <font>
        <color rgb="FF0000FF"/>
      </font>
    </dxf>
    <dxf>
      <font>
        <color rgb="FF0000FF"/>
      </font>
    </dxf>
    <dxf>
      <font>
        <color rgb="FF0000FF"/>
      </font>
    </dxf>
    <dxf>
      <font>
        <color rgb="FF0000FF"/>
      </font>
    </dxf>
    <dxf>
      <font>
        <color theme="5" tint="-0.499984740745262"/>
      </font>
    </dxf>
    <dxf>
      <font>
        <color theme="5" tint="-0.499984740745262"/>
      </font>
    </dxf>
    <dxf>
      <font>
        <color theme="5" tint="-0.499984740745262"/>
      </font>
    </dxf>
    <dxf>
      <font>
        <color theme="5" tint="-0.499984740745262"/>
      </font>
    </dxf>
    <dxf>
      <font>
        <color rgb="FF0000FF"/>
      </font>
    </dxf>
    <dxf>
      <font>
        <color auto="1"/>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theme="5" tint="-0.499984740745262"/>
      </font>
    </dxf>
    <dxf>
      <font>
        <color theme="5" tint="-0.499984740745262"/>
      </font>
    </dxf>
    <dxf>
      <font>
        <color theme="5" tint="-0.499984740745262"/>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auto="1"/>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color rgb="FF0000FF"/>
      </font>
    </dxf>
    <dxf>
      <font>
        <b/>
      </font>
    </dxf>
    <dxf>
      <font>
        <color rgb="FFFF0000"/>
      </font>
    </dxf>
    <dxf>
      <numFmt numFmtId="166" formatCode="&quot;$&quot;#,##0"/>
    </dxf>
    <dxf>
      <font>
        <color theme="0"/>
      </font>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numFmt numFmtId="1" formatCode="0"/>
    </dxf>
    <dxf>
      <font>
        <color theme="0"/>
      </font>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b/>
      </font>
    </dxf>
    <dxf>
      <font>
        <b/>
      </font>
    </dxf>
    <dxf>
      <font>
        <b/>
      </font>
    </dxf>
    <dxf>
      <font>
        <b/>
      </font>
    </dxf>
    <dxf>
      <font>
        <b/>
      </font>
    </dxf>
    <dxf>
      <font>
        <b/>
      </font>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166" formatCode="&quot;$&quot;#,##0"/>
    </dxf>
    <dxf>
      <font>
        <b/>
      </font>
    </dxf>
    <dxf>
      <font>
        <b/>
      </font>
    </dxf>
    <dxf>
      <font>
        <b/>
      </font>
    </dxf>
    <dxf>
      <font>
        <color rgb="FFFF0000"/>
      </font>
    </dxf>
    <dxf>
      <font>
        <color rgb="FFFF0000"/>
      </font>
    </dxf>
    <dxf>
      <fill>
        <patternFill patternType="none">
          <bgColor auto="1"/>
        </patternFill>
      </fill>
    </dxf>
    <dxf>
      <fill>
        <patternFill patternType="none">
          <bgColor auto="1"/>
        </patternFill>
      </fill>
    </dxf>
    <dxf>
      <font>
        <b/>
      </font>
    </dxf>
    <dxf>
      <font>
        <b/>
      </font>
    </dxf>
    <dxf>
      <font>
        <b/>
      </font>
    </dxf>
    <dxf>
      <font>
        <color rgb="FF0000CC"/>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66"/>
      </font>
    </dxf>
    <dxf>
      <font>
        <color theme="9" tint="-0.499984740745262"/>
      </font>
    </dxf>
    <dxf>
      <font>
        <color rgb="FF0000FF"/>
      </font>
    </dxf>
    <dxf>
      <font>
        <color theme="5" tint="-0.249977111117893"/>
      </font>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ont>
        <b/>
      </font>
    </dxf>
    <dxf>
      <font>
        <b/>
      </font>
    </dxf>
    <dxf>
      <font>
        <b/>
      </font>
    </dxf>
    <dxf>
      <font>
        <b/>
      </font>
    </dxf>
    <dxf>
      <font>
        <b/>
      </font>
    </dxf>
    <dxf>
      <font>
        <b/>
      </font>
    </dxf>
    <dxf>
      <font>
        <b/>
      </font>
    </dxf>
    <dxf>
      <font>
        <b/>
      </font>
    </dxf>
    <dxf>
      <font>
        <b/>
      </font>
    </dxf>
    <dxf>
      <alignment wrapText="0"/>
    </dxf>
    <dxf>
      <alignment wrapText="0"/>
    </dxf>
    <dxf>
      <alignment wrapText="0"/>
    </dxf>
    <dxf>
      <alignment wrapText="0"/>
    </dxf>
    <dxf>
      <alignment wrapText="0"/>
    </dxf>
    <dxf>
      <alignment wrapText="0"/>
    </dxf>
    <dxf>
      <alignment wrapText="0"/>
    </dxf>
    <dxf>
      <alignment wrapText="0"/>
    </dxf>
    <dxf>
      <alignment wrapText="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ont>
        <color rgb="FFFF0000"/>
      </font>
    </dxf>
    <dxf>
      <font>
        <color rgb="FFFF0000"/>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66"/>
      </font>
    </dxf>
    <dxf>
      <font>
        <color theme="9" tint="-0.499984740745262"/>
      </font>
    </dxf>
    <dxf>
      <font>
        <color rgb="FF0000FF"/>
      </font>
    </dxf>
    <dxf>
      <font>
        <color theme="5" tint="-0.249977111117893"/>
      </font>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ont>
        <b/>
      </font>
    </dxf>
    <dxf>
      <font>
        <b/>
      </font>
    </dxf>
    <dxf>
      <fill>
        <patternFill>
          <bgColor theme="4" tint="0.39997558519241921"/>
        </patternFill>
      </fill>
    </dxf>
    <dxf>
      <fill>
        <patternFill>
          <bgColor theme="4" tint="0.3999755851924192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6" tint="0.59999389629810485"/>
        </patternFill>
      </fill>
    </dxf>
    <dxf>
      <fill>
        <patternFill patternType="solid">
          <bgColor theme="5" tint="0.39997558519241921"/>
        </patternFill>
      </fill>
    </dxf>
    <dxf>
      <fill>
        <patternFill patternType="solid">
          <bgColor theme="5" tint="0.39997558519241921"/>
        </patternFill>
      </fill>
    </dxf>
    <dxf>
      <fill>
        <patternFill patternType="none">
          <bgColor auto="1"/>
        </patternFill>
      </fill>
    </dxf>
    <dxf>
      <fill>
        <patternFill patternType="none">
          <bgColor auto="1"/>
        </patternFill>
      </fill>
    </dxf>
    <dxf>
      <font>
        <b/>
      </font>
    </dxf>
    <dxf>
      <font>
        <b/>
      </font>
    </dxf>
    <dxf>
      <font>
        <b/>
      </font>
    </dxf>
    <dxf>
      <font>
        <color rgb="FF0000CC"/>
      </font>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66"/>
      </font>
    </dxf>
    <dxf>
      <font>
        <color theme="9" tint="-0.499984740745262"/>
      </font>
    </dxf>
    <dxf>
      <font>
        <color rgb="FF0000FF"/>
      </font>
    </dxf>
    <dxf>
      <font>
        <color theme="5" tint="-0.249977111117893"/>
      </font>
    </dxf>
    <dxf>
      <numFmt numFmtId="166" formatCode="&quot;$&quot;#,##0"/>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bgColor theme="4" tint="0.39997558519241921"/>
        </patternFill>
      </fill>
    </dxf>
    <dxf>
      <fill>
        <patternFill>
          <bgColor theme="4" tint="0.3999755851924192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ont>
        <b/>
      </font>
    </dxf>
    <dxf>
      <font>
        <b/>
      </font>
    </dxf>
    <dxf>
      <font>
        <b/>
      </font>
    </dxf>
    <dxf>
      <font>
        <color rgb="FF0000CC"/>
      </font>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66"/>
      </font>
    </dxf>
    <dxf>
      <font>
        <color theme="9" tint="-0.499984740745262"/>
      </font>
    </dxf>
    <dxf>
      <font>
        <color rgb="FF0000FF"/>
      </font>
    </dxf>
    <dxf>
      <font>
        <color theme="5" tint="-0.249977111117893"/>
      </font>
    </dxf>
    <dxf>
      <numFmt numFmtId="166" formatCode="&quot;$&quot;#,##0"/>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numFmt numFmtId="176" formatCode="0.0"/>
    </dxf>
    <dxf>
      <fill>
        <patternFill>
          <bgColor theme="4" tint="0.39997558519241921"/>
        </patternFill>
      </fill>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ont>
        <b/>
      </font>
    </dxf>
    <dxf>
      <font>
        <b/>
      </font>
    </dxf>
    <dxf>
      <font>
        <color rgb="FF0000CC"/>
      </font>
    </dxf>
    <dxf>
      <fill>
        <patternFill patternType="none">
          <bgColor auto="1"/>
        </patternFill>
      </fill>
    </dxf>
    <dxf>
      <fill>
        <patternFill patternType="none">
          <bgColor auto="1"/>
        </patternFill>
      </fill>
    </dxf>
    <dxf>
      <fill>
        <patternFill patternType="solid">
          <bgColor rgb="FFFFFF00"/>
        </patternFill>
      </fill>
    </dxf>
    <dxf>
      <font>
        <color rgb="FFFF0000"/>
      </font>
    </dxf>
    <dxf>
      <font>
        <color theme="9" tint="-0.499984740745262"/>
      </font>
    </dxf>
    <dxf>
      <font>
        <color rgb="FF0000FF"/>
      </font>
    </dxf>
    <dxf>
      <font>
        <color theme="5" tint="-0.249977111117893"/>
      </font>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numFmt numFmtId="176" formatCode="0.0"/>
    </dxf>
    <dxf>
      <fill>
        <patternFill patternType="none">
          <bgColor auto="1"/>
        </patternFill>
      </fill>
    </dxf>
    <dxf>
      <fill>
        <patternFill>
          <bgColor theme="4" tint="0.39997558519241921"/>
        </patternFill>
      </fill>
    </dxf>
    <dxf>
      <fill>
        <patternFill>
          <bgColor theme="4" tint="0.3999755851924192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ont>
        <b/>
      </font>
    </dxf>
    <dxf>
      <font>
        <b/>
      </font>
    </dxf>
    <dxf>
      <font>
        <b/>
      </font>
    </dxf>
    <dxf>
      <font>
        <color rgb="FF0000CC"/>
      </font>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66"/>
      </font>
    </dxf>
    <dxf>
      <font>
        <color theme="9" tint="-0.499984740745262"/>
      </font>
    </dxf>
    <dxf>
      <font>
        <color rgb="FF0000FF"/>
      </font>
    </dxf>
    <dxf>
      <font>
        <color theme="5" tint="-0.249977111117893"/>
      </font>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ill>
        <patternFill patternType="none">
          <bgColor auto="1"/>
        </patternFill>
      </fill>
    </dxf>
    <dxf>
      <fill>
        <patternFill patternType="none">
          <bgColor auto="1"/>
        </patternFill>
      </fill>
    </dxf>
    <dxf>
      <fill>
        <patternFill>
          <bgColor theme="4" tint="0.39997558519241921"/>
        </patternFill>
      </fill>
    </dxf>
    <dxf>
      <fill>
        <patternFill>
          <bgColor theme="4" tint="0.3999755851924192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none">
          <bgColor auto="1"/>
        </patternFill>
      </fill>
    </dxf>
    <dxf>
      <fill>
        <patternFill patternType="none">
          <bgColor auto="1"/>
        </patternFill>
      </fill>
    </dxf>
    <dxf>
      <font>
        <b/>
      </font>
    </dxf>
    <dxf>
      <font>
        <b/>
      </font>
    </dxf>
    <dxf>
      <font>
        <b/>
      </font>
    </dxf>
    <dxf>
      <font>
        <color rgb="FF0000CC"/>
      </font>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none">
          <bgColor auto="1"/>
        </patternFill>
      </fill>
    </dxf>
    <dxf>
      <fill>
        <patternFill patternType="solid">
          <bgColor rgb="FFFFFF00"/>
        </patternFill>
      </fill>
    </dxf>
    <dxf>
      <font>
        <color rgb="FFFF0000"/>
      </font>
    </dxf>
    <dxf>
      <numFmt numFmtId="166" formatCode="&quot;$&quot;#,##0"/>
    </dxf>
    <dxf>
      <font>
        <b val="0"/>
        <i val="0"/>
        <strike val="0"/>
        <condense val="0"/>
        <extend val="0"/>
        <outline val="0"/>
        <shadow val="0"/>
        <u val="none"/>
        <vertAlign val="baseline"/>
        <sz val="11"/>
        <color theme="1"/>
        <name val="Aptos Narrow"/>
        <family val="2"/>
        <scheme val="minor"/>
      </font>
      <numFmt numFmtId="0" formatCode="General"/>
    </dxf>
    <dxf>
      <fill>
        <patternFill patternType="solid">
          <bgColor rgb="FFFFFF00"/>
        </patternFill>
      </fill>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66"/>
      </font>
    </dxf>
    <dxf>
      <font>
        <color theme="9" tint="-0.499984740745262"/>
      </font>
    </dxf>
    <dxf>
      <font>
        <color rgb="FF0000FF"/>
      </font>
    </dxf>
    <dxf>
      <font>
        <color theme="5" tint="-0.249977111117893"/>
      </font>
    </dxf>
    <dxf>
      <numFmt numFmtId="166" formatCode="&quot;$&quot;#,##0"/>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font>
        <b/>
      </font>
    </dxf>
    <dxf>
      <fill>
        <patternFill patternType="solid">
          <bgColor theme="7"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ont>
        <b/>
      </font>
      <alignment horizontal="center"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ont>
        <color rgb="FFFF0066"/>
      </font>
    </dxf>
    <dxf>
      <numFmt numFmtId="166" formatCode="&quot;$&quot;#,##0"/>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vertical="top"/>
    </dxf>
    <dxf>
      <alignment vertical="top"/>
    </dxf>
    <dxf>
      <alignment vertical="top"/>
    </dxf>
    <dxf>
      <alignment vertical="top"/>
    </dxf>
    <dxf>
      <alignment vertical="top"/>
    </dxf>
    <dxf>
      <alignment vertical="top"/>
    </dxf>
    <dxf>
      <alignment wrapText="1"/>
    </dxf>
    <dxf>
      <font>
        <b/>
      </font>
      <alignment horizontal="center"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solid">
          <bgColor theme="3" tint="0.89999084444715716"/>
        </patternFill>
      </fill>
    </dxf>
    <dxf>
      <fill>
        <patternFill patternType="none">
          <fgColor indexed="64"/>
          <bgColor rgb="FFFEF9E7"/>
        </patternFill>
      </fill>
      <alignment vertical="center" textRotation="0" indent="0" justifyLastLine="0" shrinkToFit="0" readingOrder="0"/>
    </dxf>
    <dxf>
      <numFmt numFmtId="0" formatCode="General"/>
      <alignment vertical="center" textRotation="0" wrapText="1" indent="0" justifyLastLine="0" shrinkToFit="0" readingOrder="0"/>
    </dxf>
    <dxf>
      <alignment vertical="center" textRotation="0" indent="0" justifyLastLine="0" shrinkToFit="0" readingOrder="0"/>
    </dxf>
    <dxf>
      <fill>
        <patternFill patternType="none">
          <fgColor indexed="64"/>
          <bgColor rgb="FFD6EAF8"/>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ont>
        <color rgb="FF000000"/>
      </font>
      <numFmt numFmtId="175" formatCode="dd\-mmm\-yy"/>
      <fill>
        <patternFill patternType="solid">
          <fgColor indexed="64"/>
          <bgColor rgb="FFFFF2CC"/>
        </patternFill>
      </fill>
      <alignment horizontal="center" vertical="center" textRotation="0" wrapText="1" indent="0" justifyLastLine="0" shrinkToFit="0" readingOrder="0"/>
    </dxf>
    <dxf>
      <fill>
        <patternFill patternType="none">
          <fgColor indexed="64"/>
          <bgColor rgb="FFD5F5E3"/>
        </patternFill>
      </fill>
      <alignment vertical="center" textRotation="0" indent="0" justifyLastLine="0" shrinkToFit="0" readingOrder="0"/>
    </dxf>
    <dxf>
      <numFmt numFmtId="0" formatCode="General"/>
      <fill>
        <patternFill patternType="none">
          <fgColor indexed="64"/>
          <bgColor rgb="FFD6EAF8"/>
        </patternFill>
      </fill>
      <alignment vertical="center" textRotation="0" indent="0" justifyLastLine="0" shrinkToFit="0" readingOrder="0"/>
    </dxf>
    <dxf>
      <numFmt numFmtId="0" formatCode="General"/>
      <fill>
        <patternFill patternType="none">
          <fgColor indexed="64"/>
          <bgColor rgb="FFD6EAF8"/>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numFmt numFmtId="174" formatCode="[$-409]d\-mmm\-yy;@"/>
      <fill>
        <patternFill patternType="none">
          <fgColor indexed="64"/>
          <bgColor rgb="FFFEF9E7"/>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ill>
        <patternFill patternType="none">
          <fgColor indexed="64"/>
          <bgColor rgb="FFD6EAF8"/>
        </patternFill>
      </fill>
      <alignment vertical="center" textRotation="0" indent="0" justifyLastLine="0" shrinkToFit="0" readingOrder="0"/>
    </dxf>
    <dxf>
      <fill>
        <patternFill patternType="none">
          <fgColor indexed="64"/>
          <bgColor rgb="FFFEF9E7"/>
        </patternFill>
      </fill>
      <alignment vertical="center" textRotation="0" indent="0" justifyLastLine="0" shrinkToFit="0" readingOrder="0"/>
    </dxf>
    <dxf>
      <numFmt numFmtId="167" formatCode="&quot;$&quot;#,##0.00"/>
      <fill>
        <patternFill patternType="none">
          <fgColor indexed="64"/>
          <bgColor rgb="FFFEF9E7"/>
        </patternFill>
      </fill>
      <alignment vertical="center" textRotation="0" indent="0" justifyLastLine="0" shrinkToFit="0" readingOrder="0"/>
    </dxf>
    <dxf>
      <numFmt numFmtId="167" formatCode="&quot;$&quot;#,##0.00"/>
      <fill>
        <patternFill patternType="none">
          <fgColor indexed="64"/>
          <bgColor rgb="FFFEF9E7"/>
        </patternFill>
      </fill>
      <alignment vertical="center" textRotation="0" indent="0" justifyLastLine="0" shrinkToFit="0" readingOrder="0"/>
    </dxf>
    <dxf>
      <numFmt numFmtId="1" formatCode="0"/>
      <alignment vertical="center" textRotation="0" indent="0" justifyLastLine="0" shrinkToFit="0" readingOrder="0"/>
    </dxf>
    <dxf>
      <numFmt numFmtId="1" formatCode="0"/>
      <fill>
        <patternFill patternType="none">
          <fgColor indexed="64"/>
          <bgColor rgb="FFFEF9E7"/>
        </patternFill>
      </fill>
      <alignment vertical="center" textRotation="0" indent="0" justifyLastLine="0" shrinkToFit="0" readingOrder="0"/>
    </dxf>
    <dxf>
      <numFmt numFmtId="1" formatCode="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fill>
        <patternFill patternType="none">
          <fgColor indexed="64"/>
          <bgColor rgb="FFFEF9E7"/>
        </patternFill>
      </fill>
      <alignment vertical="center" textRotation="0" indent="0" justifyLastLine="0" shrinkToFit="0" readingOrder="0"/>
    </dxf>
    <dxf>
      <fill>
        <patternFill patternType="none">
          <fgColor indexed="64"/>
          <bgColor rgb="FFFEF9E7"/>
        </patternFill>
      </fill>
      <alignment vertical="center" textRotation="0" indent="0" justifyLastLine="0" shrinkToFit="0" readingOrder="0"/>
    </dxf>
    <dxf>
      <numFmt numFmtId="175" formatCode="dd\-mmm\-yy"/>
      <fill>
        <patternFill patternType="none">
          <fgColor indexed="64"/>
          <bgColor rgb="FFFEF9E7"/>
        </patternFill>
      </fill>
      <alignment horizontal="center"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numFmt numFmtId="175" formatCode="dd\-mmm\-yy"/>
      <fill>
        <patternFill patternType="none">
          <fgColor indexed="64"/>
          <bgColor rgb="FFFEF9E7"/>
        </patternFill>
      </fill>
      <alignment vertical="center" textRotation="0" indent="0" justifyLastLine="0" shrinkToFit="0" readingOrder="0"/>
    </dxf>
    <dxf>
      <fill>
        <patternFill patternType="none">
          <fgColor indexed="64"/>
          <bgColor rgb="FFD5F5E3"/>
        </patternFill>
      </fill>
      <alignment vertical="center" textRotation="0" indent="0" justifyLastLine="0" shrinkToFit="0" readingOrder="0"/>
    </dxf>
    <dxf>
      <fill>
        <patternFill patternType="none">
          <fgColor indexed="64"/>
          <bgColor rgb="FFD5F5E3"/>
        </patternFill>
      </fill>
      <alignment vertical="center" textRotation="0" indent="0" justifyLastLine="0" shrinkToFit="0" readingOrder="0"/>
    </dxf>
    <dxf>
      <fill>
        <patternFill patternType="none">
          <fgColor indexed="64"/>
          <bgColor rgb="FFD5F5E3"/>
        </patternFill>
      </fill>
      <alignment vertical="center" textRotation="0" indent="0" justifyLastLine="0" shrinkToFit="0" readingOrder="0"/>
    </dxf>
    <dxf>
      <numFmt numFmtId="0" formatCode="General"/>
      <fill>
        <patternFill patternType="none">
          <fgColor indexed="64"/>
          <bgColor rgb="FFD6EAF8"/>
        </patternFill>
      </fill>
      <alignment vertical="center" textRotation="0" indent="0" justifyLastLine="0" shrinkToFit="0" readingOrder="0"/>
    </dxf>
    <dxf>
      <fill>
        <patternFill patternType="none">
          <fgColor indexed="64"/>
          <bgColor rgb="FFD6EAF8"/>
        </patternFill>
      </fill>
      <alignment vertical="center" textRotation="0" indent="0" justifyLastLine="0" shrinkToFit="0" readingOrder="0"/>
    </dxf>
    <dxf>
      <fill>
        <patternFill patternType="none">
          <fgColor indexed="64"/>
          <bgColor rgb="FFFEF9E7"/>
        </patternFill>
      </fill>
      <alignment vertical="center" textRotation="0" indent="0" justifyLastLine="0" shrinkToFit="0" readingOrder="0"/>
    </dxf>
    <dxf>
      <numFmt numFmtId="0" formatCode="General"/>
      <fill>
        <patternFill patternType="none">
          <fgColor indexed="64"/>
          <bgColor rgb="FFD6EAF8"/>
        </patternFill>
      </fill>
      <alignment vertical="center" textRotation="0" indent="0" justifyLastLine="0" shrinkToFit="0" readingOrder="0"/>
    </dxf>
    <dxf>
      <fill>
        <patternFill patternType="none">
          <fgColor indexed="64"/>
          <bgColor rgb="FFD5F5E3"/>
        </patternFill>
      </fill>
      <alignment vertical="center" textRotation="0" indent="0" justifyLastLine="0" shrinkToFit="0" readingOrder="0"/>
    </dxf>
    <dxf>
      <alignment horizontal="general" vertical="center" textRotation="0" indent="0" justifyLastLine="0" shrinkToFit="0" readingOrder="0"/>
    </dxf>
    <dxf>
      <fill>
        <patternFill patternType="none">
          <fgColor indexed="64"/>
          <bgColor rgb="FFD5F5E3"/>
        </patternFill>
      </fill>
      <alignment vertical="center" textRotation="0" indent="0" justifyLastLine="0" shrinkToFit="0" readingOrder="0"/>
    </dxf>
    <dxf>
      <fill>
        <patternFill patternType="none">
          <fgColor indexed="64"/>
          <bgColor rgb="FFD5F5E3"/>
        </patternFill>
      </fill>
      <alignment vertical="center" textRotation="0" indent="0" justifyLastLine="0" shrinkToFit="0" readingOrder="0"/>
    </dxf>
    <dxf>
      <numFmt numFmtId="0" formatCode="General"/>
      <fill>
        <patternFill patternType="none">
          <fgColor indexed="64"/>
          <bgColor rgb="FFD6EAF8"/>
        </patternFill>
      </fill>
      <alignment vertical="center" textRotation="0" indent="0" justifyLastLine="0" shrinkToFit="0" readingOrder="0"/>
    </dxf>
    <dxf>
      <alignment vertical="center" textRotation="0" indent="0" justifyLastLine="0" shrinkToFit="0" readingOrder="0"/>
    </dxf>
    <dxf>
      <fill>
        <patternFill patternType="none"/>
      </fill>
      <alignment vertical="center" textRotation="0" indent="0" justifyLastLine="0" shrinkToFit="0" readingOrder="0"/>
    </dxf>
    <dxf>
      <font>
        <strike val="0"/>
        <outline val="0"/>
        <shadow val="0"/>
        <u val="none"/>
        <vertAlign val="baseline"/>
        <sz val="10"/>
        <name val="Aptos Narrow"/>
        <family val="2"/>
        <scheme val="minor"/>
      </font>
      <alignment horizontal="center" vertical="top" textRotation="0" wrapText="1" indent="0" justifyLastLine="0" shrinkToFit="0" readingOrder="0"/>
    </dxf>
  </dxfs>
  <tableStyles count="0" defaultTableStyle="TableStyleMedium2" defaultPivotStyle="PivotStyleLight16"/>
  <colors>
    <mruColors>
      <color rgb="FF0000FF"/>
      <color rgb="FF33CCCC"/>
      <color rgb="FFFF0066"/>
      <color rgb="FF0000CC"/>
      <color rgb="FF00CC99"/>
      <color rgb="FF5F5F5F"/>
      <color rgb="FF666633"/>
      <color rgb="FFFFFFCC"/>
      <color rgb="FF006666"/>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customXml" Target="../customXml/item1.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styles" Target="styles.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22/10/relationships/richValueRel" Target="richData/richValueRel.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16</xdr:col>
      <xdr:colOff>536032</xdr:colOff>
      <xdr:row>2</xdr:row>
      <xdr:rowOff>301625</xdr:rowOff>
    </xdr:from>
    <xdr:to>
      <xdr:col>16</xdr:col>
      <xdr:colOff>1487978</xdr:colOff>
      <xdr:row>12</xdr:row>
      <xdr:rowOff>779690</xdr:rowOff>
    </xdr:to>
    <xdr:pic>
      <xdr:nvPicPr>
        <xdr:cNvPr id="2" name="Picture 1">
          <a:extLst>
            <a:ext uri="{FF2B5EF4-FFF2-40B4-BE49-F238E27FC236}">
              <a16:creationId xmlns:a16="http://schemas.microsoft.com/office/drawing/2014/main" id="{C27351B7-C186-4C75-BDE4-4E181AB047FB}"/>
            </a:ext>
          </a:extLst>
        </xdr:cNvPr>
        <xdr:cNvPicPr>
          <a:picLocks noChangeAspect="1"/>
        </xdr:cNvPicPr>
      </xdr:nvPicPr>
      <xdr:blipFill>
        <a:blip xmlns:r="http://schemas.openxmlformats.org/officeDocument/2006/relationships" r:embed="rId1"/>
        <a:stretch>
          <a:fillRect/>
        </a:stretch>
      </xdr:blipFill>
      <xdr:spPr>
        <a:xfrm>
          <a:off x="22938832" y="647700"/>
          <a:ext cx="951946" cy="779690"/>
        </a:xfrm>
        <a:prstGeom prst="rect">
          <a:avLst/>
        </a:prstGeom>
      </xdr:spPr>
    </xdr:pic>
    <xdr:clientData/>
  </xdr:twoCellAnchor>
  <xdr:twoCellAnchor editAs="oneCell">
    <xdr:from>
      <xdr:col>16</xdr:col>
      <xdr:colOff>1255668</xdr:colOff>
      <xdr:row>12</xdr:row>
      <xdr:rowOff>25310</xdr:rowOff>
    </xdr:from>
    <xdr:to>
      <xdr:col>16</xdr:col>
      <xdr:colOff>1793353</xdr:colOff>
      <xdr:row>12</xdr:row>
      <xdr:rowOff>1102178</xdr:rowOff>
    </xdr:to>
    <xdr:pic>
      <xdr:nvPicPr>
        <xdr:cNvPr id="3" name="Picture 2">
          <a:extLst>
            <a:ext uri="{FF2B5EF4-FFF2-40B4-BE49-F238E27FC236}">
              <a16:creationId xmlns:a16="http://schemas.microsoft.com/office/drawing/2014/main" id="{B97A800B-3C78-4D18-B7B3-C6AE42950929}"/>
            </a:ext>
          </a:extLst>
        </xdr:cNvPr>
        <xdr:cNvPicPr>
          <a:picLocks noChangeAspect="1"/>
        </xdr:cNvPicPr>
      </xdr:nvPicPr>
      <xdr:blipFill>
        <a:blip xmlns:r="http://schemas.openxmlformats.org/officeDocument/2006/relationships" r:embed="rId2"/>
        <a:stretch>
          <a:fillRect/>
        </a:stretch>
      </xdr:blipFill>
      <xdr:spPr>
        <a:xfrm>
          <a:off x="23658468" y="673010"/>
          <a:ext cx="537685" cy="1076868"/>
        </a:xfrm>
        <a:prstGeom prst="rect">
          <a:avLst/>
        </a:prstGeom>
      </xdr:spPr>
    </xdr:pic>
    <xdr:clientData/>
  </xdr:twoCellAnchor>
  <xdr:twoCellAnchor editAs="oneCell">
    <xdr:from>
      <xdr:col>16</xdr:col>
      <xdr:colOff>1826277</xdr:colOff>
      <xdr:row>12</xdr:row>
      <xdr:rowOff>21227</xdr:rowOff>
    </xdr:from>
    <xdr:to>
      <xdr:col>17</xdr:col>
      <xdr:colOff>545</xdr:colOff>
      <xdr:row>12</xdr:row>
      <xdr:rowOff>1102975</xdr:rowOff>
    </xdr:to>
    <xdr:pic>
      <xdr:nvPicPr>
        <xdr:cNvPr id="4" name="Picture 3">
          <a:extLst>
            <a:ext uri="{FF2B5EF4-FFF2-40B4-BE49-F238E27FC236}">
              <a16:creationId xmlns:a16="http://schemas.microsoft.com/office/drawing/2014/main" id="{887BA167-E6E8-4079-91AE-23993DC04BEB}"/>
            </a:ext>
          </a:extLst>
        </xdr:cNvPr>
        <xdr:cNvPicPr>
          <a:picLocks noChangeAspect="1"/>
        </xdr:cNvPicPr>
      </xdr:nvPicPr>
      <xdr:blipFill>
        <a:blip xmlns:r="http://schemas.openxmlformats.org/officeDocument/2006/relationships" r:embed="rId3"/>
        <a:stretch>
          <a:fillRect/>
        </a:stretch>
      </xdr:blipFill>
      <xdr:spPr>
        <a:xfrm>
          <a:off x="24229077" y="668927"/>
          <a:ext cx="593618" cy="1081748"/>
        </a:xfrm>
        <a:prstGeom prst="rect">
          <a:avLst/>
        </a:prstGeom>
      </xdr:spPr>
    </xdr:pic>
    <xdr:clientData/>
  </xdr:twoCellAnchor>
  <xdr:twoCellAnchor editAs="oneCell">
    <xdr:from>
      <xdr:col>16</xdr:col>
      <xdr:colOff>93983</xdr:colOff>
      <xdr:row>12</xdr:row>
      <xdr:rowOff>200629</xdr:rowOff>
    </xdr:from>
    <xdr:to>
      <xdr:col>16</xdr:col>
      <xdr:colOff>1180103</xdr:colOff>
      <xdr:row>12</xdr:row>
      <xdr:rowOff>1313725</xdr:rowOff>
    </xdr:to>
    <xdr:pic>
      <xdr:nvPicPr>
        <xdr:cNvPr id="5" name="Picture 4">
          <a:extLst>
            <a:ext uri="{FF2B5EF4-FFF2-40B4-BE49-F238E27FC236}">
              <a16:creationId xmlns:a16="http://schemas.microsoft.com/office/drawing/2014/main" id="{D569ABE8-6977-45DA-AEB2-C0241DDEAD71}"/>
            </a:ext>
          </a:extLst>
        </xdr:cNvPr>
        <xdr:cNvPicPr>
          <a:picLocks noChangeAspect="1"/>
        </xdr:cNvPicPr>
      </xdr:nvPicPr>
      <xdr:blipFill>
        <a:blip xmlns:r="http://schemas.openxmlformats.org/officeDocument/2006/relationships" r:embed="rId4"/>
        <a:stretch>
          <a:fillRect/>
        </a:stretch>
      </xdr:blipFill>
      <xdr:spPr>
        <a:xfrm>
          <a:off x="22496783" y="848329"/>
          <a:ext cx="1086120" cy="1113096"/>
        </a:xfrm>
        <a:prstGeom prst="rect">
          <a:avLst/>
        </a:prstGeom>
      </xdr:spPr>
    </xdr:pic>
    <xdr:clientData/>
  </xdr:twoCellAnchor>
  <xdr:twoCellAnchor editAs="oneCell">
    <xdr:from>
      <xdr:col>16</xdr:col>
      <xdr:colOff>148824</xdr:colOff>
      <xdr:row>21</xdr:row>
      <xdr:rowOff>76200</xdr:rowOff>
    </xdr:from>
    <xdr:to>
      <xdr:col>16</xdr:col>
      <xdr:colOff>1612759</xdr:colOff>
      <xdr:row>32</xdr:row>
      <xdr:rowOff>26091</xdr:rowOff>
    </xdr:to>
    <xdr:pic>
      <xdr:nvPicPr>
        <xdr:cNvPr id="6" name="Picture 5">
          <a:extLst>
            <a:ext uri="{FF2B5EF4-FFF2-40B4-BE49-F238E27FC236}">
              <a16:creationId xmlns:a16="http://schemas.microsoft.com/office/drawing/2014/main" id="{00A50EBC-CD24-4EFB-8609-DA7EE58F2BB0}"/>
            </a:ext>
          </a:extLst>
        </xdr:cNvPr>
        <xdr:cNvPicPr>
          <a:picLocks noChangeAspect="1"/>
        </xdr:cNvPicPr>
      </xdr:nvPicPr>
      <xdr:blipFill>
        <a:blip xmlns:r="http://schemas.openxmlformats.org/officeDocument/2006/relationships" r:embed="rId5"/>
        <a:stretch>
          <a:fillRect/>
        </a:stretch>
      </xdr:blipFill>
      <xdr:spPr>
        <a:xfrm>
          <a:off x="22551624" y="5661660"/>
          <a:ext cx="1463935" cy="10852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129540</xdr:rowOff>
    </xdr:to>
    <xdr:sp macro="" textlink="">
      <xdr:nvSpPr>
        <xdr:cNvPr id="20481" name="AutoShape 1" descr="Annie Van, Pham Thi Ai / Commercial Projects &amp; Demand Assistant Manager">
          <a:extLst>
            <a:ext uri="{FF2B5EF4-FFF2-40B4-BE49-F238E27FC236}">
              <a16:creationId xmlns:a16="http://schemas.microsoft.com/office/drawing/2014/main" id="{4CE50C1F-6DDC-68B7-C142-7EC966D8283C}"/>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304800</xdr:colOff>
      <xdr:row>3</xdr:row>
      <xdr:rowOff>129540</xdr:rowOff>
    </xdr:to>
    <xdr:sp macro="" textlink="">
      <xdr:nvSpPr>
        <xdr:cNvPr id="20482" name="AutoShape 2" descr="Thao, Le Phuong / Commercial Projects Team Leader">
          <a:extLst>
            <a:ext uri="{FF2B5EF4-FFF2-40B4-BE49-F238E27FC236}">
              <a16:creationId xmlns:a16="http://schemas.microsoft.com/office/drawing/2014/main" id="{922D8FCA-D772-8403-9BF5-F003AE12E8CF}"/>
            </a:ext>
          </a:extLst>
        </xdr:cNvPr>
        <xdr:cNvSpPr>
          <a:spLocks noChangeAspect="1" noChangeArrowheads="1"/>
        </xdr:cNvSpPr>
      </xdr:nvSpPr>
      <xdr:spPr bwMode="auto">
        <a:xfrm>
          <a:off x="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20483" name="AutoShape 3" descr="Tuyet, Nguyen Anh / Commercial Projects Coordinator">
          <a:extLst>
            <a:ext uri="{FF2B5EF4-FFF2-40B4-BE49-F238E27FC236}">
              <a16:creationId xmlns:a16="http://schemas.microsoft.com/office/drawing/2014/main" id="{D5B9AEF2-A0B9-0E50-589B-C79A42E584B8}"/>
            </a:ext>
          </a:extLst>
        </xdr:cNvPr>
        <xdr:cNvSpPr>
          <a:spLocks noChangeAspect="1" noChangeArrowheads="1"/>
        </xdr:cNvSpPr>
      </xdr:nvSpPr>
      <xdr:spPr bwMode="auto">
        <a:xfrm>
          <a:off x="0" y="1097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20484" name="AutoShape 4" descr="Anh, Vu Tu / Commercial Projects Coordinator">
          <a:extLst>
            <a:ext uri="{FF2B5EF4-FFF2-40B4-BE49-F238E27FC236}">
              <a16:creationId xmlns:a16="http://schemas.microsoft.com/office/drawing/2014/main" id="{731399ED-EF0F-AFD4-8C03-BA30557EF5AC}"/>
            </a:ext>
          </a:extLst>
        </xdr:cNvPr>
        <xdr:cNvSpPr>
          <a:spLocks noChangeAspect="1" noChangeArrowheads="1"/>
        </xdr:cNvSpPr>
      </xdr:nvSpPr>
      <xdr:spPr bwMode="auto">
        <a:xfrm>
          <a:off x="0" y="1645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20485" name="AutoShape 5" descr="Nhi, Nguyen Hong / Commercial Projects Coordinator">
          <a:extLst>
            <a:ext uri="{FF2B5EF4-FFF2-40B4-BE49-F238E27FC236}">
              <a16:creationId xmlns:a16="http://schemas.microsoft.com/office/drawing/2014/main" id="{313F146C-F847-4D8F-E4BC-10668E167E72}"/>
            </a:ext>
          </a:extLst>
        </xdr:cNvPr>
        <xdr:cNvSpPr>
          <a:spLocks noChangeAspect="1" noChangeArrowheads="1"/>
        </xdr:cNvSpPr>
      </xdr:nvSpPr>
      <xdr:spPr bwMode="auto">
        <a:xfrm>
          <a:off x="0" y="219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0</xdr:col>
      <xdr:colOff>304800</xdr:colOff>
      <xdr:row>4</xdr:row>
      <xdr:rowOff>129540</xdr:rowOff>
    </xdr:to>
    <xdr:sp macro="" textlink="">
      <xdr:nvSpPr>
        <xdr:cNvPr id="20486" name="AutoShape 6" descr="Dung, Nguyen Duy / Commercial Projects Officer">
          <a:extLst>
            <a:ext uri="{FF2B5EF4-FFF2-40B4-BE49-F238E27FC236}">
              <a16:creationId xmlns:a16="http://schemas.microsoft.com/office/drawing/2014/main" id="{4FC3ECAD-B6DE-1F11-E28E-C745B352B4AA}"/>
            </a:ext>
          </a:extLst>
        </xdr:cNvPr>
        <xdr:cNvSpPr>
          <a:spLocks noChangeAspect="1" noChangeArrowheads="1"/>
        </xdr:cNvSpPr>
      </xdr:nvSpPr>
      <xdr:spPr bwMode="auto">
        <a:xfrm>
          <a:off x="0" y="274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xdr:row>
      <xdr:rowOff>0</xdr:rowOff>
    </xdr:from>
    <xdr:to>
      <xdr:col>0</xdr:col>
      <xdr:colOff>304800</xdr:colOff>
      <xdr:row>5</xdr:row>
      <xdr:rowOff>129540</xdr:rowOff>
    </xdr:to>
    <xdr:sp macro="" textlink="">
      <xdr:nvSpPr>
        <xdr:cNvPr id="20487" name="AutoShape 7" descr="Marcia Thu, Nguyen Do Anh / Commercial Projects Team Leader">
          <a:extLst>
            <a:ext uri="{FF2B5EF4-FFF2-40B4-BE49-F238E27FC236}">
              <a16:creationId xmlns:a16="http://schemas.microsoft.com/office/drawing/2014/main" id="{124347CD-BBFF-8EC1-21E4-74267CC1E3BF}"/>
            </a:ext>
          </a:extLst>
        </xdr:cNvPr>
        <xdr:cNvSpPr>
          <a:spLocks noChangeAspect="1" noChangeArrowheads="1"/>
        </xdr:cNvSpPr>
      </xdr:nvSpPr>
      <xdr:spPr bwMode="auto">
        <a:xfrm>
          <a:off x="0" y="329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nh, Nguyen Thi Lan / Customer Services Senior Manager" id="{59F29039-F599-4EEB-AB80-50027E604B6A}" userId="S::anhntl@rochdalespears.com::6e004479-d36e-47e4-b2d2-17963eb4708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O' hara / Hospitality Director (Consultant)" refreshedDate="46300.269711226851" createdVersion="8" refreshedVersion="8" minRefreshableVersion="3" recordCount="163" xr:uid="{513261B3-4219-4277-BB5B-735219CD8F61}">
  <cacheSource type="worksheet">
    <worksheetSource ref="A2:BF165" sheet="Detail_New"/>
  </cacheSource>
  <cacheFields count="59">
    <cacheField name="PROJECT TYPE" numFmtId="0">
      <sharedItems count="2">
        <s v="RH"/>
        <s v="NON RH"/>
      </sharedItems>
    </cacheField>
    <cacheField name="STAGE" numFmtId="0">
      <sharedItems count="2">
        <s v="NPI"/>
        <s v="NPD"/>
      </sharedItems>
    </cacheField>
    <cacheField name="PIC" numFmtId="0">
      <sharedItems/>
    </cacheField>
    <cacheField name="CUSTOMER PIC" numFmtId="0">
      <sharedItems containsBlank="1"/>
    </cacheField>
    <cacheField name="CUSTOMER NAME" numFmtId="0">
      <sharedItems/>
    </cacheField>
    <cacheField name="CUSTOMER SHORTEN NAME" numFmtId="0">
      <sharedItems/>
    </cacheField>
    <cacheField name="PROJECT NAME (SHORT)" numFmtId="0">
      <sharedItems/>
    </cacheField>
    <cacheField name="PROJECT NAME" numFmtId="0">
      <sharedItems count="94">
        <s v="2026-RH-GRAND HYATT BAHA MAR "/>
        <s v="2026-RH-GRAND HYATT BAHA MAR"/>
        <s v="2026-RH-GRAND HYATT BAHA MAR-PHASE 2"/>
        <s v="2025-RH-FOX HARBOR"/>
        <s v="2025-RH-RH CASSIA CONDO"/>
        <s v="2025-RH-MAIN STREET BOUTIQUE HOTEL"/>
        <s v="2025-RH-CHICAGO PENDRY"/>
        <s v="2026-RH-CIA O&amp;O GUESTROOMS"/>
        <s v="2026-RH-HA STUDIO PICO/WILKINS"/>
        <s v="2026-RH-NAMA LISBON"/>
        <s v="2026-RH-NAMA LISBON-PUBLIC SPACE "/>
        <s v="2026-RH-RANCHO VALENCIA"/>
        <s v="2026-RH-RH CONTRACT (LARA CHAIR 25)"/>
        <s v="2025-RH-RH TRUMP SUITES NYC"/>
        <s v="2024-RH-TRUMP DORAL"/>
        <s v="2026-RH-RH TRUMP SUITES NYC"/>
        <s v="2026-RH-ROSEWOOD CALISTOGA"/>
        <s v="2025-RH-ROSEWOOD CALISTOGA"/>
        <s v="2026-RH-SNAKE RIVER LODGE BLUEFLAG"/>
        <s v="2025-RH-TRUMP LAS VEGAS PENTHOUSES"/>
        <s v="2026-RH-RITZ DOVE MOUNTAIN"/>
        <s v="2026-RH-MAYBOURNE_ONE WALL STREET NY"/>
        <s v="2024-RH-ST. REGIS KANAI"/>
        <s v="2026-COSMIC REALTY-250 FIFTH AVENUE HOTEL"/>
        <s v="2026-L&amp;S-ELYSEE HOTEL"/>
        <s v="2026-L&amp;S-FAENA TULLUM (FTMX)"/>
        <s v="2025-FLEETWOOD -FOUR SEASON JACKSONVILLE"/>
        <s v="2026-FLEETWOOD -HARD ROCK LAS VEGAS WEST TOWER"/>
        <s v="2025-FLEETWOOD -HWVP PHASE 2"/>
        <s v="2026-THE PARKER-JAMES NY NOMAD"/>
        <s v="2025-KD-KNOX DALLAS"/>
        <s v="2026-KD-KNOX DALLAS SUITE"/>
        <s v="2025-KD-KNOX DALLAS SUITE"/>
        <s v="Removed-AHMADIAH-MARRIOTT KHOBAR"/>
        <s v="2026-MH-MH HOTEL PROJECT"/>
        <s v="2025-MOHI-MOHI APPELLATION"/>
        <s v="2026-MOHI-MOHI APPELLATION"/>
        <s v="2025-L&amp;S-RITZ CARLTON COTTON BAY"/>
        <s v="2025-PLUS CORPORATION-SOHO HOUSE TOKYO"/>
        <s v="2026-SPECTRUM-1122 MADISON "/>
        <s v="2026-RSC-THẢO ĐIỀN OFFICE"/>
        <s v="2026-TRIMA-JRH"/>
        <s v="2026-BROOKFIELD-PARK HYATT VANCOUVER"/>
        <s v="2025-FLEETWOOD -W-HOTEL-LAS-VEGAS"/>
        <s v="2026-L&amp;S-HARD ROCK SAN JUAN"/>
        <s v="2026-SPECTRUM-OTMB VANITY"/>
        <s v="2026-AYALA-KHOBAR HILTON CANOPY HOTEL"/>
        <s v="2026-BENJAMIN-HACIENDA HOTEL LISBON PORTUGAL "/>
        <s v="2026-WOODHAUS-KNOX HENDERSON"/>
        <s v="2026-TRIMA-JOIA TIERRA DEL SOL"/>
        <s v="2026-RH-RED SEA"/>
        <s v="2026-RH-VICEROY SUGAR BEACH - ASH WOOD VERSION"/>
        <s v="TBC-L&amp;S-SILVERSANDS GRAND ANSE"/>
        <s v="2026-SPECTRUM-PROJECT 550"/>
        <s v="2026-FLEETWOOD -AUBERGE HOUSTON MR"/>
        <s v="2026-RH-AWH TOPNOTCH"/>
        <s v="2026-FLEETWOOD -SPANISH BAY CLUB "/>
        <s v="2026-FLEETWOOD -HWVP PHASE 2"/>
        <s v="2026-KD-KNOX DALLAS"/>
        <s v="2026-PLUS CORPORATION-SOHO HOUSE TOKYO"/>
        <s v="2026-RH-RH BRANDYWINE"/>
        <s v="2026-BROOKFIELD-RITZ CARLTON PHILADELPHIA"/>
        <s v="2026-RH-CUSTOM MIYU TABLES"/>
        <s v="2026-RH-GRAND HYATT DENVER"/>
        <s v="2026-RH-COMPETITIVE EDGE "/>
        <s v="2026-FLEETWOOD -WALDORF ASTORIA DEER VALLEY"/>
        <s v="2026-FLEETWOOD -PEBBLE BEACH CASA PALMERO"/>
        <s v="2026-RH-SUNRIVER RESORT "/>
        <s v="2026-TRIMA-ASIATICO RESTAURANT "/>
        <s v="2026-RH-MONTAUK YACHT CLUB"/>
        <s v="2026-HBA-HILTON PASADENA"/>
        <s v="2026-FLEETWOOD -FAIRMONT HOTEL WINNIPEG"/>
        <s v="2026-L&amp;S-THE STANDARD MIAMI HOTEL"/>
        <s v="2026-RH-KINDERED KEYSTONE RESORT"/>
        <s v="2026-HBA-MARRIOTT GUYANA PUBLIC AREAS "/>
        <s v="2026-RH-BELGROVE VILLAS"/>
        <s v="2026-BISCAYNE-PARK_AVENUE_HOTEL"/>
        <s v="TBC-BISCAYNE-PARK_AVENUE_HOTEL"/>
        <s v="2026-RH-CAUDWELL"/>
        <s v="2026-RH-FOUR SEASONS  DENVER"/>
        <s v="2026-RH-MUNISH"/>
        <s v="2026-RH-MAUNA LANI"/>
        <s v="2026-RH-GOLDEN PEAK"/>
        <s v="2026-RH-CUSTOM BEDS FOR EU"/>
        <s v="2026-BWG -MUSE POINT APARTMENT"/>
        <s v="2026-RH-DANCING BEAR "/>
        <s v="2026-RH-FOOTES REST"/>
        <s v="2026-RH-RITZ CABO VILLA"/>
        <s v="2026-FLEETWOOD -BDNY"/>
        <s v="2026-RH-AHS ONE CANAL CRESENT"/>
        <s v="2026-RH-SUNRIVER RESORT MR" u="1"/>
        <s v="2026-RH-MAUNA MANI" u="1"/>
        <s v="TBC-BROOKFIELD-PARK HYATT VANCOUVER" u="1"/>
        <s v="2026-FLEETWOOD -W-HOTEL-LAS-VEGAS" u="1"/>
      </sharedItems>
    </cacheField>
    <cacheField name="COUNT" numFmtId="0">
      <sharedItems containsSemiMixedTypes="0" containsString="0" containsNumber="1" containsInteger="1" minValue="0" maxValue="1"/>
    </cacheField>
    <cacheField name="STATUS" numFmtId="0">
      <sharedItems count="10">
        <s v="SHIPPED"/>
        <s v="FC"/>
        <s v="REMOVED"/>
        <s v="OB"/>
        <s v="PIPELINE"/>
        <s v="DROPPED"/>
        <s v="CANCELLED"/>
        <s v="REJECTED "/>
        <s v="ON HOLD"/>
        <s v="NOR" u="1"/>
      </sharedItems>
    </cacheField>
    <cacheField name="POOL" numFmtId="0">
      <sharedItems/>
    </cacheField>
    <cacheField name="NPD/NPI_x000a_STAGE" numFmtId="0">
      <sharedItems containsBlank="1"/>
    </cacheField>
    <cacheField name="BOQ DATE" numFmtId="0">
      <sharedItems containsNonDate="0" containsDate="1" containsString="0" containsBlank="1" minDate="2024-10-10T00:00:00" maxDate="2026-09-19T00:00:00"/>
    </cacheField>
    <cacheField name="PO RECEIVED_x000a_DATE" numFmtId="0">
      <sharedItems containsDate="1" containsBlank="1" containsMixedTypes="1" minDate="2025-09-13T00:00:00" maxDate="2026-08-26T00:00:00"/>
    </cacheField>
    <cacheField name="DEPOSIT_x000a_RECEIVED DATE" numFmtId="0">
      <sharedItems containsDate="1" containsBlank="1" containsMixedTypes="1" minDate="2025-12-09T00:00:00" maxDate="2026-06-27T00:00:00"/>
    </cacheField>
    <cacheField name="PAYMENT TERM" numFmtId="0">
      <sharedItems/>
    </cacheField>
    <cacheField name="MARKET" numFmtId="0">
      <sharedItems containsBlank="1"/>
    </cacheField>
    <cacheField name="MARKET STATE (US ONLY)" numFmtId="0">
      <sharedItems containsBlank="1"/>
    </cacheField>
    <cacheField name="BE SKU" numFmtId="0">
      <sharedItems containsBlank="1" containsMixedTypes="1" containsNumber="1" containsInteger="1" minValue="0" maxValue="64"/>
    </cacheField>
    <cacheField name="BE QTY" numFmtId="0">
      <sharedItems containsBlank="1" containsMixedTypes="1" containsNumber="1" containsInteger="1" minValue="0" maxValue="137"/>
    </cacheField>
    <cacheField name="CG QTY" numFmtId="0">
      <sharedItems containsString="0" containsBlank="1" containsNumber="1" containsInteger="1" minValue="2" maxValue="74"/>
    </cacheField>
    <cacheField name="UPH QTY" numFmtId="0">
      <sharedItems containsNonDate="0" containsString="0" containsBlank="1"/>
    </cacheField>
    <cacheField name="PROJECT SKU" numFmtId="1">
      <sharedItems containsString="0" containsBlank="1" containsNumber="1" containsInteger="1" minValue="1" maxValue="117" count="37">
        <n v="26"/>
        <n v="27"/>
        <n v="50"/>
        <n v="9"/>
        <n v="2"/>
        <n v="12"/>
        <n v="1"/>
        <n v="11"/>
        <n v="24"/>
        <n v="6"/>
        <n v="38"/>
        <n v="36"/>
        <n v="14"/>
        <n v="18"/>
        <n v="17"/>
        <n v="22"/>
        <n v="16"/>
        <n v="25"/>
        <n v="94"/>
        <n v="7"/>
        <n v="30"/>
        <n v="35"/>
        <n v="28"/>
        <n v="13"/>
        <n v="117"/>
        <n v="48"/>
        <n v="20"/>
        <n v="4"/>
        <n v="8"/>
        <n v="5"/>
        <n v="21"/>
        <n v="23"/>
        <m/>
        <n v="55"/>
        <n v="15"/>
        <n v="3"/>
        <n v="32"/>
      </sharedItems>
    </cacheField>
    <cacheField name="PROJECT QTY" numFmtId="1">
      <sharedItems containsString="0" containsBlank="1" containsNumber="1" containsInteger="1" minValue="1" maxValue="494"/>
    </cacheField>
    <cacheField name="PROJECT VALUE $" numFmtId="167">
      <sharedItems containsBlank="1" containsMixedTypes="1" containsNumber="1" minValue="0" maxValue="5665882.9800000004"/>
    </cacheField>
    <cacheField name="PROJECT BREAK VALUE" numFmtId="167">
      <sharedItems containsBlank="1" containsMixedTypes="1" containsNumber="1" minValue="0" maxValue="1155469"/>
    </cacheField>
    <cacheField name="SHIP MONTH FC" numFmtId="0">
      <sharedItems containsBlank="1" containsMixedTypes="1" containsNumber="1" containsInteger="1" minValue="1466" maxValue="1466" count="28">
        <s v="2026/M05"/>
        <s v="2026/M06"/>
        <s v="2026/M07"/>
        <s v="2026/M08"/>
        <s v="2027/M06"/>
        <s v="2027/M07"/>
        <s v="2027/M08"/>
        <s v="2026/M04"/>
        <s v="2026/M09"/>
        <s v="2026/M10"/>
        <s v="2026/M11"/>
        <s v="2027/M01"/>
        <s v="TBC"/>
        <s v="2026/M03"/>
        <s v="2027/M05"/>
        <s v="2026/M12"/>
        <s v="2027/M04"/>
        <s v="2027/M10"/>
        <s v="2027/M02"/>
        <s v="2027/M03"/>
        <s v="Removed"/>
        <s v="2027/M11"/>
        <s v="2027/M12"/>
        <s v="2027/M09"/>
        <s v="2026/M01"/>
        <s v="2026/M02"/>
        <m/>
        <n v="1466" u="1"/>
      </sharedItems>
    </cacheField>
    <cacheField name="SHIP YEAR" numFmtId="0">
      <sharedItems count="6">
        <s v="2026"/>
        <s v="2027"/>
        <s v="TBC"/>
        <s v="Removed"/>
        <s v=""/>
        <s v="1466" u="1"/>
      </sharedItems>
    </cacheField>
    <cacheField name=" REQUESTED FIRST SD" numFmtId="0">
      <sharedItems containsDate="1" containsBlank="1" containsMixedTypes="1" minDate="2025-08-22T00:00:00" maxDate="2026-11-03T00:00:00"/>
    </cacheField>
    <cacheField name=" REQUESTED LAST SD" numFmtId="0">
      <sharedItems containsDate="1" containsBlank="1" containsMixedTypes="1" minDate="2026-03-06T00:00:00" maxDate="2026-11-24T00:00:00"/>
    </cacheField>
    <cacheField name="CONFIRMED FIRST SD" numFmtId="0">
      <sharedItems containsDate="1" containsBlank="1" containsMixedTypes="1" minDate="2025-01-17T00:00:00" maxDate="2027-05-09T00:00:00"/>
    </cacheField>
    <cacheField name="CONFIRMED LAST SD" numFmtId="0">
      <sharedItems containsDate="1" containsBlank="1" containsMixedTypes="1" minDate="2025-01-17T00:00:00" maxDate="2027-06-27T00:00:00"/>
    </cacheField>
    <cacheField name="CONFIRMED FIRST SW" numFmtId="0">
      <sharedItems/>
    </cacheField>
    <cacheField name="CONFIRMED LAST SW" numFmtId="0">
      <sharedItems/>
    </cacheField>
    <cacheField name="DRAWING_x000a_STATUS" numFmtId="0">
      <sharedItems containsBlank="1"/>
    </cacheField>
    <cacheField name="DRAWING_x000a_PLAN/DUE DATE" numFmtId="0">
      <sharedItems containsNonDate="0" containsDate="1" containsString="0" containsBlank="1" minDate="2026-07-31T00:00:00" maxDate="2026-09-27T00:00:00"/>
    </cacheField>
    <cacheField name="DRAWING_x000a_APPROVED DATE" numFmtId="0">
      <sharedItems containsNonDate="0" containsDate="1" containsString="0" containsBlank="1" minDate="2025-06-05T00:00:00" maxDate="2026-09-12T00:00:00"/>
    </cacheField>
    <cacheField name="VENEER/WOOD_x000a_STATUS" numFmtId="0">
      <sharedItems containsBlank="1"/>
    </cacheField>
    <cacheField name="VENEER/WOOD_x000a_PLAN/DUE DATE" numFmtId="0">
      <sharedItems containsNonDate="0" containsDate="1" containsString="0" containsBlank="1" minDate="2026-09-11T00:00:00" maxDate="2026-09-27T00:00:00"/>
    </cacheField>
    <cacheField name="VENEER/WOOD_x000a_APPROVED DATE" numFmtId="0">
      <sharedItems containsNonDate="0" containsDate="1" containsString="0" containsBlank="1" minDate="2025-06-05T00:00:00" maxDate="2026-09-12T00:00:00"/>
    </cacheField>
    <cacheField name="MARBLE_x000a_STATUS" numFmtId="0">
      <sharedItems containsBlank="1"/>
    </cacheField>
    <cacheField name="MARBLE_x000a_PLAN/DUE DATE" numFmtId="0">
      <sharedItems containsNonDate="0" containsDate="1" containsString="0" containsBlank="1" minDate="2026-09-26T00:00:00" maxDate="2026-09-27T00:00:00"/>
    </cacheField>
    <cacheField name="MARBLE_x000a_APPROVED DATE" numFmtId="0">
      <sharedItems containsDate="1" containsBlank="1" containsMixedTypes="1" minDate="2025-11-25T00:00:00" maxDate="2026-09-12T00:00:00"/>
    </cacheField>
    <cacheField name="METAL_x000a_STATUS" numFmtId="0">
      <sharedItems containsBlank="1" containsMixedTypes="1" containsNumber="1" containsInteger="1" minValue="46037" maxValue="46037"/>
    </cacheField>
    <cacheField name="METAL_x000a_PLAN/DUE DATE" numFmtId="0">
      <sharedItems containsNonDate="0" containsDate="1" containsString="0" containsBlank="1" minDate="2026-09-11T00:00:00" maxDate="2026-09-27T00:00:00"/>
    </cacheField>
    <cacheField name="METAL_x000a_APPROVED DATE" numFmtId="0">
      <sharedItems containsDate="1" containsBlank="1" containsMixedTypes="1" minDate="2025-11-25T00:00:00" maxDate="2026-09-19T00:00:00"/>
    </cacheField>
    <cacheField name="MIRROR_x000a_STATUS" numFmtId="0">
      <sharedItems containsBlank="1" containsMixedTypes="1" containsNumber="1" containsInteger="1" minValue="46037" maxValue="46037"/>
    </cacheField>
    <cacheField name="MIRROR_x000a_PLAN/DUE DATE" numFmtId="0">
      <sharedItems containsNonDate="0" containsString="0" containsBlank="1"/>
    </cacheField>
    <cacheField name="MIRROR_x000a_APPROVED DATE" numFmtId="0">
      <sharedItems containsNonDate="0" containsDate="1" containsString="0" containsBlank="1" minDate="2026-03-13T00:00:00" maxDate="2026-08-27T00:00:00"/>
    </cacheField>
    <cacheField name="ELECTRICAL_x000a_STATUS" numFmtId="0">
      <sharedItems containsBlank="1"/>
    </cacheField>
    <cacheField name="ELECTRICAL_x000a_PLAN/DUE DATE" numFmtId="0">
      <sharedItems containsNonDate="0" containsString="0" containsBlank="1"/>
    </cacheField>
    <cacheField name="ELECTRICAL_x000a_APPROVED DATE" numFmtId="0">
      <sharedItems containsNonDate="0" containsDate="1" containsString="0" containsBlank="1" minDate="2026-09-05T00:00:00" maxDate="2026-09-06T00:00:00"/>
    </cacheField>
    <cacheField name="FABRIC_x000a_STATUS" numFmtId="0">
      <sharedItems containsBlank="1"/>
    </cacheField>
    <cacheField name="FABRIC_x000a_PLAN/DUE DATE" numFmtId="0">
      <sharedItems containsNonDate="0" containsDate="1" containsString="0" containsBlank="1" minDate="2026-09-04T00:00:00" maxDate="2026-09-05T00:00:00"/>
    </cacheField>
    <cacheField name="FABRIC_x000a_DUE DATE" numFmtId="0">
      <sharedItems containsDate="1" containsBlank="1" containsMixedTypes="1" minDate="2026-03-09T00:00:00" maxDate="2026-07-08T00:00:00"/>
    </cacheField>
    <cacheField name="LIFECYCLE" numFmtId="0">
      <sharedItems/>
    </cacheField>
    <cacheField name="CPSC + TSCA" numFmtId="0">
      <sharedItems containsBlank="1"/>
    </cacheField>
    <cacheField name="DEVELOPMENT STATUS" numFmtId="0">
      <sharedItems/>
    </cacheField>
    <cacheField name="Remarks"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pham" refreshedDate="46309.190807638886" createdVersion="8" refreshedVersion="8" minRefreshableVersion="3" recordCount="201" xr:uid="{69463257-D609-4D35-BC84-598FAFFA64E8}">
  <cacheSource type="worksheet">
    <worksheetSource ref="A2:BF203" sheet="Detail_New"/>
  </cacheSource>
  <cacheFields count="58">
    <cacheField name="PROJECT TYPE" numFmtId="0">
      <sharedItems count="4">
        <s v="RH"/>
        <s v="NON RH"/>
        <s v="KA"/>
        <s v="LOCAL"/>
      </sharedItems>
    </cacheField>
    <cacheField name="STAGE" numFmtId="0">
      <sharedItems count="2">
        <s v="NPI"/>
        <s v="NPD"/>
      </sharedItems>
    </cacheField>
    <cacheField name="PIC" numFmtId="0">
      <sharedItems/>
    </cacheField>
    <cacheField name="CUSTOMER PIC" numFmtId="0">
      <sharedItems containsBlank="1"/>
    </cacheField>
    <cacheField name="CUSTOMER NAME" numFmtId="0">
      <sharedItems/>
    </cacheField>
    <cacheField name="CUSTOMER SHORTEN NAME" numFmtId="0">
      <sharedItems/>
    </cacheField>
    <cacheField name="PROJECT NAME (SHORT)" numFmtId="0">
      <sharedItems/>
    </cacheField>
    <cacheField name="PROJECT NAME" numFmtId="0">
      <sharedItems count="122">
        <s v="2026-RH-GRAND HYATT BAHA MAR "/>
        <s v="2026-RH-GRAND HYATT BAHA MAR"/>
        <s v="2026-RH-GRAND HYATT BAHA MAR-PHASE 2"/>
        <s v="2025-RH-FOX HARBOR"/>
        <s v="2025-RH-RH CASSIA CONDO"/>
        <s v="2025-RH-MAIN STREET BOUTIQUE HOTEL"/>
        <s v="2025-RH-CHICAGO PENDRY"/>
        <s v="2026-RH-CIA O&amp;O GUESTROOMS"/>
        <s v="2026-RH-HA STUDIO PICO/WILKINS"/>
        <s v="2026-RH-HA STUDIO PICO/WILKINS-REODER"/>
        <s v="2026-RH-NAMA LISBON"/>
        <s v="2026-RH-NAMA LISBON-PUBLIC SPACE "/>
        <s v="2026-RH-RANCHO VALENCIA"/>
        <s v="2026-RH-RH CONTRACT (LARA CHAIR 25)"/>
        <s v="2025-RH-RH TRUMP SUITES NYC"/>
        <s v="2024-RH-TRUMP DORAL"/>
        <s v="2026-RH-RH TRUMP SUITES NYC"/>
        <s v="2026-RH-ROSEWOOD CALISTOGA"/>
        <s v="2025-RH-ROSEWOOD CALISTOGA"/>
        <s v="2026-RH-SNAKE RIVER LODGE BLUEFLAG"/>
        <s v="2025-RH-TRUMP LAS VEGAS PENTHOUSES"/>
        <s v="2026-RH-RITZ DOVE MOUNTAIN"/>
        <s v="2026-RH-MAYBOURNE_ONE WALL STREET NY"/>
        <s v="2024-RH-ST. REGIS KANAI"/>
        <s v="2026-COSMIC REALTY-250 FIFTH AVENUE HOTEL"/>
        <s v="2026-L&amp;S-ELYSEE HOTEL"/>
        <s v="2026-L&amp;S-FAENA TULLUM (FTMX)"/>
        <s v="2025-FLEETWOOD -FOUR SEASON JACKSONVILLE"/>
        <s v="2026-FLEETWOOD -HARD ROCK LAS VEGAS WEST TOWER"/>
        <s v="2025-FLEETWOOD -HWVP PHASE 2"/>
        <s v="2026-THE PARKER-JAMES NY NOMAD"/>
        <s v="2025-KD-KNOX DALLAS"/>
        <s v="2026-KD-KNOX DALLAS SUITE"/>
        <s v="2025-KD-KNOX DALLAS SUITE"/>
        <s v="2026-KD-KNOX DALLAS INSPECTION COVERS"/>
        <s v="Removed-AHMADIAH-MARRIOTT KHOBAR"/>
        <s v="2026-MH-MH HOTEL PROJECT"/>
        <s v="2025-MOHI-MOHI APPELLATION"/>
        <s v="2026-MOHI-MOHI APPELLATION"/>
        <s v="2025-L&amp;S-RITZ CARLTON COTTON BAY"/>
        <s v="2025-PLUS CORPORATION-SOHO HOUSE TOKYO"/>
        <s v="2026-SPECTRUM-1122 MADISON "/>
        <s v="2026-RSC-THẢO ĐIỀN OFFICE"/>
        <s v="2026-TRIMA-JRH"/>
        <s v="2026-BROOKFIELD-PARK HYATT VANCOUVER"/>
        <s v="2025-FLEETWOOD -W-HOTEL-LAS-VEGAS"/>
        <s v="2026-L&amp;S-HARD ROCK SAN JUAN"/>
        <s v="2026-SPECTRUM-OTMB VANITY"/>
        <s v="2026-AYALA-KHOBAR HILTON CANOPY HOTEL"/>
        <s v="2026-BENJAMIN-HACIENDA HOTEL LISBON PORTUGAL "/>
        <s v="2026-WOODHAUS-KNOX HENDERSON"/>
        <s v="2026-TRIMA-JOIA TIERRA DEL SOL"/>
        <s v="2026-RH-RED SEA"/>
        <s v="2026-RH-VICEROY SUGAR BEACH - ASH WOOD VERSION"/>
        <s v="TBC-L&amp;S-SILVERSANDS GRAND ANSE"/>
        <s v="2026-SPECTRUM-PROJECT 550"/>
        <s v="2026-FLEETWOOD -AUBERGE HOUSTON MR"/>
        <s v="2026-RH-AWH TOPNOTCH"/>
        <s v="2026-FLEETWOOD -SPANISH BAY CLUB "/>
        <s v="2026-FLEETWOOD -HWVP PHASE 2"/>
        <s v="2026-KD-KNOX DALLAS"/>
        <s v="2026-PLUS CORPORATION-SOHO HOUSE TOKYO"/>
        <s v="2026-RH-RH BRANDYWINE"/>
        <s v="2026-BROOKFIELD-RITZ CARLTON PHILADELPHIA"/>
        <s v="2026-RH-CUSTOM MIYU TABLES"/>
        <s v="2026-RH-GRAND HYATT DENVER"/>
        <s v="2026-RH-COMPETITIVE EDGE "/>
        <s v="2026-FLEETWOOD -WALDORF ASTORIA DEER VALLEY"/>
        <s v="2026-FLEETWOOD -PEBBLE BEACH CASA PALMERO"/>
        <s v="2026-RH-SUNRIVER RESORT "/>
        <s v="2026-TRIMA-ASIATICO RESTAURANT "/>
        <s v="2026-RH-MONTAUK YACHT CLUB"/>
        <s v="2026-HBA-HILTON PASADENA"/>
        <s v="2026-FLEETWOOD -FAIRMONT HOTEL WINNIPEG"/>
        <s v="2026-L&amp;S-THE STANDARD MIAMI HOTEL"/>
        <s v="2026-RH-KINDERED KEYSTONE RESORT"/>
        <s v="2026-HBA-MARRIOTT GUYANA PUBLIC AREAS "/>
        <s v="2026-RH-BELGROVE VILLAS"/>
        <s v="2026-BISCAYNE-PARK_AVENUE_HOTEL"/>
        <s v="TBC-BISCAYNE-PARK_AVENUE_HOTEL"/>
        <s v="2026-RH-CAUDWELL"/>
        <s v="2026-RH-FOUR SEASONS  DENVER"/>
        <s v="2026-RH-MUNISH"/>
        <s v="2026-RH-MAUNA LANI"/>
        <s v="2026-RH-GOLDEN PEAK"/>
        <s v="2026-RH-CUSTOM BEDS FOR EU"/>
        <s v="2026-BWG -MUSE POINT APARTMENT"/>
        <s v="2026-RH-DANCING BEAR "/>
        <s v="2026-RH-FOOTES REST"/>
        <s v="2026-RH-RITZ CABO VILLA"/>
        <s v="2026-FLEETWOOD -BDNY"/>
        <s v="2026-RH-AHS ONE CANAL CRESENT"/>
        <s v="2026-RH-1419 MONUMENT HOTEL"/>
        <s v="2026-SH-OAKLEY COURT MINI BAR BRIEF"/>
        <s v="2026-AG-8 EATON LANE"/>
        <s v="2026-AG-BOARDROOM FURNITURE"/>
        <s v="2026-AG-CHARTER STREET TABLES"/>
        <s v="2026-RH-DEER VALLEY  "/>
        <s v="2026-RH-ALTERRA_DEER VALLEY "/>
        <s v="2026-BISCAYNE-SLPS - SUGAR LAND, PUBLIC SPACE"/>
        <s v="2026-BISCAYNE-SLPSC"/>
        <s v="2026-FLEETWOOD -MGM BELLAGIO"/>
        <s v="2026-RH-FOUR SEASON DUBROVNIK"/>
        <s v="2026-BISCAYNE-AGV MODEL ROOM"/>
        <s v="2026-BISCAYNE-AGV MODEL ROOM-EXTRA"/>
        <s v="2026-BISCAYNE-AGSR - ARIZONA GRAND SUITES - MODEL ROOM"/>
        <s v="2026-BISCAYNE-AGSR - ARIZONA GRAND SUITES - EXTRA"/>
        <s v="2026-BISCAYNE-SPA"/>
        <s v="2026-BISCAYNE-OLY PA"/>
        <s v="2026-MJM-CABIN PROJECT"/>
        <s v="2026-RH-OPS-0069737 TRIBECA CONDOS - VANITIES"/>
        <s v="2026-MV-CLEVELAND CLINIC"/>
        <s v="2026-RH-MONTAGE PENDRY BARBADOS"/>
        <s v="2026-SPECTRUM-PROJECT 550 POCKET DOORS"/>
        <s v="2026-RH- FOUR SEASONS LAS VEGAS"/>
        <s v="2026-RH-LAKE OCONEE TENTS"/>
        <s v="2026-BISCAYNE-MCO"/>
        <s v="TBC-FAIRFIELD-WASHINGTON-DUKE"/>
        <s v="2026-FAIRFIELD-WASHINGTON-DUKE"/>
        <s v="2026-MONDO-LEXINGTON HOTEL"/>
        <s v="TBC-RH-LAKE OCONEE TENTS" u="1"/>
        <s v="TBC-MONDO-LEXINGTON HOTEL" u="1"/>
      </sharedItems>
    </cacheField>
    <cacheField name="COUNT" numFmtId="0">
      <sharedItems containsSemiMixedTypes="0" containsString="0" containsNumber="1" containsInteger="1" minValue="0" maxValue="1"/>
    </cacheField>
    <cacheField name="STATUS" numFmtId="0">
      <sharedItems count="11">
        <s v="SHIPPED"/>
        <s v="FC"/>
        <s v="REMOVED"/>
        <s v="OB"/>
        <s v="NOR"/>
        <s v="PIPELINE"/>
        <s v="DROPPED"/>
        <s v="CANCELLED"/>
        <s v="ON HOLD"/>
        <s v="REJECTED "/>
        <s v="REJECTED"/>
      </sharedItems>
    </cacheField>
    <cacheField name="POOL" numFmtId="0">
      <sharedItems/>
    </cacheField>
    <cacheField name="NPD/NPI_x000a_STAGE" numFmtId="0">
      <sharedItems containsBlank="1"/>
    </cacheField>
    <cacheField name="BOQ DATE" numFmtId="0">
      <sharedItems containsNonDate="0" containsDate="1" containsString="0" containsBlank="1" minDate="2024-10-10T00:00:00" maxDate="2026-10-08T00:00:00"/>
    </cacheField>
    <cacheField name="PO RECEIVED_x000a_DATE" numFmtId="0">
      <sharedItems containsDate="1" containsBlank="1" containsMixedTypes="1" minDate="2025-09-13T00:00:00" maxDate="2026-10-12T00:00:00"/>
    </cacheField>
    <cacheField name="DEPOSIT_x000a_RECEIVED DATE" numFmtId="0">
      <sharedItems containsDate="1" containsBlank="1" containsMixedTypes="1" minDate="2025-12-09T00:00:00" maxDate="2026-09-26T00:00:00"/>
    </cacheField>
    <cacheField name="MARKET" numFmtId="0">
      <sharedItems containsBlank="1"/>
    </cacheField>
    <cacheField name="MARKET STATE (US ONLY)" numFmtId="0">
      <sharedItems containsBlank="1"/>
    </cacheField>
    <cacheField name="BE SKU" numFmtId="0">
      <sharedItems containsBlank="1" containsMixedTypes="1" containsNumber="1" containsInteger="1" minValue="0" maxValue="64"/>
    </cacheField>
    <cacheField name="BE QTY" numFmtId="0">
      <sharedItems containsBlank="1" containsMixedTypes="1" containsNumber="1" containsInteger="1" minValue="0" maxValue="137"/>
    </cacheField>
    <cacheField name="CG QTY" numFmtId="0">
      <sharedItems containsString="0" containsBlank="1" containsNumber="1" containsInteger="1" minValue="1" maxValue="74"/>
    </cacheField>
    <cacheField name="UPH QTY" numFmtId="0">
      <sharedItems containsString="0" containsBlank="1" containsNumber="1" containsInteger="1" minValue="19" maxValue="19"/>
    </cacheField>
    <cacheField name="PROJECT SKU" numFmtId="1">
      <sharedItems containsString="0" containsBlank="1" containsNumber="1" containsInteger="1" minValue="1" maxValue="117" count="37">
        <n v="26"/>
        <n v="27"/>
        <n v="50"/>
        <n v="9"/>
        <n v="2"/>
        <n v="12"/>
        <n v="1"/>
        <n v="11"/>
        <n v="24"/>
        <n v="6"/>
        <n v="38"/>
        <n v="36"/>
        <n v="14"/>
        <n v="18"/>
        <n v="17"/>
        <n v="22"/>
        <n v="16"/>
        <n v="25"/>
        <n v="94"/>
        <n v="7"/>
        <n v="30"/>
        <n v="3"/>
        <n v="35"/>
        <n v="28"/>
        <n v="13"/>
        <n v="117"/>
        <n v="48"/>
        <n v="20"/>
        <n v="4"/>
        <n v="8"/>
        <n v="5"/>
        <n v="21"/>
        <n v="23"/>
        <m/>
        <n v="55"/>
        <n v="15"/>
        <n v="32"/>
      </sharedItems>
    </cacheField>
    <cacheField name="PROJECT QTY" numFmtId="1">
      <sharedItems containsString="0" containsBlank="1" containsNumber="1" containsInteger="1" minValue="1" maxValue="925"/>
    </cacheField>
    <cacheField name="PROJECT VALUE $" numFmtId="167">
      <sharedItems containsBlank="1" containsMixedTypes="1" containsNumber="1" minValue="0" maxValue="5665882.9800000004"/>
    </cacheField>
    <cacheField name="PROJECT BREAK VALUE" numFmtId="167">
      <sharedItems containsBlank="1" containsMixedTypes="1" containsNumber="1" minValue="0" maxValue="1155469"/>
    </cacheField>
    <cacheField name="SHIP MONTH FC" numFmtId="0">
      <sharedItems containsBlank="1" count="28">
        <s v="2026/M05"/>
        <s v="2026/M06"/>
        <s v="2026/M07"/>
        <s v="2026/M08"/>
        <s v="2027/M06"/>
        <s v="2027/M07"/>
        <s v="2027/M08"/>
        <s v="2026/M04"/>
        <s v="2026/M09"/>
        <s v="2026/M10"/>
        <s v="2026/M11"/>
        <s v="2027/M01"/>
        <s v="TBC"/>
        <s v="2026/M03"/>
        <s v="2027/M05"/>
        <s v="2026/M12"/>
        <s v="2027/M04"/>
        <s v="2027/M10"/>
        <s v="2027/M02"/>
        <s v="2027/M03"/>
        <s v="Removed"/>
        <s v="2027/M11"/>
        <s v="2027/M12"/>
        <s v="2027/M09"/>
        <s v="2026/M01"/>
        <s v="2026/M02"/>
        <m/>
        <s v="2028/M03"/>
      </sharedItems>
    </cacheField>
    <cacheField name="SHIP YEAR" numFmtId="0">
      <sharedItems count="6">
        <s v="2026"/>
        <s v="2027"/>
        <s v="TBC"/>
        <s v="Removed"/>
        <s v=""/>
        <s v="2028"/>
      </sharedItems>
    </cacheField>
    <cacheField name=" REQUESTED FIRST SD" numFmtId="0">
      <sharedItems containsDate="1" containsBlank="1" containsMixedTypes="1" minDate="2025-08-22T00:00:00" maxDate="2027-01-16T00:00:00"/>
    </cacheField>
    <cacheField name=" REQUESTED LAST SD" numFmtId="0">
      <sharedItems containsDate="1" containsBlank="1" containsMixedTypes="1" minDate="2026-03-06T00:00:00" maxDate="2027-01-16T00:00:00"/>
    </cacheField>
    <cacheField name="CONFIRMED FIRST SD" numFmtId="0">
      <sharedItems containsDate="1" containsBlank="1" containsMixedTypes="1" minDate="2025-01-17T00:00:00" maxDate="2027-09-04T00:00:00"/>
    </cacheField>
    <cacheField name="CONFIRMED LAST SD" numFmtId="0">
      <sharedItems containsDate="1" containsBlank="1" containsMixedTypes="1" minDate="2025-01-17T00:00:00" maxDate="2027-09-04T00:00:00"/>
    </cacheField>
    <cacheField name="CONFIRMED FIRST SW" numFmtId="0">
      <sharedItems/>
    </cacheField>
    <cacheField name="CONFIRMED LAST SW" numFmtId="0">
      <sharedItems/>
    </cacheField>
    <cacheField name="DRAWING_x000a_STATUS" numFmtId="0">
      <sharedItems containsBlank="1"/>
    </cacheField>
    <cacheField name="DRAWING_x000a_PLAN/DUE DATE" numFmtId="0">
      <sharedItems containsNonDate="0" containsDate="1" containsString="0" containsBlank="1" minDate="2026-09-26T00:00:00" maxDate="2027-10-23T00:00:00"/>
    </cacheField>
    <cacheField name="DRAWING_x000a_APPROVED DATE" numFmtId="0">
      <sharedItems containsDate="1" containsBlank="1" containsMixedTypes="1" minDate="2025-06-05T00:00:00" maxDate="2026-09-12T00:00:00"/>
    </cacheField>
    <cacheField name="VENEER/WOOD_x000a_STATUS" numFmtId="0">
      <sharedItems containsBlank="1"/>
    </cacheField>
    <cacheField name="VENEER/WOOD_x000a_PLAN/DUE DATE" numFmtId="0">
      <sharedItems containsNonDate="0" containsDate="1" containsString="0" containsBlank="1" minDate="2026-09-11T00:00:00" maxDate="2026-10-31T00:00:00"/>
    </cacheField>
    <cacheField name="VENEER/WOOD_x000a_APPROVED DATE" numFmtId="0">
      <sharedItems containsDate="1" containsBlank="1" containsMixedTypes="1" minDate="2025-06-05T00:00:00" maxDate="2026-09-12T00:00:00"/>
    </cacheField>
    <cacheField name="MARBLE_x000a_STATUS" numFmtId="0">
      <sharedItems containsBlank="1"/>
    </cacheField>
    <cacheField name="MARBLE_x000a_PLAN/DUE DATE" numFmtId="0">
      <sharedItems containsNonDate="0" containsDate="1" containsString="0" containsBlank="1" minDate="2026-09-26T00:00:00" maxDate="2026-10-31T00:00:00"/>
    </cacheField>
    <cacheField name="MARBLE_x000a_APPROVED DATE" numFmtId="0">
      <sharedItems containsDate="1" containsBlank="1" containsMixedTypes="1" minDate="2025-11-25T00:00:00" maxDate="2026-09-12T00:00:00"/>
    </cacheField>
    <cacheField name="METAL_x000a_STATUS" numFmtId="0">
      <sharedItems containsBlank="1" containsMixedTypes="1" containsNumber="1" containsInteger="1" minValue="46037" maxValue="46037"/>
    </cacheField>
    <cacheField name="METAL_x000a_PLAN/DUE DATE" numFmtId="0">
      <sharedItems containsNonDate="0" containsDate="1" containsString="0" containsBlank="1" minDate="2026-09-11T00:00:00" maxDate="2026-10-31T00:00:00"/>
    </cacheField>
    <cacheField name="METAL_x000a_APPROVED DATE" numFmtId="0">
      <sharedItems containsDate="1" containsBlank="1" containsMixedTypes="1" minDate="2025-11-25T00:00:00" maxDate="2026-09-19T00:00:00"/>
    </cacheField>
    <cacheField name="MIRROR_x000a_STATUS" numFmtId="0">
      <sharedItems containsBlank="1" containsMixedTypes="1" containsNumber="1" containsInteger="1" minValue="46037" maxValue="46037"/>
    </cacheField>
    <cacheField name="MIRROR_x000a_PLAN/DUE DATE" numFmtId="0">
      <sharedItems containsNonDate="0" containsDate="1" containsString="0" containsBlank="1" minDate="2026-10-02T00:00:00" maxDate="2026-10-03T00:00:00"/>
    </cacheField>
    <cacheField name="MIRROR_x000a_APPROVED DATE" numFmtId="0">
      <sharedItems containsNonDate="0" containsDate="1" containsString="0" containsBlank="1" minDate="2026-03-13T00:00:00" maxDate="2026-08-27T00:00:00"/>
    </cacheField>
    <cacheField name="ELECTRICAL_x000a_STATUS" numFmtId="0">
      <sharedItems containsBlank="1"/>
    </cacheField>
    <cacheField name="ELECTRICAL_x000a_PLAN/DUE DATE" numFmtId="0">
      <sharedItems containsNonDate="0" containsDate="1" containsString="0" containsBlank="1" minDate="2026-10-02T00:00:00" maxDate="2026-10-03T00:00:00"/>
    </cacheField>
    <cacheField name="ELECTRICAL_x000a_APPROVED DATE" numFmtId="0">
      <sharedItems containsNonDate="0" containsDate="1" containsString="0" containsBlank="1" minDate="2026-08-27T00:00:00" maxDate="2026-09-08T00:00:00"/>
    </cacheField>
    <cacheField name="FABRIC_x000a_STATUS" numFmtId="0">
      <sharedItems containsBlank="1"/>
    </cacheField>
    <cacheField name="FABRIC_x000a_PLAN/DUE DATE" numFmtId="0">
      <sharedItems containsNonDate="0" containsDate="1" containsString="0" containsBlank="1" minDate="2026-09-04T00:00:00" maxDate="2026-10-03T00:00:00"/>
    </cacheField>
    <cacheField name="FABRIC_x000a_DUE DATE" numFmtId="0">
      <sharedItems containsDate="1" containsBlank="1" containsMixedTypes="1" minDate="2026-03-09T00:00:00" maxDate="2026-08-26T00:00:00"/>
    </cacheField>
    <cacheField name="LIFECYCLE" numFmtId="0">
      <sharedItems/>
    </cacheField>
    <cacheField name="CPSC + TSCA" numFmtId="0">
      <sharedItems containsBlank="1"/>
    </cacheField>
    <cacheField name="DEVELOPMENT STATUS" numFmtId="0">
      <sharedItems/>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pham" refreshedDate="46309.386679282405" createdVersion="8" refreshedVersion="8" minRefreshableVersion="3" recordCount="202" xr:uid="{BE13BC14-E944-4A4C-AC2F-79E00BAE6858}">
  <cacheSource type="worksheet">
    <worksheetSource name="DetailTracker"/>
  </cacheSource>
  <cacheFields count="58">
    <cacheField name="PROJECT TYPE" numFmtId="0">
      <sharedItems count="5">
        <s v="RH"/>
        <s v="NON RH"/>
        <s v="KA"/>
        <s v="LOCAL"/>
        <s v=""/>
      </sharedItems>
    </cacheField>
    <cacheField name="STAGE" numFmtId="0">
      <sharedItems containsBlank="1" count="4">
        <s v="NPI"/>
        <s v="NPD"/>
        <m/>
        <s v="NPD to NPI" u="1"/>
      </sharedItems>
    </cacheField>
    <cacheField name="PIC" numFmtId="0">
      <sharedItems containsBlank="1" count="17">
        <s v="TRINH"/>
        <s v="BIEN"/>
        <s v="TUYET"/>
        <s v="DUNG"/>
        <s v="TU ANH"/>
        <s v="DUY"/>
        <s v="THU"/>
        <s v="DUONG"/>
        <s v="TBC"/>
        <s v="THAO"/>
        <s v="SANG"/>
        <s v="PHONG"/>
        <s v="NHI"/>
        <s v="SHIPPED"/>
        <s v="TRAN"/>
        <s v="HONG"/>
        <m/>
      </sharedItems>
    </cacheField>
    <cacheField name="CUSTOMER PIC" numFmtId="0">
      <sharedItems containsBlank="1"/>
    </cacheField>
    <cacheField name="CUSTOMER NAME" numFmtId="0">
      <sharedItems containsBlank="1" count="27">
        <s v="RESTORATION HARDWARE_HS"/>
        <s v="COSMIC REALTY PARTNERS LLC"/>
        <s v="LANG &amp; SCHWANDER LLC"/>
        <s v="FLEETWOOD FURNITURE"/>
        <s v="THE PARKER COMPANY"/>
        <s v="KD TRAVIS BLOCK HOLDCO, LLC"/>
        <s v="AHMADIAH CONTRACTING &amp; TRADING CO.-BRANCH KSA"/>
        <s v="MODERN HISTORY"/>
        <s v="HOTEL MOHI C/O ABSOLUTE PROCUREMENT"/>
        <s v="PLUS CORPORATION"/>
        <s v="SPECTRUM KITCHENS "/>
        <s v="ROCHDALE SPEARS CO LTD."/>
        <s v="TRIMA  KASI LIMITED"/>
        <s v="BROOKFIELD PROPERTIES"/>
        <s v="AYALA INTERNATIONAL"/>
        <s v="BENJAMIN WEST"/>
        <s v="WOODHAUS"/>
        <s v="HBA PROCUREMENT"/>
        <s v="BISCAYNE HOSPITALITY"/>
        <s v="BLACKWELL GROUP LLC"/>
        <s v="SOHO HOUSE"/>
        <s v="ACCOUTER GROUP"/>
        <s v="MJM"/>
        <s v="MIVAN"/>
        <s v="FAIRFIELD"/>
        <s v="MONDO CONTRACT"/>
        <m/>
      </sharedItems>
    </cacheField>
    <cacheField name="CUSTOMER SHORTEN NAME" numFmtId="0">
      <sharedItems containsBlank="1"/>
    </cacheField>
    <cacheField name="PROJECT NAME (SHORT)" numFmtId="0">
      <sharedItems containsBlank="1"/>
    </cacheField>
    <cacheField name="PROJECT NAME" numFmtId="0">
      <sharedItems containsBlank="1" count="133">
        <s v="2026-RH-GRAND HYATT BAHA MAR "/>
        <s v="2026-RH-GRAND HYATT BAHA MAR"/>
        <s v="2026-RH-GRAND HYATT BAHA MAR-PHASE 2"/>
        <s v="2025-RH-FOX HARBOR"/>
        <s v="2025-RH-RH CASSIA CONDO"/>
        <s v="2025-RH-MAIN STREET BOUTIQUE HOTEL"/>
        <s v="2025-RH-CHICAGO PENDRY"/>
        <s v="2026-RH-CIA O&amp;O GUESTROOMS"/>
        <s v="2026-RH-HA STUDIO PICO/WILKINS"/>
        <s v="2026-RH-HA STUDIO PICO/WILKINS-REODER"/>
        <s v="2026-RH-NAMA LISBON"/>
        <s v="2026-RH-NAMA LISBON-PUBLIC SPACE "/>
        <s v="2026-RH-RANCHO VALENCIA"/>
        <s v="2026-RH-RH CONTRACT (LARA CHAIR 25)"/>
        <s v="2025-RH-RH TRUMP SUITES NYC"/>
        <s v="2024-RH-TRUMP DORAL"/>
        <s v="2026-RH-RH TRUMP SUITES NYC"/>
        <s v="2026-RH-ROSEWOOD CALISTOGA"/>
        <s v="2025-RH-ROSEWOOD CALISTOGA"/>
        <s v="2026-RH-SNAKE RIVER LODGE BLUEFLAG"/>
        <s v="2025-RH-TRUMP LAS VEGAS PENTHOUSES"/>
        <s v="2026-RH-RITZ DOVE MOUNTAIN"/>
        <s v="2026-RH-MAYBOURNE_ONE WALL STREET NY"/>
        <s v="2024-RH-ST. REGIS KANAI"/>
        <s v="2026-COSMIC REALTY-250 FIFTH AVENUE HOTEL"/>
        <s v="2026-L&amp;S-ELYSEE HOTEL"/>
        <s v="2026-L&amp;S-FAENA TULLUM (FTMX)"/>
        <s v="2025-FLEETWOOD -FOUR SEASON JACKSONVILLE"/>
        <s v="2026-FLEETWOOD -HARD ROCK LAS VEGAS WEST TOWER"/>
        <s v="2025-FLEETWOOD -HWVP PHASE 2"/>
        <s v="2026-THE PARKER-JAMES NY NOMAD"/>
        <s v="2025-KD-KNOX DALLAS"/>
        <s v="2026-KD-KNOX DALLAS SUITE"/>
        <s v="2025-KD-KNOX DALLAS SUITE"/>
        <s v="2026-KD-KNOX DALLAS INSPECTION COVERS"/>
        <s v="Removed-AHMADIAH-MARRIOTT KHOBAR"/>
        <s v="2026-MH-MH HOTEL PROJECT"/>
        <s v="2025-MOHI-MOHI APPELLATION"/>
        <s v="2026-MOHI-MOHI APPELLATION"/>
        <s v="2025-L&amp;S-RITZ CARLTON COTTON BAY"/>
        <s v="2025-PLUS CORPORATION-SOHO HOUSE TOKYO"/>
        <s v="2026-SPECTRUM-1122 MADISON "/>
        <s v="2026-RSC-THẢO ĐIỀN OFFICE"/>
        <s v="2026-TRIMA-JRH"/>
        <s v="2026-BROOKFIELD-PARK HYATT VANCOUVER"/>
        <s v="2025-FLEETWOOD -W-HOTEL-LAS-VEGAS"/>
        <s v="2026-L&amp;S-HARD ROCK SAN JUAN"/>
        <s v="2026-SPECTRUM-OTMB VANITY"/>
        <s v="2026-AYALA-KHOBAR HILTON CANOPY HOTEL"/>
        <s v="2026-BENJAMIN-HACIENDA HOTEL LISBON PORTUGAL "/>
        <s v="2026-WOODHAUS-KNOX HENDERSON"/>
        <s v="2026-TRIMA-JOIA TIERRA DEL SOL"/>
        <s v="2026-RH-RED SEA"/>
        <s v="2026-RH-VICEROY SUGAR BEACH - ASH WOOD VERSION"/>
        <s v="TBC-L&amp;S-SILVERSANDS GRAND ANSE"/>
        <s v="2026-SPECTRUM-PROJECT 550"/>
        <s v="2026-FLEETWOOD -AUBERGE HOUSTON MR"/>
        <s v="2026-RH-AWH TOPNOTCH"/>
        <s v="2026-FLEETWOOD -SPANISH BAY CLUB "/>
        <s v="2026-FLEETWOOD -HWVP PHASE 2"/>
        <s v="2026-KD-KNOX DALLAS"/>
        <s v="2026-PLUS CORPORATION-SOHO HOUSE TOKYO"/>
        <s v="2026-RH-RH BRANDYWINE"/>
        <s v="2026-BROOKFIELD-RITZ CARLTON PHILADELPHIA"/>
        <s v="2026-RH-CUSTOM MIYU TABLES"/>
        <s v="2026-RH-GRAND HYATT DENVER"/>
        <s v="2026-RH-COMPETITIVE EDGE "/>
        <s v="2026-FLEETWOOD -WALDORF ASTORIA DEER VALLEY"/>
        <s v="2026-FLEETWOOD -PEBBLE BEACH CASA PALMERO"/>
        <s v="2026-RH-SUNRIVER RESORT "/>
        <s v="2026-TRIMA-ASIATICO RESTAURANT "/>
        <s v="2026-RH-MONTAUK YACHT CLUB"/>
        <s v="2026-HBA-HILTON PASADENA"/>
        <s v="2026-FLEETWOOD -FAIRMONT HOTEL WINNIPEG"/>
        <s v="2026-L&amp;S-THE STANDARD MIAMI HOTEL"/>
        <s v="2026-RH-KINDERED KEYSTONE RESORT"/>
        <s v="2026-HBA-MARRIOTT GUYANA PUBLIC AREAS "/>
        <s v="2026-RH-BELGROVE VILLAS"/>
        <s v="2026-BISCAYNE-PARK_AVENUE_HOTEL"/>
        <s v="TBC-BISCAYNE-PARK_AVENUE_HOTEL"/>
        <s v="2026-RH-CAUDWELL"/>
        <s v="2026-RH-FOUR SEASONS  DENVER"/>
        <s v="2026-RH-MUNISH"/>
        <s v="2026-RH-MAUNA LANI"/>
        <s v="2026-RH-GOLDEN PEAK"/>
        <s v="2026-RH-CUSTOM BEDS FOR EU"/>
        <s v="2026-BWG -MUSE POINT APARTMENT"/>
        <s v="2026-RH-DANCING BEAR "/>
        <s v="2026-RH-FOOTES REST"/>
        <s v="2026-RH-RITZ CABO VILLA"/>
        <s v="2026-FLEETWOOD -BDNY"/>
        <s v="2026-RH-AHS ONE CANAL CRESENT"/>
        <s v="2026-RH-1419 MONUMENT HOTEL"/>
        <s v="2026-SH-OAKLEY COURT MINI BAR BRIEF"/>
        <s v="2026-AG-8 EATON LANE"/>
        <s v="2026-AG-BOARDROOM FURNITURE"/>
        <s v="2026-AG-CHARTER STREET TABLES"/>
        <s v="2026-RH-DEER VALLEY  "/>
        <s v="2026-RH-ALTERRA_DEER VALLEY "/>
        <s v="2026-BISCAYNE-SLPS - SUGAR LAND, PUBLIC SPACE"/>
        <s v="2026-BISCAYNE-SLPSC"/>
        <s v="2026-FLEETWOOD -MGM BELLAGIO"/>
        <s v="2026-RH-FOUR SEASON DUBROVNIK"/>
        <s v="2026-BISCAYNE-AGV MODEL ROOM"/>
        <s v="2026-BISCAYNE-AGV MODEL ROOM-EXTRA"/>
        <s v="2026-BISCAYNE-AGSR - ARIZONA GRAND SUITES - MODEL ROOM"/>
        <s v="2026-BISCAYNE-AGSR - ARIZONA GRAND SUITES - EXTRA"/>
        <s v="2026-BISCAYNE-SPA"/>
        <s v="2026-BISCAYNE-OLY PA"/>
        <s v="2026-MJM-CABIN PROJECT"/>
        <s v="2026-RH-OPS-0069737 TRIBECA CONDOS - VANITIES"/>
        <s v="2026-MV-CLEVELAND CLINIC"/>
        <s v="2026-RH-MONTAGE PENDRY BARBADOS"/>
        <s v="2026-SPECTRUM-PROJECT 550 POCKET DOORS"/>
        <s v="2026-RH- FOUR SEASONS LAS VEGAS"/>
        <s v="2026-RH-LAKE OCONEE TENTS"/>
        <s v="2026-BISCAYNE-MCO"/>
        <s v="TBC-FAIRFIELD-WASHINGTON-DUKE"/>
        <s v="2026-FAIRFIELD-WASHINGTON-DUKE"/>
        <s v="2026-MONDO-LEXINGTON HOTEL"/>
        <m/>
        <s v="TBC-RH-LAKE OCONEE TENTS" u="1"/>
        <s v="TBC-MONDO-LEXINGTON HOTEL" u="1"/>
        <s v="" u="1"/>
        <s v="TBC-RH-OPS-0069737 TRIBECA CONDOS - VANITIES" u="1"/>
        <s v="2026-RH-SUNRIVER RESORT MR" u="1"/>
        <s v="2026-RH-MAUNA MANI" u="1"/>
        <s v="2026-MJM-MIVAN QM2" u="1"/>
        <s v="2026-RH-ALTERRA_DEER VALLEY  " u="1"/>
        <s v="2026-MJM-CLEVELAND CLINIC" u="1"/>
        <s v="2026-MJM-CABIN" u="1"/>
        <s v="2026-FLEETWOOD -W-HOTEL-LAS-VEGAS" u="1"/>
        <s v="TBC-BROOKFIELD-PARK HYATT VANCOUVER" u="1"/>
      </sharedItems>
    </cacheField>
    <cacheField name="COUNT" numFmtId="0">
      <sharedItems containsSemiMixedTypes="0" containsString="0" containsNumber="1" containsInteger="1" minValue="0" maxValue="1"/>
    </cacheField>
    <cacheField name="STATUS" numFmtId="0">
      <sharedItems containsBlank="1" count="12">
        <s v="SHIPPED"/>
        <s v="FC"/>
        <s v="REMOVED"/>
        <s v="OB"/>
        <s v="NOR"/>
        <s v="PIPELINE"/>
        <s v="DROPPED"/>
        <s v="CANCELLED"/>
        <s v="ON HOLD"/>
        <s v="REJECTED "/>
        <s v="REJECTED"/>
        <m/>
      </sharedItems>
    </cacheField>
    <cacheField name="POOL" numFmtId="0">
      <sharedItems containsBlank="1"/>
    </cacheField>
    <cacheField name="NPD/NPI_x000a_STAGE" numFmtId="0">
      <sharedItems containsBlank="1"/>
    </cacheField>
    <cacheField name="BOQ DATE" numFmtId="0">
      <sharedItems containsNonDate="0" containsDate="1" containsString="0" containsBlank="1" minDate="2024-10-10T00:00:00" maxDate="2026-10-08T00:00:00"/>
    </cacheField>
    <cacheField name="PO RECEIVED_x000a_DATE" numFmtId="0">
      <sharedItems containsDate="1" containsBlank="1" containsMixedTypes="1" minDate="2025-09-13T00:00:00" maxDate="2026-10-12T00:00:00"/>
    </cacheField>
    <cacheField name="DEPOSIT_x000a_RECEIVED DATE" numFmtId="0">
      <sharedItems containsDate="1" containsBlank="1" containsMixedTypes="1" minDate="2025-12-09T00:00:00" maxDate="2026-09-26T00:00:00"/>
    </cacheField>
    <cacheField name="MARKET" numFmtId="0">
      <sharedItems containsBlank="1" count="20">
        <s v="BS"/>
        <s v="CA"/>
        <s v="US"/>
        <s v="PT"/>
        <s v="MX"/>
        <s v="SA"/>
        <s v="JP"/>
        <s v="VN"/>
        <s v="JM"/>
        <s v="AR"/>
        <s v="LC"/>
        <s v="Grenada (Caribbean)"/>
        <s v="Japan"/>
        <s v="GY"/>
        <s v="UK"/>
        <m/>
        <s v="EU"/>
        <s v="AU"/>
        <s v="Mexico"/>
        <s v="Spain"/>
      </sharedItems>
    </cacheField>
    <cacheField name="MARKET STATE (US ONLY)" numFmtId="0">
      <sharedItems containsBlank="1"/>
    </cacheField>
    <cacheField name="BE SKU" numFmtId="0">
      <sharedItems containsBlank="1" containsMixedTypes="1" containsNumber="1" containsInteger="1" minValue="0" maxValue="64" count="18">
        <m/>
        <n v="0"/>
        <n v="1"/>
        <s v="TBC"/>
        <n v="2"/>
        <n v="29"/>
        <n v="20"/>
        <n v="64"/>
        <n v="7"/>
        <n v="23"/>
        <n v="5"/>
        <n v="17"/>
        <n v="25"/>
        <n v="9" u="1"/>
        <n v="21" u="1"/>
        <n v="35" u="1"/>
        <n v="42" u="1"/>
        <n v="27" u="1"/>
      </sharedItems>
    </cacheField>
    <cacheField name="BE QTY" numFmtId="0">
      <sharedItems containsBlank="1" containsMixedTypes="1" containsNumber="1" containsInteger="1" minValue="0" maxValue="137" count="21">
        <m/>
        <n v="0"/>
        <n v="1"/>
        <s v="TBC"/>
        <n v="4"/>
        <n v="48"/>
        <n v="34"/>
        <n v="137"/>
        <n v="17"/>
        <n v="19"/>
        <n v="27"/>
        <n v="13"/>
        <n v="2"/>
        <n v="8"/>
        <n v="9"/>
        <n v="41"/>
        <n v="57"/>
        <n v="23"/>
        <n v="98" u="1"/>
        <n v="72" u="1"/>
        <n v="54" u="1"/>
      </sharedItems>
    </cacheField>
    <cacheField name="CG QTY" numFmtId="0">
      <sharedItems containsString="0" containsBlank="1" containsNumber="1" containsInteger="1" minValue="1" maxValue="74"/>
    </cacheField>
    <cacheField name="UPH QTY" numFmtId="0">
      <sharedItems containsString="0" containsBlank="1" containsNumber="1" containsInteger="1" minValue="19" maxValue="19"/>
    </cacheField>
    <cacheField name="PROJECT SKU" numFmtId="1">
      <sharedItems containsString="0" containsBlank="1" containsNumber="1" containsInteger="1" minValue="1" maxValue="117" count="39">
        <n v="26"/>
        <n v="27"/>
        <n v="50"/>
        <n v="9"/>
        <n v="2"/>
        <n v="12"/>
        <n v="1"/>
        <n v="11"/>
        <n v="24"/>
        <n v="6"/>
        <n v="38"/>
        <n v="36"/>
        <n v="14"/>
        <n v="18"/>
        <n v="17"/>
        <n v="22"/>
        <n v="16"/>
        <n v="25"/>
        <n v="94"/>
        <n v="7"/>
        <n v="30"/>
        <n v="3"/>
        <n v="35"/>
        <n v="28"/>
        <n v="13"/>
        <n v="117"/>
        <n v="48"/>
        <n v="20"/>
        <n v="4"/>
        <n v="8"/>
        <n v="5"/>
        <n v="21"/>
        <n v="23"/>
        <m/>
        <n v="55"/>
        <n v="15"/>
        <n v="32"/>
        <n v="51" u="1"/>
        <n v="37" u="1"/>
      </sharedItems>
    </cacheField>
    <cacheField name="PROJECT QTY" numFmtId="1">
      <sharedItems containsString="0" containsBlank="1" containsNumber="1" containsInteger="1" minValue="1" maxValue="925" count="44">
        <m/>
        <n v="20"/>
        <n v="191"/>
        <n v="271"/>
        <n v="1"/>
        <n v="756"/>
        <n v="925"/>
        <n v="268"/>
        <n v="4"/>
        <n v="9"/>
        <n v="23"/>
        <n v="17"/>
        <n v="74"/>
        <n v="2"/>
        <n v="25"/>
        <n v="47"/>
        <n v="22"/>
        <n v="3"/>
        <n v="10"/>
        <n v="8"/>
        <n v="19"/>
        <n v="494"/>
        <n v="31"/>
        <n v="6"/>
        <n v="7"/>
        <n v="333"/>
        <n v="45"/>
        <n v="162"/>
        <n v="98"/>
        <n v="33"/>
        <n v="15"/>
        <n v="26"/>
        <n v="11"/>
        <n v="720"/>
        <n v="34"/>
        <n v="86"/>
        <n v="12"/>
        <n v="170"/>
        <n v="551"/>
        <n v="32"/>
        <n v="920"/>
        <n v="328"/>
        <n v="264" u="1"/>
        <n v="179" u="1"/>
      </sharedItems>
    </cacheField>
    <cacheField name="PROJECT VALUE $" numFmtId="167">
      <sharedItems containsBlank="1" containsMixedTypes="1" containsNumber="1" minValue="0" maxValue="5665882.9800000004"/>
    </cacheField>
    <cacheField name="PROJECT BREAK VALUE" numFmtId="167">
      <sharedItems containsBlank="1" containsMixedTypes="1" containsNumber="1" minValue="0" maxValue="1155469"/>
    </cacheField>
    <cacheField name="SHIP MONTH FC" numFmtId="0">
      <sharedItems containsBlank="1" containsMixedTypes="1" containsNumber="1" containsInteger="1" minValue="1466" maxValue="1466" count="29">
        <s v="2026/M05"/>
        <s v="2026/M06"/>
        <s v="2026/M07"/>
        <s v="2026/M08"/>
        <s v="2027/M06"/>
        <s v="2027/M07"/>
        <s v="2027/M08"/>
        <s v="2026/M04"/>
        <s v="2026/M09"/>
        <s v="2026/M10"/>
        <s v="2026/M11"/>
        <s v="2027/M01"/>
        <s v="TBC"/>
        <s v="2026/M03"/>
        <s v="2027/M05"/>
        <s v="2026/M12"/>
        <s v="2027/M04"/>
        <s v="2027/M10"/>
        <s v="2027/M02"/>
        <s v="2027/M03"/>
        <s v="Removed"/>
        <s v="2027/M11"/>
        <s v="2027/M12"/>
        <s v="2027/M09"/>
        <s v="2026/M01"/>
        <s v="2026/M02"/>
        <m/>
        <s v="2028/M03"/>
        <n v="1466" u="1"/>
      </sharedItems>
    </cacheField>
    <cacheField name="SHIP YEAR" numFmtId="0">
      <sharedItems count="7">
        <s v="2026"/>
        <s v="2027"/>
        <s v="TBC"/>
        <s v="Removed"/>
        <s v=""/>
        <s v="2028"/>
        <s v="1466" u="1"/>
      </sharedItems>
    </cacheField>
    <cacheField name=" REQUESTED FIRST SD" numFmtId="0">
      <sharedItems containsDate="1" containsBlank="1" containsMixedTypes="1" minDate="2025-08-22T00:00:00" maxDate="2027-01-16T00:00:00"/>
    </cacheField>
    <cacheField name=" REQUESTED LAST SD" numFmtId="0">
      <sharedItems containsDate="1" containsBlank="1" containsMixedTypes="1" minDate="2026-03-06T00:00:00" maxDate="2027-01-16T00:00:00"/>
    </cacheField>
    <cacheField name="CONFIRMED FIRST SD" numFmtId="0">
      <sharedItems containsDate="1" containsBlank="1" containsMixedTypes="1" minDate="2025-01-17T00:00:00" maxDate="2027-09-04T00:00:00"/>
    </cacheField>
    <cacheField name="CONFIRMED LAST SD" numFmtId="0">
      <sharedItems containsDate="1" containsBlank="1" containsMixedTypes="1" minDate="2025-01-17T00:00:00" maxDate="2027-09-04T00:00:00"/>
    </cacheField>
    <cacheField name="CONFIRMED FIRST SW" numFmtId="0">
      <sharedItems count="46">
        <s v="2026/W22"/>
        <s v="2027/W24"/>
        <s v="2026/W14"/>
        <s v="2026/W30"/>
        <s v="2026/W27"/>
        <s v="2026/W47"/>
        <s v="2026/W37"/>
        <s v="2026/W44"/>
        <s v="2027/W04"/>
        <s v="TBC"/>
        <s v="2027/W19"/>
        <s v="2026/W45"/>
        <s v="2026/W32"/>
        <s v="2027/W02"/>
        <s v="2026/W15"/>
        <s v="2026/W31"/>
        <s v="2026/W39"/>
        <s v="2026/W29"/>
        <s v="2026/W42"/>
        <s v="2026/W35"/>
        <s v="2026/W46"/>
        <s v="2025/W03"/>
        <s v=""/>
        <s v="ON HOLD"/>
        <s v="2026/W50"/>
        <s v="2026/W11"/>
        <s v="2026/W41"/>
        <s v="2027/W13"/>
        <s v="2027/W10"/>
        <s v="2026/W33"/>
        <s v="2026/W36"/>
        <s v="2027/W03"/>
        <s v="2026/W02"/>
        <s v="2026/W38"/>
        <s v="2026/W43"/>
        <s v="2026/W40"/>
        <s v="2026/W49"/>
        <s v="2027/W15"/>
        <s v="2027/W01"/>
        <s v="2027/W05"/>
        <s v="2027/W09"/>
        <s v="2026/W48"/>
        <s v="2027/W36"/>
        <s v="2026/W34" u="1"/>
        <s v="2026/W52" u="1"/>
        <s v="2026/W19" u="1"/>
      </sharedItems>
    </cacheField>
    <cacheField name="CONFIRMED LAST SW" numFmtId="0">
      <sharedItems count="50">
        <s v="2026/W34"/>
        <s v="2027/W35"/>
        <s v="2026/W14"/>
        <s v="2026/W36"/>
        <s v="2026/W28"/>
        <s v="2026/W47"/>
        <s v="2026/W37"/>
        <s v="2026/W44"/>
        <s v="2027/W04"/>
        <s v="TBC"/>
        <s v="2027/W26"/>
        <s v="2026/W50"/>
        <s v="2026/W35"/>
        <s v="2027/W05"/>
        <s v="2026/W17"/>
        <s v="2026/W32"/>
        <s v="2026/W38"/>
        <s v="2026/W52"/>
        <s v="2026/W41"/>
        <s v="2026/W40"/>
        <s v="2026/W49"/>
        <s v="2025/W03"/>
        <s v="2026/W39"/>
        <s v=""/>
        <s v="ON HOLD"/>
        <s v="2026/W13"/>
        <s v="2026/W48"/>
        <s v="2026/W29"/>
        <s v="2026/W27"/>
        <s v="2027/W14"/>
        <s v="2027/W13"/>
        <s v="2026/W33"/>
        <s v="2026/W42"/>
        <s v="2026/W30"/>
        <s v="2027/W03"/>
        <s v="2026/W02"/>
        <s v="2026/W31"/>
        <s v="2027/W02"/>
        <s v="2026/W43"/>
        <s v="2026/W46"/>
        <s v="2027/W16"/>
        <s v="2027/W10"/>
        <s v="2027/W09"/>
        <s v="2027/W12"/>
        <s v="2027/W36"/>
        <s v="2027/W11" u="1"/>
        <s v="2026/W45" u="1"/>
        <s v="2026/W51" u="1"/>
        <s v="2027/W01" u="1"/>
        <s v="2026/W26" u="1"/>
      </sharedItems>
    </cacheField>
    <cacheField name="DRAWING_x000a_STATUS" numFmtId="0">
      <sharedItems containsBlank="1"/>
    </cacheField>
    <cacheField name="DRAWING_x000a_PLAN/DUE DATE" numFmtId="0">
      <sharedItems containsNonDate="0" containsDate="1" containsString="0" containsBlank="1" minDate="2026-09-26T00:00:00" maxDate="2027-10-23T00:00:00"/>
    </cacheField>
    <cacheField name="DRAWING_x000a_APPROVED DATE" numFmtId="0">
      <sharedItems containsDate="1" containsBlank="1" containsMixedTypes="1" minDate="2025-06-05T00:00:00" maxDate="2026-09-12T00:00:00"/>
    </cacheField>
    <cacheField name="VENEER/WOOD_x000a_STATUS" numFmtId="0">
      <sharedItems containsBlank="1"/>
    </cacheField>
    <cacheField name="VENEER/WOOD_x000a_PLAN/DUE DATE" numFmtId="0">
      <sharedItems containsNonDate="0" containsDate="1" containsString="0" containsBlank="1" minDate="2026-09-11T00:00:00" maxDate="2026-10-31T00:00:00"/>
    </cacheField>
    <cacheField name="VENEER/WOOD_x000a_APPROVED DATE" numFmtId="0">
      <sharedItems containsDate="1" containsBlank="1" containsMixedTypes="1" minDate="2025-06-05T00:00:00" maxDate="2026-09-12T00:00:00"/>
    </cacheField>
    <cacheField name="MARBLE_x000a_STATUS" numFmtId="0">
      <sharedItems containsBlank="1"/>
    </cacheField>
    <cacheField name="MARBLE_x000a_PLAN/DUE DATE" numFmtId="0">
      <sharedItems containsNonDate="0" containsDate="1" containsString="0" containsBlank="1" minDate="2026-09-26T00:00:00" maxDate="2026-10-31T00:00:00"/>
    </cacheField>
    <cacheField name="MARBLE_x000a_APPROVED DATE" numFmtId="0">
      <sharedItems containsDate="1" containsBlank="1" containsMixedTypes="1" minDate="2025-11-25T00:00:00" maxDate="2026-09-12T00:00:00"/>
    </cacheField>
    <cacheField name="METAL_x000a_STATUS" numFmtId="0">
      <sharedItems containsBlank="1" containsMixedTypes="1" containsNumber="1" containsInteger="1" minValue="46037" maxValue="46037"/>
    </cacheField>
    <cacheField name="METAL_x000a_PLAN/DUE DATE" numFmtId="0">
      <sharedItems containsNonDate="0" containsDate="1" containsString="0" containsBlank="1" minDate="2026-09-11T00:00:00" maxDate="2026-10-31T00:00:00"/>
    </cacheField>
    <cacheField name="METAL_x000a_APPROVED DATE" numFmtId="0">
      <sharedItems containsDate="1" containsBlank="1" containsMixedTypes="1" minDate="2025-11-25T00:00:00" maxDate="2026-09-19T00:00:00"/>
    </cacheField>
    <cacheField name="MIRROR_x000a_STATUS" numFmtId="0">
      <sharedItems containsBlank="1" containsMixedTypes="1" containsNumber="1" containsInteger="1" minValue="46037" maxValue="46037"/>
    </cacheField>
    <cacheField name="MIRROR_x000a_PLAN/DUE DATE" numFmtId="0">
      <sharedItems containsNonDate="0" containsDate="1" containsString="0" containsBlank="1" minDate="2026-10-02T00:00:00" maxDate="2026-10-03T00:00:00"/>
    </cacheField>
    <cacheField name="MIRROR_x000a_APPROVED DATE" numFmtId="0">
      <sharedItems containsNonDate="0" containsDate="1" containsString="0" containsBlank="1" minDate="2026-03-13T00:00:00" maxDate="2026-08-27T00:00:00"/>
    </cacheField>
    <cacheField name="ELECTRICAL_x000a_STATUS" numFmtId="0">
      <sharedItems containsBlank="1"/>
    </cacheField>
    <cacheField name="ELECTRICAL_x000a_PLAN/DUE DATE" numFmtId="0">
      <sharedItems containsNonDate="0" containsDate="1" containsString="0" containsBlank="1" minDate="2026-10-02T00:00:00" maxDate="2026-10-03T00:00:00"/>
    </cacheField>
    <cacheField name="ELECTRICAL_x000a_APPROVED DATE" numFmtId="0">
      <sharedItems containsNonDate="0" containsDate="1" containsString="0" containsBlank="1" minDate="2026-08-27T00:00:00" maxDate="2026-09-08T00:00:00"/>
    </cacheField>
    <cacheField name="FABRIC_x000a_STATUS" numFmtId="0">
      <sharedItems containsBlank="1"/>
    </cacheField>
    <cacheField name="FABRIC_x000a_PLAN/DUE DATE" numFmtId="0">
      <sharedItems containsNonDate="0" containsDate="1" containsString="0" containsBlank="1" minDate="2026-09-04T00:00:00" maxDate="2026-10-03T00:00:00"/>
    </cacheField>
    <cacheField name="FABRIC_x000a_DUE DATE" numFmtId="0">
      <sharedItems containsDate="1" containsBlank="1" containsMixedTypes="1" minDate="2026-03-09T00:00:00" maxDate="2026-08-26T00:00:00"/>
    </cacheField>
    <cacheField name="LIFECYCLE" numFmtId="0">
      <sharedItems/>
    </cacheField>
    <cacheField name="CPSC + TSCA" numFmtId="0">
      <sharedItems containsBlank="1"/>
    </cacheField>
    <cacheField name="DEVELOPMENT STATUS" numFmtId="0">
      <sharedItems/>
    </cacheField>
    <cacheField name="Remarks"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x v="0"/>
    <x v="0"/>
    <s v="TRINH"/>
    <s v="Sue Bilstad"/>
    <s v="RESTORATION HARDWARE_HS"/>
    <s v="RH"/>
    <s v="GRAND HYATT BAHA MAR "/>
    <x v="0"/>
    <n v="1"/>
    <x v="0"/>
    <s v="NEW"/>
    <s v="8. Shipment"/>
    <d v="2026-01-11T00:00:00"/>
    <d v="2026-03-17T00:00:00"/>
    <m/>
    <s v=""/>
    <s v="BS"/>
    <s v="Bahamas"/>
    <m/>
    <m/>
    <m/>
    <m/>
    <x v="0"/>
    <m/>
    <n v="2454228"/>
    <n v="153379"/>
    <x v="0"/>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
    <x v="1"/>
    <n v="1"/>
    <x v="0"/>
    <s v="NEW"/>
    <s v="8. Shipment"/>
    <d v="2026-01-11T00:00:00"/>
    <d v="2026-03-17T00:00:00"/>
    <m/>
    <s v=""/>
    <s v="BS"/>
    <s v="Bahamas"/>
    <m/>
    <m/>
    <m/>
    <m/>
    <x v="0"/>
    <m/>
    <n v="2454228"/>
    <n v="1004676"/>
    <x v="1"/>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
    <x v="1"/>
    <n v="0"/>
    <x v="0"/>
    <s v="NEW"/>
    <s v="8. Shipment"/>
    <d v="2026-01-11T00:00:00"/>
    <d v="2026-03-17T00:00:00"/>
    <m/>
    <s v=""/>
    <s v="BS"/>
    <s v="Bahamas"/>
    <m/>
    <m/>
    <m/>
    <m/>
    <x v="0"/>
    <m/>
    <n v="2454228"/>
    <n v="969712.83000000007"/>
    <x v="2"/>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
    <x v="1"/>
    <n v="0"/>
    <x v="0"/>
    <s v="NEW"/>
    <s v="8. Shipment"/>
    <d v="2026-01-11T00:00:00"/>
    <d v="2026-03-17T00:00:00"/>
    <m/>
    <s v=""/>
    <s v="BS"/>
    <s v="Bahamas"/>
    <m/>
    <m/>
    <m/>
    <m/>
    <x v="0"/>
    <m/>
    <n v="2454228"/>
    <n v="308393"/>
    <x v="3"/>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
    <x v="1"/>
    <n v="0"/>
    <x v="0"/>
    <s v="NEW"/>
    <s v="8. Shipment"/>
    <d v="2026-01-11T00:00:00"/>
    <d v="2026-03-17T00:00:00"/>
    <m/>
    <s v=""/>
    <s v="BS"/>
    <s v="Bahamas"/>
    <n v="0"/>
    <n v="0"/>
    <m/>
    <m/>
    <x v="0"/>
    <m/>
    <n v="2454228"/>
    <n v="18067"/>
    <x v="3"/>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PHASE 2"/>
    <x v="2"/>
    <n v="1"/>
    <x v="1"/>
    <s v="NEW"/>
    <s v="1. Preliminary Design"/>
    <m/>
    <m/>
    <m/>
    <s v=""/>
    <s v="BS"/>
    <s v="Bahamas"/>
    <n v="0"/>
    <n v="0"/>
    <m/>
    <m/>
    <x v="1"/>
    <m/>
    <n v="2926353.7800000003"/>
    <n v="1000000"/>
    <x v="4"/>
    <x v="1"/>
    <m/>
    <m/>
    <s v="TBC"/>
    <s v="TBC"/>
    <s v="TBC"/>
    <s v="TBC"/>
    <s v="Not Started"/>
    <m/>
    <m/>
    <s v="Not Started"/>
    <m/>
    <m/>
    <s v="Not Started"/>
    <m/>
    <m/>
    <s v="Not Started"/>
    <m/>
    <m/>
    <s v="N/A"/>
    <m/>
    <m/>
    <s v="Not Started"/>
    <m/>
    <m/>
    <s v="Not Started"/>
    <m/>
    <m/>
    <s v="Active"/>
    <s v="Yes"/>
    <s v="NPI: Not started: Drawing, Veneer/Wood, Marble, Metal, Electrical, Fabric for SW TBC"/>
    <m/>
  </r>
  <r>
    <x v="0"/>
    <x v="0"/>
    <s v="TRINH"/>
    <s v="Sue Bilstad"/>
    <s v="RESTORATION HARDWARE_HS"/>
    <s v="RH"/>
    <s v="GRAND HYATT BAHA MAR-PHASE 2"/>
    <x v="2"/>
    <n v="0"/>
    <x v="1"/>
    <s v="NEW"/>
    <s v="1. Preliminary Design"/>
    <m/>
    <m/>
    <m/>
    <s v=""/>
    <s v="BS"/>
    <s v="Bahamas"/>
    <n v="0"/>
    <n v="0"/>
    <m/>
    <m/>
    <x v="1"/>
    <m/>
    <n v="2926353.7800000003"/>
    <n v="1000000"/>
    <x v="5"/>
    <x v="1"/>
    <m/>
    <m/>
    <s v="TBC"/>
    <s v="TBC"/>
    <s v="TBC"/>
    <s v="TBC"/>
    <s v="Not Started"/>
    <m/>
    <m/>
    <s v="Not Started"/>
    <m/>
    <m/>
    <s v="Not Started"/>
    <m/>
    <m/>
    <s v="Not Started"/>
    <m/>
    <m/>
    <s v="N/A"/>
    <m/>
    <m/>
    <s v="Not Started"/>
    <m/>
    <m/>
    <s v="Not Started"/>
    <m/>
    <m/>
    <s v="Active"/>
    <s v="Yes"/>
    <s v="NPI: Not started: Drawing, Veneer/Wood, Marble, Metal, Electrical, Fabric for SW TBC"/>
    <m/>
  </r>
  <r>
    <x v="0"/>
    <x v="0"/>
    <s v="TRINH"/>
    <s v="Sue Bilstad"/>
    <s v="RESTORATION HARDWARE_HS"/>
    <s v="RH"/>
    <s v="GRAND HYATT BAHA MAR-PHASE 2"/>
    <x v="2"/>
    <n v="0"/>
    <x v="1"/>
    <s v="NEW"/>
    <s v="1. Preliminary Design"/>
    <m/>
    <m/>
    <m/>
    <s v=""/>
    <s v="BS"/>
    <s v="Bahamas"/>
    <n v="0"/>
    <n v="0"/>
    <m/>
    <m/>
    <x v="1"/>
    <m/>
    <n v="2926353.7800000003"/>
    <n v="926353.78000000026"/>
    <x v="6"/>
    <x v="1"/>
    <m/>
    <m/>
    <s v="TBC"/>
    <s v="TBC"/>
    <s v="TBC"/>
    <s v="TBC"/>
    <s v="Not Started"/>
    <m/>
    <m/>
    <s v="Not Started"/>
    <m/>
    <m/>
    <s v="Not Started"/>
    <m/>
    <m/>
    <s v="Not Started"/>
    <m/>
    <m/>
    <s v="N/A"/>
    <m/>
    <m/>
    <s v="Not Started"/>
    <m/>
    <m/>
    <s v="Not Started"/>
    <m/>
    <m/>
    <s v="Active"/>
    <s v="Yes"/>
    <s v="NPI: Not started: Drawing, Veneer/Wood, Marble, Metal, Electrical, Fabric for SW TBC"/>
    <m/>
  </r>
  <r>
    <x v="0"/>
    <x v="0"/>
    <s v="TUYET"/>
    <s v="Sue Bilstad"/>
    <s v="RESTORATION HARDWARE_HS"/>
    <s v="RH"/>
    <s v="FOX HARBOR"/>
    <x v="3"/>
    <n v="1"/>
    <x v="0"/>
    <s v="REO"/>
    <s v="8. Shipment"/>
    <d v="2025-09-17T00:00:00"/>
    <s v="-"/>
    <m/>
    <s v=""/>
    <s v="CA"/>
    <s v="Canada"/>
    <m/>
    <m/>
    <m/>
    <m/>
    <x v="0"/>
    <m/>
    <n v="30383.55"/>
    <n v="30383.55"/>
    <x v="7"/>
    <x v="0"/>
    <s v="-"/>
    <m/>
    <d v="2026-04-04T00:00:00"/>
    <d v="2026-04-04T00:00:00"/>
    <s v="2026/W14"/>
    <s v="2026/W14"/>
    <s v="Approved"/>
    <m/>
    <m/>
    <s v="Approved"/>
    <m/>
    <m/>
    <s v="N/A"/>
    <m/>
    <m/>
    <s v="Approved"/>
    <m/>
    <m/>
    <s v="N/A"/>
    <m/>
    <m/>
    <s v="N/A"/>
    <m/>
    <m/>
    <s v="COM"/>
    <m/>
    <m/>
    <s v="Complete"/>
    <s v="Yes"/>
    <s v="READY"/>
    <m/>
  </r>
  <r>
    <x v="0"/>
    <x v="0"/>
    <s v="TRINH"/>
    <s v="Sue Bilstad"/>
    <s v="RESTORATION HARDWARE_HS"/>
    <s v="RH"/>
    <s v="RH CASSIA CONDO"/>
    <x v="4"/>
    <n v="1"/>
    <x v="0"/>
    <s v="NEW"/>
    <s v="8. Shipment"/>
    <d v="2025-12-29T00:00:00"/>
    <d v="2026-03-20T00:00:00"/>
    <m/>
    <s v=""/>
    <s v="US"/>
    <s v="FL"/>
    <m/>
    <m/>
    <m/>
    <m/>
    <x v="2"/>
    <m/>
    <n v="1161167"/>
    <n v="269518"/>
    <x v="2"/>
    <x v="0"/>
    <d v="2026-07-31T00:00:00"/>
    <d v="2026-08-07T00:00:00"/>
    <d v="2026-07-20T00:00:00"/>
    <d v="2026-09-04T00:00:00"/>
    <s v="2026/W30"/>
    <s v="2026/W36"/>
    <s v="Approved"/>
    <m/>
    <m/>
    <s v="Approved"/>
    <m/>
    <m/>
    <s v="N/A"/>
    <m/>
    <m/>
    <s v="Approved"/>
    <m/>
    <m/>
    <s v="N/A"/>
    <m/>
    <m/>
    <s v="N/A"/>
    <m/>
    <m/>
    <s v="COM"/>
    <m/>
    <s v="13/6/2026"/>
    <s v="Complete"/>
    <s v="Yes"/>
    <s v="READY"/>
    <m/>
  </r>
  <r>
    <x v="0"/>
    <x v="0"/>
    <s v="TRINH"/>
    <s v="Sue Bilstad"/>
    <s v="RESTORATION HARDWARE_HS"/>
    <s v="RH"/>
    <s v="RH CASSIA CONDO"/>
    <x v="4"/>
    <n v="0"/>
    <x v="0"/>
    <s v="NEW"/>
    <s v="8. Shipment"/>
    <d v="2025-12-29T00:00:00"/>
    <d v="2026-03-20T00:00:00"/>
    <m/>
    <s v=""/>
    <s v="US"/>
    <s v="FL"/>
    <m/>
    <m/>
    <m/>
    <m/>
    <x v="2"/>
    <m/>
    <n v="1161167"/>
    <n v="760037"/>
    <x v="3"/>
    <x v="0"/>
    <d v="2026-07-31T00:00:00"/>
    <d v="2026-08-07T00:00:00"/>
    <d v="2026-07-20T00:00:00"/>
    <d v="2026-09-04T00:00:00"/>
    <s v="2026/W30"/>
    <s v="2026/W36"/>
    <s v="Approved"/>
    <m/>
    <m/>
    <s v="Approved"/>
    <m/>
    <m/>
    <s v="N/A"/>
    <m/>
    <m/>
    <s v="Approved"/>
    <m/>
    <m/>
    <s v="N/A"/>
    <m/>
    <m/>
    <s v="N/A"/>
    <m/>
    <m/>
    <s v="COM Received"/>
    <m/>
    <s v="13/6/2026"/>
    <s v="Complete"/>
    <s v="Yes"/>
    <s v="READY"/>
    <m/>
  </r>
  <r>
    <x v="0"/>
    <x v="0"/>
    <s v="TRINH"/>
    <s v="Sue Bilstad"/>
    <s v="RESTORATION HARDWARE_HS"/>
    <s v="RH"/>
    <s v="RH CASSIA CONDO"/>
    <x v="4"/>
    <n v="0"/>
    <x v="0"/>
    <s v="NEW"/>
    <s v="8. Shipment"/>
    <d v="2025-12-29T00:00:00"/>
    <d v="2026-03-20T00:00:00"/>
    <m/>
    <s v=""/>
    <s v="US"/>
    <s v="FL"/>
    <n v="0"/>
    <n v="0"/>
    <m/>
    <m/>
    <x v="2"/>
    <m/>
    <n v="1161167"/>
    <n v="131612"/>
    <x v="8"/>
    <x v="0"/>
    <d v="2026-07-31T00:00:00"/>
    <d v="2026-08-07T00:00:00"/>
    <d v="2026-07-20T00:00:00"/>
    <d v="2026-09-04T00:00:00"/>
    <s v="2026/W30"/>
    <s v="2026/W36"/>
    <s v="Approved"/>
    <m/>
    <m/>
    <s v="Approved"/>
    <m/>
    <m/>
    <s v="N/A"/>
    <m/>
    <m/>
    <s v="Approved"/>
    <m/>
    <m/>
    <s v="N/A"/>
    <m/>
    <m/>
    <s v="N/A"/>
    <m/>
    <m/>
    <s v="COM Received"/>
    <m/>
    <s v="13/6/2026"/>
    <s v="Complete"/>
    <s v="Yes"/>
    <s v="READY"/>
    <m/>
  </r>
  <r>
    <x v="0"/>
    <x v="0"/>
    <s v="DUNG"/>
    <s v="Sue Bilstad"/>
    <s v="RESTORATION HARDWARE_HS"/>
    <s v="RH"/>
    <s v="MAIN STREET BOUTIQUE HOTEL"/>
    <x v="5"/>
    <n v="1"/>
    <x v="0"/>
    <s v="NEW"/>
    <s v="8. Shipment"/>
    <d v="2025-10-23T00:00:00"/>
    <d v="2025-11-03T00:00:00"/>
    <m/>
    <s v=""/>
    <s v="US"/>
    <s v="CA"/>
    <m/>
    <m/>
    <m/>
    <m/>
    <x v="3"/>
    <m/>
    <n v="54061.599999999999"/>
    <n v="54061.599999999999"/>
    <x v="7"/>
    <x v="0"/>
    <s v="-"/>
    <m/>
    <d v="2026-04-04T00:00:00"/>
    <d v="2026-04-04T00:00:00"/>
    <s v="2026/W14"/>
    <s v="2026/W14"/>
    <s v="Approved"/>
    <m/>
    <m/>
    <s v="Approved"/>
    <m/>
    <m/>
    <s v="N/A"/>
    <m/>
    <m/>
    <s v="Approved"/>
    <m/>
    <m/>
    <s v="Approved"/>
    <m/>
    <m/>
    <s v="Approved"/>
    <m/>
    <m/>
    <s v="COM"/>
    <m/>
    <m/>
    <s v="Complete"/>
    <s v="Yes"/>
    <s v="READY"/>
    <m/>
  </r>
  <r>
    <x v="0"/>
    <x v="0"/>
    <s v="DUNG"/>
    <m/>
    <s v="RESTORATION HARDWARE_HS"/>
    <s v="RH"/>
    <s v="CHICAGO PENDRY"/>
    <x v="6"/>
    <n v="1"/>
    <x v="2"/>
    <s v="NEW"/>
    <s v="4. Prototype Build"/>
    <d v="2025-06-20T00:00:00"/>
    <m/>
    <m/>
    <s v=""/>
    <s v="US"/>
    <s v="IL"/>
    <m/>
    <m/>
    <m/>
    <m/>
    <x v="4"/>
    <m/>
    <n v="135705"/>
    <n v="135705"/>
    <x v="9"/>
    <x v="0"/>
    <s v="-"/>
    <m/>
    <d v="2026-04-04T00:00:00"/>
    <d v="2026-04-04T00:00:00"/>
    <s v="2026/W14"/>
    <s v="2026/W14"/>
    <s v="In Progress"/>
    <m/>
    <m/>
    <m/>
    <m/>
    <m/>
    <m/>
    <m/>
    <m/>
    <m/>
    <m/>
    <m/>
    <m/>
    <m/>
    <m/>
    <m/>
    <m/>
    <m/>
    <m/>
    <m/>
    <m/>
    <s v="Complete"/>
    <s v="Yes"/>
    <s v="NPI: In progress: Drawing for SW14"/>
    <m/>
  </r>
  <r>
    <x v="0"/>
    <x v="0"/>
    <s v="DUNG"/>
    <s v="Sue Bilstad"/>
    <s v="RESTORATION HARDWARE_HS"/>
    <s v="RH"/>
    <s v="CIA O&amp;O GUESTROOMS"/>
    <x v="7"/>
    <n v="1"/>
    <x v="1"/>
    <s v="NEW"/>
    <s v="4. Prototype Build"/>
    <m/>
    <m/>
    <m/>
    <s v=""/>
    <s v="US"/>
    <s v="CA"/>
    <n v="0"/>
    <n v="0"/>
    <m/>
    <m/>
    <x v="5"/>
    <m/>
    <n v="143556.08999999997"/>
    <n v="143556.08999999997"/>
    <x v="5"/>
    <x v="1"/>
    <s v="-"/>
    <m/>
    <d v="2026-07-03T00:00:00"/>
    <d v="2026-07-10T00:00:00"/>
    <s v="2026/W27"/>
    <s v="2026/W28"/>
    <s v="Approved"/>
    <m/>
    <m/>
    <s v="Approved"/>
    <m/>
    <m/>
    <s v="Approved"/>
    <m/>
    <m/>
    <s v="Approved"/>
    <m/>
    <m/>
    <s v="Approved"/>
    <m/>
    <m/>
    <s v="N/A"/>
    <m/>
    <m/>
    <s v="COM"/>
    <m/>
    <m/>
    <s v="Active"/>
    <s v="Yes"/>
    <s v="NPI: Fabric is com for SW28"/>
    <s v="Prototype shipped. Awaiting for PO for mass production"/>
  </r>
  <r>
    <x v="0"/>
    <x v="0"/>
    <s v="TU ANH"/>
    <s v="Sue Bilstad"/>
    <s v="RESTORATION HARDWARE_HS"/>
    <s v="RH"/>
    <s v="HA STUDIO PICO/WILKINS"/>
    <x v="8"/>
    <n v="1"/>
    <x v="0"/>
    <s v="NEW"/>
    <s v="8. Shipment"/>
    <d v="2026-01-05T00:00:00"/>
    <d v="2026-01-26T00:00:00"/>
    <m/>
    <s v=""/>
    <s v="US"/>
    <s v="CA"/>
    <m/>
    <m/>
    <m/>
    <m/>
    <x v="6"/>
    <m/>
    <n v="12309"/>
    <n v="12309"/>
    <x v="1"/>
    <x v="0"/>
    <d v="2026-05-29T00:00:00"/>
    <d v="2026-06-16T00:00:00"/>
    <d v="2026-04-04T00:00:00"/>
    <d v="2026-04-04T00:00:00"/>
    <s v="2026/W14"/>
    <s v="2026/W14"/>
    <s v="Approved"/>
    <m/>
    <d v="2026-02-05T00:00:00"/>
    <s v="Approved"/>
    <m/>
    <d v="2026-02-05T00:00:00"/>
    <s v="N/A"/>
    <m/>
    <m/>
    <s v="Approved"/>
    <m/>
    <d v="2026-02-05T00:00:00"/>
    <s v="N/A"/>
    <m/>
    <m/>
    <s v="N/A"/>
    <m/>
    <m/>
    <s v="N/A"/>
    <m/>
    <m/>
    <s v="Complete"/>
    <s v="Yes"/>
    <s v="READY"/>
    <m/>
  </r>
  <r>
    <x v="0"/>
    <x v="0"/>
    <s v="DUY"/>
    <s v="Sue Bilstad"/>
    <s v="RESTORATION HARDWARE_HS"/>
    <s v="RH"/>
    <s v="HA STUDIO PICO/WILKINS"/>
    <x v="8"/>
    <n v="0"/>
    <x v="3"/>
    <s v="REO"/>
    <s v="7. Mass Production"/>
    <d v="2026-07-24T00:00:00"/>
    <d v="2026-07-27T00:00:00"/>
    <m/>
    <s v=""/>
    <s v="US"/>
    <s v="CA"/>
    <n v="0"/>
    <n v="0"/>
    <m/>
    <m/>
    <x v="6"/>
    <n v="20"/>
    <n v="3454"/>
    <n v="3454"/>
    <x v="10"/>
    <x v="0"/>
    <m/>
    <m/>
    <d v="2026-11-07T00:00:00"/>
    <d v="2026-11-07T00:00:00"/>
    <s v="2026/W45"/>
    <s v="2026/W45"/>
    <s v="Approved"/>
    <m/>
    <d v="2026-02-05T00:00:00"/>
    <s v="Approved"/>
    <m/>
    <d v="2026-02-05T00:00:00"/>
    <s v="N/A"/>
    <m/>
    <m/>
    <s v="Approved"/>
    <m/>
    <d v="2026-02-05T00:00:00"/>
    <s v="N/A"/>
    <m/>
    <m/>
    <s v="N/A"/>
    <m/>
    <m/>
    <s v="N/A"/>
    <m/>
    <m/>
    <s v="Active"/>
    <s v="Yes"/>
    <s v="NPI: All development items approved/closed for SW45"/>
    <m/>
  </r>
  <r>
    <x v="0"/>
    <x v="0"/>
    <s v="DUY"/>
    <s v="Madison Lay"/>
    <s v="RESTORATION HARDWARE_HS"/>
    <s v="RH"/>
    <s v="NAMA LISBON"/>
    <x v="9"/>
    <n v="1"/>
    <x v="0"/>
    <s v="NEW"/>
    <s v="7. Mass Production"/>
    <d v="2026-01-15T00:00:00"/>
    <d v="2026-03-02T00:00:00"/>
    <m/>
    <s v=""/>
    <s v="PT"/>
    <s v="Portugal"/>
    <n v="0"/>
    <n v="0"/>
    <m/>
    <m/>
    <x v="7"/>
    <n v="191"/>
    <n v="202175"/>
    <n v="74720"/>
    <x v="8"/>
    <x v="0"/>
    <d v="2026-05-21T00:00:00"/>
    <d v="2026-05-28T00:00:00"/>
    <d v="2026-09-13T00:00:00"/>
    <d v="2026-09-13T00:00:00"/>
    <s v="2026/W37"/>
    <s v="2026/W37"/>
    <s v="Approved"/>
    <m/>
    <d v="2026-03-02T00:00:00"/>
    <s v="Approved"/>
    <m/>
    <d v="2026-03-02T00:00:00"/>
    <s v="N/A"/>
    <m/>
    <m/>
    <s v="Approved"/>
    <m/>
    <m/>
    <s v="N/A"/>
    <m/>
    <m/>
    <s v="N/A"/>
    <m/>
    <m/>
    <s v="N/A"/>
    <m/>
    <m/>
    <s v="Complete"/>
    <s v="Yes"/>
    <s v="READY"/>
    <m/>
  </r>
  <r>
    <x v="0"/>
    <x v="0"/>
    <s v="DUY"/>
    <s v="Madison Lay"/>
    <s v="RESTORATION HARDWARE_HS"/>
    <s v="RH"/>
    <s v="NAMA LISBON"/>
    <x v="9"/>
    <n v="0"/>
    <x v="3"/>
    <s v="NEW"/>
    <s v="7. Mass Production"/>
    <d v="2026-01-15T00:00:00"/>
    <d v="2026-03-02T00:00:00"/>
    <m/>
    <s v=""/>
    <s v="PT"/>
    <s v="Portugal"/>
    <n v="0"/>
    <n v="0"/>
    <m/>
    <m/>
    <x v="7"/>
    <n v="7"/>
    <n v="202175"/>
    <n v="2042"/>
    <x v="9"/>
    <x v="0"/>
    <d v="2026-05-21T00:00:00"/>
    <d v="2026-05-28T00:00:00"/>
    <d v="2026-09-13T00:00:00"/>
    <d v="2026-10-09T00:00:00"/>
    <s v="2026/W37"/>
    <s v="2026/W41"/>
    <s v="Approved"/>
    <m/>
    <d v="2026-03-02T00:00:00"/>
    <s v="Approved"/>
    <m/>
    <d v="2026-03-02T00:00:00"/>
    <s v="N/A"/>
    <m/>
    <m/>
    <s v="Approved"/>
    <m/>
    <m/>
    <s v="N/A"/>
    <m/>
    <m/>
    <s v="N/A"/>
    <m/>
    <m/>
    <s v="N/A"/>
    <m/>
    <m/>
    <s v="Active"/>
    <s v="Yes"/>
    <s v="NPI: All development items approved/closed for SW41"/>
    <m/>
  </r>
  <r>
    <x v="0"/>
    <x v="0"/>
    <s v="DUY"/>
    <s v="Madison Lay"/>
    <s v="RESTORATION HARDWARE_HS"/>
    <s v="RH"/>
    <s v="NAMA LISBON"/>
    <x v="9"/>
    <n v="0"/>
    <x v="3"/>
    <s v="NEW"/>
    <s v="7. Mass Production"/>
    <d v="2026-01-15T00:00:00"/>
    <d v="2026-03-02T00:00:00"/>
    <m/>
    <s v=""/>
    <s v="PT"/>
    <s v="Portugal"/>
    <n v="0"/>
    <n v="0"/>
    <m/>
    <m/>
    <x v="7"/>
    <n v="264"/>
    <n v="202175"/>
    <n v="125413.98999999999"/>
    <x v="9"/>
    <x v="0"/>
    <d v="2026-05-21T00:00:00"/>
    <d v="2026-05-28T00:00:00"/>
    <d v="2026-10-30T00:00:00"/>
    <d v="2026-10-30T00:00:00"/>
    <s v="2026/W44"/>
    <s v="2026/W44"/>
    <s v="Approved"/>
    <m/>
    <d v="2026-03-02T00:00:00"/>
    <s v="Approved"/>
    <m/>
    <d v="2026-03-02T00:00:00"/>
    <s v="N/A"/>
    <m/>
    <m/>
    <s v="Approved"/>
    <m/>
    <m/>
    <s v="N/A"/>
    <m/>
    <m/>
    <s v="N/A"/>
    <m/>
    <m/>
    <s v="N/A"/>
    <m/>
    <m/>
    <s v="Active"/>
    <s v="Yes"/>
    <s v="NPI: All development items approved/closed for SW44"/>
    <m/>
  </r>
  <r>
    <x v="0"/>
    <x v="0"/>
    <s v="DUY"/>
    <s v="Madison Lay"/>
    <s v="RESTORATION HARDWARE_HS"/>
    <s v="RH"/>
    <s v="NAMA LISBON-PUBLIC SPACE "/>
    <x v="10"/>
    <n v="1"/>
    <x v="1"/>
    <s v="NEW"/>
    <s v="7. Mass Production"/>
    <d v="2026-01-15T00:00:00"/>
    <d v="2026-03-02T00:00:00"/>
    <m/>
    <s v=""/>
    <s v="PT"/>
    <s v="Portugal"/>
    <n v="0"/>
    <n v="0"/>
    <m/>
    <m/>
    <x v="6"/>
    <n v="1"/>
    <n v="2190.15"/>
    <n v="2190.15"/>
    <x v="11"/>
    <x v="1"/>
    <d v="2026-05-21T00:00:00"/>
    <d v="2026-05-28T00:00:00"/>
    <d v="2027-01-22T00:00:00"/>
    <d v="2027-01-22T00:00:00"/>
    <s v="2027/W04"/>
    <s v="2027/W04"/>
    <s v="In Progress"/>
    <m/>
    <m/>
    <s v="In Progress"/>
    <m/>
    <m/>
    <s v="N/A"/>
    <m/>
    <m/>
    <m/>
    <m/>
    <m/>
    <s v="N/A"/>
    <m/>
    <m/>
    <s v="In Progress"/>
    <m/>
    <m/>
    <s v="N/A"/>
    <m/>
    <m/>
    <s v="Active"/>
    <s v="Yes"/>
    <s v="NPI: In progress: Drawing, Veneer/Wood, Electrical for SW04"/>
    <m/>
  </r>
  <r>
    <x v="0"/>
    <x v="0"/>
    <s v="TRINH"/>
    <m/>
    <s v="RESTORATION HARDWARE_HS"/>
    <s v="RH"/>
    <s v="RANCHO VALENCIA"/>
    <x v="11"/>
    <n v="1"/>
    <x v="4"/>
    <s v="NEW"/>
    <s v="2. Product &amp; Process Dev"/>
    <d v="2026-01-07T00:00:00"/>
    <s v="-"/>
    <m/>
    <s v=""/>
    <s v="US"/>
    <s v="CA"/>
    <s v="TBC"/>
    <s v="TBC"/>
    <m/>
    <m/>
    <x v="6"/>
    <m/>
    <n v="14520"/>
    <n v="14520"/>
    <x v="12"/>
    <x v="2"/>
    <s v="-"/>
    <m/>
    <s v="TBC"/>
    <s v="TBC"/>
    <s v="TBC"/>
    <s v="TBC"/>
    <s v="Pending Approval"/>
    <m/>
    <m/>
    <s v="Approved"/>
    <m/>
    <m/>
    <s v="N/A"/>
    <m/>
    <m/>
    <s v="N/A"/>
    <m/>
    <m/>
    <s v="N/A"/>
    <m/>
    <m/>
    <s v="N/A"/>
    <m/>
    <m/>
    <s v="COM"/>
    <m/>
    <m/>
    <s v="Active"/>
    <s v="Yes"/>
    <s v="NPI: Pending approval: Drawing; Fabric is com for SW TBC"/>
    <m/>
  </r>
  <r>
    <x v="0"/>
    <x v="0"/>
    <s v="THU"/>
    <s v="Sue Bilstad"/>
    <s v="RESTORATION HARDWARE_HS"/>
    <s v="RH"/>
    <s v="RH CONTRACT (LARA CHAIR 25)"/>
    <x v="12"/>
    <n v="1"/>
    <x v="0"/>
    <s v="REO"/>
    <s v="8. Shipment"/>
    <m/>
    <d v="2026-01-12T00:00:00"/>
    <m/>
    <s v=""/>
    <s v="US"/>
    <s v="CA"/>
    <m/>
    <m/>
    <m/>
    <m/>
    <x v="6"/>
    <m/>
    <n v="4200"/>
    <n v="4200"/>
    <x v="13"/>
    <x v="0"/>
    <s v="2026/W13"/>
    <m/>
    <d v="2026-04-04T00:00:00"/>
    <d v="2026-04-04T00:00:00"/>
    <s v="2026/W14"/>
    <s v="2026/W14"/>
    <s v="Approved"/>
    <m/>
    <m/>
    <s v="Approved"/>
    <m/>
    <m/>
    <s v="N/A"/>
    <m/>
    <m/>
    <s v="N/A"/>
    <m/>
    <m/>
    <s v="N/A"/>
    <m/>
    <m/>
    <s v="N/A"/>
    <m/>
    <m/>
    <s v="COM"/>
    <m/>
    <m/>
    <s v="Complete"/>
    <s v="Yes"/>
    <s v="READY"/>
    <m/>
  </r>
  <r>
    <x v="0"/>
    <x v="1"/>
    <s v="DUONG"/>
    <s v="Sue Bilstad"/>
    <s v="RESTORATION HARDWARE_HS"/>
    <s v="RH"/>
    <s v="RH TRUMP SUITES NYC"/>
    <x v="13"/>
    <n v="1"/>
    <x v="0"/>
    <s v="NEW"/>
    <s v="8. Shipment"/>
    <d v="2025-06-23T00:00:00"/>
    <d v="2026-02-25T00:00:00"/>
    <m/>
    <s v=""/>
    <s v="US"/>
    <s v="NY"/>
    <m/>
    <m/>
    <m/>
    <m/>
    <x v="6"/>
    <m/>
    <n v="1234.8599999999999"/>
    <n v="1234.8599999999999"/>
    <x v="1"/>
    <x v="0"/>
    <d v="2026-06-19T00:00:00"/>
    <d v="2026-06-19T00:00:00"/>
    <d v="2026-04-04T00:00:00"/>
    <d v="2026-04-04T00:00:00"/>
    <s v="2026/W14"/>
    <s v="2026/W14"/>
    <s v="Approved"/>
    <m/>
    <m/>
    <s v="Approved"/>
    <m/>
    <m/>
    <s v="N/A"/>
    <m/>
    <m/>
    <s v="Approved"/>
    <m/>
    <m/>
    <s v="N/A"/>
    <m/>
    <m/>
    <s v="N/A"/>
    <m/>
    <m/>
    <s v="N/A"/>
    <m/>
    <m/>
    <s v="Complete"/>
    <s v="Yes"/>
    <s v="READY"/>
    <m/>
  </r>
  <r>
    <x v="0"/>
    <x v="0"/>
    <s v="TUYET"/>
    <s v="Madison Lay"/>
    <s v="RESTORATION HARDWARE_HS"/>
    <s v="RH"/>
    <s v="TRUMP DORAL"/>
    <x v="14"/>
    <n v="1"/>
    <x v="0"/>
    <s v="REO"/>
    <s v="8. Shipment"/>
    <d v="2024-11-01T00:00:00"/>
    <d v="2026-04-08T00:00:00"/>
    <m/>
    <s v=""/>
    <s v="US"/>
    <s v="FL"/>
    <m/>
    <m/>
    <m/>
    <m/>
    <x v="6"/>
    <m/>
    <n v="1375.5"/>
    <n v="1375.5"/>
    <x v="2"/>
    <x v="0"/>
    <d v="2026-06-19T00:00:00"/>
    <d v="2026-06-19T00:00:00"/>
    <d v="2026-04-04T00:00:00"/>
    <d v="2026-04-04T00:00:00"/>
    <s v="2026/W14"/>
    <s v="2026/W14"/>
    <s v="Approved"/>
    <m/>
    <m/>
    <s v="Approved"/>
    <m/>
    <m/>
    <s v="N/A"/>
    <m/>
    <m/>
    <s v="Approved"/>
    <m/>
    <m/>
    <s v="N/A"/>
    <m/>
    <m/>
    <s v="N/A"/>
    <m/>
    <m/>
    <s v="COM"/>
    <m/>
    <m/>
    <s v="Complete"/>
    <s v="Yes"/>
    <s v="READY"/>
    <m/>
  </r>
  <r>
    <x v="0"/>
    <x v="0"/>
    <s v="DUONG"/>
    <s v="Sue Bilstad"/>
    <s v="RESTORATION HARDWARE_HS"/>
    <s v="RH"/>
    <s v="RH TRUMP SUITES NYC"/>
    <x v="15"/>
    <n v="1"/>
    <x v="1"/>
    <s v="NEW"/>
    <s v="3. Prototype Readiness"/>
    <d v="2026-04-24T00:00:00"/>
    <m/>
    <m/>
    <s v=""/>
    <s v="US"/>
    <s v="NY"/>
    <n v="2"/>
    <n v="4"/>
    <m/>
    <m/>
    <x v="8"/>
    <m/>
    <n v="1074318.51"/>
    <n v="537160"/>
    <x v="14"/>
    <x v="1"/>
    <s v="-"/>
    <m/>
    <d v="2027-05-08T00:00:00"/>
    <d v="2027-06-26T00:00:00"/>
    <s v="2027/W19"/>
    <s v="2027/W26"/>
    <s v="Pending Approval"/>
    <m/>
    <m/>
    <s v="Approved"/>
    <m/>
    <m/>
    <s v="N/A"/>
    <m/>
    <m/>
    <s v="Approved"/>
    <m/>
    <m/>
    <s v="N/A"/>
    <m/>
    <m/>
    <s v="In Progress"/>
    <m/>
    <m/>
    <s v="COM"/>
    <m/>
    <m/>
    <s v="Active"/>
    <s v="Yes"/>
    <s v="NPI: In progress: Electrical; Pending approval: Drawing; Fabric is com for SW26"/>
    <m/>
  </r>
  <r>
    <x v="0"/>
    <x v="0"/>
    <s v="DUONG"/>
    <s v="Sue Bilstad"/>
    <s v="RESTORATION HARDWARE_HS"/>
    <s v="RH"/>
    <s v="RH TRUMP SUITES NYC"/>
    <x v="15"/>
    <n v="0"/>
    <x v="1"/>
    <s v="NEW"/>
    <s v="3. Prototype Readiness"/>
    <d v="2026-04-24T00:00:00"/>
    <m/>
    <m/>
    <s v=""/>
    <s v="US"/>
    <s v="NY"/>
    <n v="2"/>
    <n v="4"/>
    <m/>
    <m/>
    <x v="8"/>
    <m/>
    <n v="1074318.51"/>
    <n v="537158.51"/>
    <x v="4"/>
    <x v="1"/>
    <s v="-"/>
    <m/>
    <d v="2027-05-08T00:00:00"/>
    <d v="2027-06-26T00:00:00"/>
    <s v="2027/W19"/>
    <s v="2027/W26"/>
    <s v="Pending Approval"/>
    <m/>
    <m/>
    <s v="Approved"/>
    <m/>
    <m/>
    <s v="N/A"/>
    <m/>
    <m/>
    <s v="Approved"/>
    <m/>
    <m/>
    <s v="N/A"/>
    <m/>
    <m/>
    <s v="In Progress"/>
    <m/>
    <m/>
    <s v="COM"/>
    <m/>
    <m/>
    <s v="Active"/>
    <s v="Yes"/>
    <s v="NPI: In progress: Electrical; Pending approval: Drawing; Fabric is com for SW26"/>
    <m/>
  </r>
  <r>
    <x v="0"/>
    <x v="1"/>
    <s v="BIEN"/>
    <s v="Sue Bilstad"/>
    <s v="RESTORATION HARDWARE_HS"/>
    <s v="RH"/>
    <s v="ROSEWOOD CALISTOGA"/>
    <x v="16"/>
    <n v="1"/>
    <x v="0"/>
    <s v="NEW"/>
    <s v="8. Shipment"/>
    <d v="2026-04-24T00:00:00"/>
    <d v="2026-05-05T00:00:00"/>
    <m/>
    <s v=""/>
    <s v="US"/>
    <s v="CA"/>
    <m/>
    <m/>
    <m/>
    <m/>
    <x v="9"/>
    <m/>
    <n v="1046.75"/>
    <n v="1046.75"/>
    <x v="1"/>
    <x v="0"/>
    <d v="2026-06-10T00:00:00"/>
    <d v="2026-06-10T00:00:00"/>
    <d v="2026-04-04T00:00:00"/>
    <d v="2026-04-04T00:00:00"/>
    <s v="2026/W14"/>
    <s v="2026/W14"/>
    <s v="Approved"/>
    <m/>
    <d v="2026-05-22T00:00:00"/>
    <s v="Approved"/>
    <m/>
    <d v="2026-06-26T00:00:00"/>
    <s v="N/A"/>
    <m/>
    <m/>
    <s v="Approved"/>
    <m/>
    <d v="2026-06-18T00:00:00"/>
    <s v="N/A"/>
    <m/>
    <m/>
    <s v="N/A"/>
    <m/>
    <m/>
    <s v="COM"/>
    <m/>
    <d v="2026-06-02T00:00:00"/>
    <s v="Complete"/>
    <s v="Yes"/>
    <s v="READY"/>
    <m/>
  </r>
  <r>
    <x v="0"/>
    <x v="0"/>
    <s v="BIEN"/>
    <s v="Sue Bilstad"/>
    <s v="RESTORATION HARDWARE_HS"/>
    <s v="RH"/>
    <s v="ROSEWOOD CALISTOGA"/>
    <x v="17"/>
    <n v="1"/>
    <x v="3"/>
    <s v="NEW"/>
    <s v="7. Mass Production"/>
    <d v="2025-07-23T00:00:00"/>
    <d v="2026-05-28T00:00:00"/>
    <m/>
    <s v=""/>
    <s v="US"/>
    <s v="CA"/>
    <n v="0"/>
    <n v="0"/>
    <m/>
    <m/>
    <x v="10"/>
    <m/>
    <n v="301643"/>
    <n v="239023"/>
    <x v="10"/>
    <x v="0"/>
    <d v="2026-10-26T00:00:00"/>
    <d v="2026-10-30T00:00:00"/>
    <d v="2026-11-06T00:00:00"/>
    <d v="2026-12-11T00:00:00"/>
    <s v="2026/W45"/>
    <s v="2026/W50"/>
    <s v="Approved"/>
    <m/>
    <d v="2026-06-03T00:00:00"/>
    <s v="Approved"/>
    <m/>
    <d v="2026-07-02T00:00:00"/>
    <s v="Approved"/>
    <m/>
    <d v="2026-05-26T00:00:00"/>
    <s v="Approved"/>
    <m/>
    <d v="2026-06-18T00:00:00"/>
    <s v="N/A"/>
    <m/>
    <m/>
    <s v="N/A"/>
    <m/>
    <m/>
    <s v="COM Received"/>
    <m/>
    <s v="NA"/>
    <s v="Active"/>
    <s v="Yes"/>
    <s v="NPI: Fabric is com received for SW50"/>
    <m/>
  </r>
  <r>
    <x v="0"/>
    <x v="0"/>
    <s v="BIEN"/>
    <s v="Sue Bilstad"/>
    <s v="RESTORATION HARDWARE_HS"/>
    <s v="RH"/>
    <s v="ROSEWOOD CALISTOGA"/>
    <x v="17"/>
    <n v="0"/>
    <x v="3"/>
    <s v="NEW"/>
    <s v="7. Mass Production"/>
    <d v="2025-07-23T00:00:00"/>
    <d v="2026-05-28T00:00:00"/>
    <m/>
    <s v=""/>
    <s v="US"/>
    <s v="CA"/>
    <n v="0"/>
    <n v="0"/>
    <m/>
    <m/>
    <x v="10"/>
    <m/>
    <n v="301643"/>
    <n v="71547"/>
    <x v="15"/>
    <x v="0"/>
    <d v="2026-11-02T00:00:00"/>
    <d v="2026-11-13T00:00:00"/>
    <d v="2026-11-06T00:00:00"/>
    <d v="2026-12-11T00:00:00"/>
    <s v="2026/W45"/>
    <s v="2026/W50"/>
    <s v="Approved"/>
    <d v="2026-08-07T00:00:00"/>
    <m/>
    <s v="Approved"/>
    <m/>
    <m/>
    <s v="Approved"/>
    <m/>
    <d v="2026-05-26T00:00:00"/>
    <s v="Approved"/>
    <m/>
    <d v="2026-06-18T00:00:00"/>
    <s v="N/A"/>
    <m/>
    <m/>
    <s v="N/A"/>
    <m/>
    <m/>
    <s v="COM Pending"/>
    <m/>
    <s v="NA"/>
    <s v="Active"/>
    <s v="Yes"/>
    <s v="NPI: Fabric is com pending for SW50"/>
    <m/>
  </r>
  <r>
    <x v="0"/>
    <x v="0"/>
    <s v="DUY"/>
    <s v="Madison Lay"/>
    <s v="RESTORATION HARDWARE_HS"/>
    <s v="RH"/>
    <s v="SNAKE RIVER LODGE BLUEFLAG"/>
    <x v="18"/>
    <n v="1"/>
    <x v="0"/>
    <s v="NEW"/>
    <s v="8. Shipment"/>
    <d v="2026-05-05T00:00:00"/>
    <d v="2026-04-13T00:00:00"/>
    <m/>
    <s v=""/>
    <s v="US"/>
    <s v="WY"/>
    <m/>
    <m/>
    <m/>
    <m/>
    <x v="5"/>
    <m/>
    <n v="203436.01"/>
    <n v="136716"/>
    <x v="3"/>
    <x v="0"/>
    <d v="2026-08-08T00:00:00"/>
    <d v="2026-08-15T00:00:00"/>
    <d v="2026-08-08T00:00:00"/>
    <d v="2026-08-29T00:00:00"/>
    <s v="2026/W32"/>
    <s v="2026/W35"/>
    <s v="Approved"/>
    <m/>
    <d v="2026-05-21T00:00:00"/>
    <s v="Approved"/>
    <m/>
    <d v="2025-06-05T00:00:00"/>
    <s v="Approved"/>
    <m/>
    <m/>
    <s v="Approved"/>
    <m/>
    <m/>
    <s v="N/A"/>
    <m/>
    <m/>
    <s v="Approved"/>
    <m/>
    <m/>
    <s v="COM Received"/>
    <m/>
    <m/>
    <s v="Complete"/>
    <s v="Yes"/>
    <s v="READY"/>
    <m/>
  </r>
  <r>
    <x v="0"/>
    <x v="0"/>
    <s v="DUY"/>
    <s v="Madison Lay"/>
    <s v="RESTORATION HARDWARE_HS"/>
    <s v="RH"/>
    <s v="SNAKE RIVER LODGE BLUEFLAG"/>
    <x v="18"/>
    <n v="0"/>
    <x v="0"/>
    <s v="NEW"/>
    <s v="8. Shipment"/>
    <d v="2026-05-05T00:00:00"/>
    <d v="2026-04-13T00:00:00"/>
    <m/>
    <s v=""/>
    <s v="US"/>
    <s v="WY"/>
    <n v="0"/>
    <n v="0"/>
    <m/>
    <m/>
    <x v="5"/>
    <m/>
    <n v="203436.01"/>
    <n v="66720.490000000005"/>
    <x v="3"/>
    <x v="0"/>
    <d v="2026-08-08T00:00:00"/>
    <d v="2026-08-15T00:00:00"/>
    <d v="2026-08-08T00:00:00"/>
    <d v="2026-08-29T00:00:00"/>
    <s v="2026/W32"/>
    <s v="2026/W35"/>
    <s v="Approved"/>
    <m/>
    <d v="2026-05-21T00:00:00"/>
    <s v="Approved"/>
    <m/>
    <d v="2025-06-05T00:00:00"/>
    <s v="Approved"/>
    <m/>
    <m/>
    <s v="Approved"/>
    <m/>
    <m/>
    <s v="N/A"/>
    <m/>
    <m/>
    <s v="Approved"/>
    <m/>
    <m/>
    <s v="COM Received"/>
    <m/>
    <m/>
    <s v="Complete"/>
    <s v="Yes"/>
    <s v="READY"/>
    <m/>
  </r>
  <r>
    <x v="0"/>
    <x v="0"/>
    <s v="BIEN"/>
    <s v="Sue Bilstad"/>
    <s v="RESTORATION HARDWARE_HS"/>
    <s v="RH"/>
    <s v="TRUMP LAS VEGAS PENTHOUSES"/>
    <x v="19"/>
    <n v="1"/>
    <x v="3"/>
    <s v="NEW"/>
    <s v="5. Production Readiness"/>
    <d v="2025-10-25T00:00:00"/>
    <s v="-"/>
    <m/>
    <s v=""/>
    <s v="US"/>
    <s v="NV"/>
    <n v="0"/>
    <n v="0"/>
    <m/>
    <m/>
    <x v="11"/>
    <m/>
    <n v="583385"/>
    <n v="350863"/>
    <x v="11"/>
    <x v="1"/>
    <s v="-"/>
    <m/>
    <d v="2027-01-08T00:00:00"/>
    <d v="2027-01-29T00:00:00"/>
    <s v="2027/W02"/>
    <s v="2027/W05"/>
    <s v="Approved"/>
    <m/>
    <m/>
    <s v="Approved"/>
    <m/>
    <m/>
    <s v="Approved"/>
    <m/>
    <m/>
    <s v="Approved"/>
    <m/>
    <m/>
    <s v="Approved"/>
    <m/>
    <m/>
    <s v="Approved"/>
    <m/>
    <m/>
    <m/>
    <m/>
    <m/>
    <s v="Active"/>
    <s v="Yes"/>
    <s v="NPI: All development items approved/closed for SW05"/>
    <m/>
  </r>
  <r>
    <x v="0"/>
    <x v="0"/>
    <s v="BIEN"/>
    <s v="Sue Bilstad"/>
    <s v="RESTORATION HARDWARE_HS"/>
    <s v="RH"/>
    <s v="TRUMP LAS VEGAS PENTHOUSES"/>
    <x v="19"/>
    <n v="0"/>
    <x v="3"/>
    <s v="NEW"/>
    <s v="5. Production Readiness"/>
    <d v="2025-10-25T00:00:00"/>
    <s v="-"/>
    <m/>
    <s v=""/>
    <s v="US"/>
    <s v="NV"/>
    <n v="0"/>
    <n v="0"/>
    <m/>
    <m/>
    <x v="11"/>
    <m/>
    <n v="583385"/>
    <n v="184328"/>
    <x v="11"/>
    <x v="1"/>
    <s v="-"/>
    <m/>
    <d v="2027-01-08T00:00:00"/>
    <d v="2027-01-29T00:00:00"/>
    <s v="2027/W02"/>
    <s v="2027/W05"/>
    <s v="Approved"/>
    <m/>
    <m/>
    <s v="Approved"/>
    <m/>
    <m/>
    <s v="Approved"/>
    <m/>
    <m/>
    <s v="Approved"/>
    <m/>
    <m/>
    <s v="Approved"/>
    <m/>
    <m/>
    <s v="Approved"/>
    <m/>
    <m/>
    <m/>
    <m/>
    <m/>
    <s v="Active"/>
    <s v="Yes"/>
    <s v="NPI: All development items approved/closed for SW05"/>
    <m/>
  </r>
  <r>
    <x v="0"/>
    <x v="0"/>
    <s v="DUY"/>
    <s v="Madison Lay"/>
    <s v="RESTORATION HARDWARE_HS"/>
    <s v="RH"/>
    <s v="RITZ DOVE MOUNTAIN"/>
    <x v="20"/>
    <n v="1"/>
    <x v="1"/>
    <s v="NEW"/>
    <s v="4. Prototype Build"/>
    <d v="2026-03-03T00:00:00"/>
    <m/>
    <m/>
    <s v=""/>
    <s v="US"/>
    <s v="AZ"/>
    <n v="0"/>
    <n v="0"/>
    <m/>
    <m/>
    <x v="12"/>
    <m/>
    <n v="228581"/>
    <n v="228581"/>
    <x v="16"/>
    <x v="1"/>
    <s v="-"/>
    <m/>
    <d v="2026-04-10T00:00:00"/>
    <d v="2026-04-24T00:00:00"/>
    <s v="2026/W15"/>
    <s v="2026/W17"/>
    <s v="Pending Approval"/>
    <m/>
    <m/>
    <s v="Pending Approval"/>
    <m/>
    <m/>
    <s v="N/A"/>
    <m/>
    <m/>
    <s v="Pending Approval"/>
    <m/>
    <m/>
    <s v="N/A"/>
    <m/>
    <m/>
    <s v="N/A"/>
    <m/>
    <m/>
    <s v="COM"/>
    <m/>
    <m/>
    <s v="Active"/>
    <s v="Yes"/>
    <s v="NPI: Pending approval: Drawing, Veneer/Wood, Metal; Fabric is com for SW17"/>
    <m/>
  </r>
  <r>
    <x v="0"/>
    <x v="0"/>
    <s v="TU ANH"/>
    <s v="Sue Bilstad"/>
    <s v="RESTORATION HARDWARE_HS"/>
    <s v="RH"/>
    <s v="MAYBOURNE_ONE WALL STREET NY"/>
    <x v="21"/>
    <n v="1"/>
    <x v="0"/>
    <s v="REO"/>
    <s v="8. Shipment"/>
    <m/>
    <d v="2026-02-26T00:00:00"/>
    <m/>
    <s v=""/>
    <s v="US"/>
    <s v="NY"/>
    <m/>
    <m/>
    <m/>
    <m/>
    <x v="6"/>
    <m/>
    <n v="1672"/>
    <n v="1672"/>
    <x v="7"/>
    <x v="0"/>
    <d v="2026-04-01T00:00:00"/>
    <d v="2026-04-08T00:00:00"/>
    <d v="2026-04-04T00:00:00"/>
    <d v="2026-04-04T00:00:00"/>
    <s v="2026/W14"/>
    <s v="2026/W14"/>
    <s v="Approved"/>
    <m/>
    <d v="2026-03-23T00:00:00"/>
    <s v="Approved"/>
    <m/>
    <d v="2026-03-23T00:00:00"/>
    <s v="N/A"/>
    <m/>
    <m/>
    <s v="N/A"/>
    <m/>
    <m/>
    <s v="N/A"/>
    <m/>
    <m/>
    <s v="N/A"/>
    <m/>
    <m/>
    <s v="COM"/>
    <m/>
    <d v="2026-03-09T00:00:00"/>
    <s v="Complete"/>
    <s v="Yes"/>
    <s v="READY"/>
    <m/>
  </r>
  <r>
    <x v="0"/>
    <x v="0"/>
    <s v="TRINH"/>
    <s v="Sue Bilstad"/>
    <s v="RESTORATION HARDWARE_HS"/>
    <s v="RH"/>
    <s v="ST. REGIS KANAI"/>
    <x v="22"/>
    <n v="1"/>
    <x v="0"/>
    <s v="NEW"/>
    <s v="8. Shipment"/>
    <d v="2024-10-10T00:00:00"/>
    <d v="2026-03-20T00:00:00"/>
    <m/>
    <s v=""/>
    <s v="MX"/>
    <s v="Mexico"/>
    <m/>
    <m/>
    <m/>
    <m/>
    <x v="13"/>
    <m/>
    <n v="164002.01999999999"/>
    <n v="110307"/>
    <x v="2"/>
    <x v="0"/>
    <d v="2026-07-31T00:00:00"/>
    <d v="2026-07-31T00:00:00"/>
    <d v="2026-07-31T00:00:00"/>
    <d v="2026-08-07T00:00:00"/>
    <s v="2026/W31"/>
    <s v="2026/W32"/>
    <s v="Approved"/>
    <m/>
    <m/>
    <s v="Approved"/>
    <m/>
    <m/>
    <s v="Approved"/>
    <m/>
    <m/>
    <s v="N/A"/>
    <m/>
    <m/>
    <s v="N/A"/>
    <m/>
    <m/>
    <s v="N/A"/>
    <m/>
    <m/>
    <s v="COM Received"/>
    <m/>
    <m/>
    <s v="Complete"/>
    <s v="Yes"/>
    <s v="READY"/>
    <m/>
  </r>
  <r>
    <x v="0"/>
    <x v="0"/>
    <s v="TRINH"/>
    <s v="Sue Bilstad"/>
    <s v="RESTORATION HARDWARE_HS"/>
    <s v="RH"/>
    <s v="ST. REGIS KANAI"/>
    <x v="22"/>
    <n v="0"/>
    <x v="0"/>
    <s v="NEW"/>
    <s v="8. Shipment"/>
    <d v="2024-10-10T00:00:00"/>
    <d v="2026-03-20T00:00:00"/>
    <m/>
    <s v=""/>
    <s v="MX"/>
    <s v="Mexico"/>
    <m/>
    <m/>
    <m/>
    <m/>
    <x v="13"/>
    <m/>
    <n v="164002.01999999999"/>
    <n v="53695.14"/>
    <x v="3"/>
    <x v="0"/>
    <d v="2026-07-31T00:00:00"/>
    <d v="2026-07-31T00:00:00"/>
    <d v="2026-07-31T00:00:00"/>
    <d v="2026-08-07T00:00:00"/>
    <s v="2026/W31"/>
    <s v="2026/W32"/>
    <s v="Approved"/>
    <m/>
    <m/>
    <s v="Approved"/>
    <m/>
    <m/>
    <s v="Approved"/>
    <m/>
    <m/>
    <s v="N/A"/>
    <m/>
    <m/>
    <s v="N/A"/>
    <m/>
    <m/>
    <s v="N/A"/>
    <m/>
    <m/>
    <s v="COM Received"/>
    <m/>
    <m/>
    <s v="Complete"/>
    <s v="Yes"/>
    <s v="READY"/>
    <m/>
  </r>
  <r>
    <x v="0"/>
    <x v="1"/>
    <s v="DUNG"/>
    <s v="Sue Bilstad"/>
    <s v="RESTORATION HARDWARE_HS"/>
    <s v="RH"/>
    <s v="CIA O&amp;O GUESTROOMS"/>
    <x v="7"/>
    <n v="1"/>
    <x v="0"/>
    <s v="NEW"/>
    <s v="8. Shipment"/>
    <d v="2026-02-19T00:00:00"/>
    <d v="2025-12-01T00:00:00"/>
    <m/>
    <s v=""/>
    <s v="US"/>
    <s v="CA"/>
    <m/>
    <m/>
    <m/>
    <m/>
    <x v="5"/>
    <m/>
    <n v="12000.06"/>
    <n v="12000.06"/>
    <x v="1"/>
    <x v="0"/>
    <d v="2026-06-09T00:00:00"/>
    <d v="2026-06-12T00:00:00"/>
    <d v="2026-04-04T00:00:00"/>
    <d v="2026-04-04T00:00:00"/>
    <s v="2026/W14"/>
    <s v="2026/W14"/>
    <s v="Approved"/>
    <m/>
    <m/>
    <s v="Approved"/>
    <m/>
    <m/>
    <s v="Approved"/>
    <m/>
    <m/>
    <s v="Approved"/>
    <m/>
    <m/>
    <s v="Approved"/>
    <m/>
    <m/>
    <s v="N/A"/>
    <m/>
    <m/>
    <s v="COM Received"/>
    <m/>
    <m/>
    <s v="Complete"/>
    <s v="Yes"/>
    <s v="READY"/>
    <m/>
  </r>
  <r>
    <x v="1"/>
    <x v="0"/>
    <s v="THU"/>
    <m/>
    <s v="COSMIC REALTY PARTNERS LLC"/>
    <s v="COSMIC REALTY"/>
    <s v="250 FIFTH AVENUE HOTEL"/>
    <x v="23"/>
    <n v="1"/>
    <x v="0"/>
    <s v="NEW"/>
    <s v="8. Shipment"/>
    <m/>
    <s v="-"/>
    <m/>
    <s v=""/>
    <s v="US"/>
    <s v="NY"/>
    <m/>
    <m/>
    <m/>
    <m/>
    <x v="14"/>
    <m/>
    <n v="1908.8"/>
    <n v="1908.8"/>
    <x v="7"/>
    <x v="0"/>
    <d v="2026-04-04T00:00:00"/>
    <m/>
    <d v="2026-04-04T00:00:00"/>
    <d v="2026-04-04T00:00:00"/>
    <s v="2026/W14"/>
    <s v="2026/W14"/>
    <s v="Approved"/>
    <m/>
    <m/>
    <s v="Approved"/>
    <m/>
    <m/>
    <s v="Approved"/>
    <m/>
    <m/>
    <s v="Approved"/>
    <m/>
    <m/>
    <s v="Approved"/>
    <m/>
    <m/>
    <s v="Approved"/>
    <m/>
    <m/>
    <s v="COM"/>
    <m/>
    <m/>
    <s v="Complete"/>
    <m/>
    <s v="READY"/>
    <m/>
  </r>
  <r>
    <x v="1"/>
    <x v="0"/>
    <s v="THAO"/>
    <m/>
    <s v="LANG &amp; SCHWANDER LLC"/>
    <s v="L&amp;S"/>
    <s v="ELYSEE HOTEL"/>
    <x v="24"/>
    <n v="1"/>
    <x v="0"/>
    <s v="NEW"/>
    <s v="8. Shipment"/>
    <d v="2026-01-05T00:00:00"/>
    <d v="2025-12-18T00:00:00"/>
    <m/>
    <s v="50% deposit, 50% prior shipment"/>
    <s v="US"/>
    <s v="NY"/>
    <m/>
    <m/>
    <m/>
    <m/>
    <x v="15"/>
    <m/>
    <n v="169946"/>
    <n v="89785.840000000011"/>
    <x v="3"/>
    <x v="0"/>
    <d v="2026-09-04T00:00:00"/>
    <d v="2026-09-11T00:00:00"/>
    <d v="2026-08-08T00:00:00"/>
    <d v="2026-09-12T00:00:00"/>
    <s v="2026/W32"/>
    <s v="2026/W37"/>
    <s v="Approved"/>
    <m/>
    <m/>
    <s v="Approved"/>
    <m/>
    <m/>
    <s v="Approved"/>
    <m/>
    <m/>
    <s v="Approved"/>
    <m/>
    <m/>
    <s v="Approved"/>
    <m/>
    <m/>
    <s v="N/A"/>
    <m/>
    <m/>
    <s v="COM Pending"/>
    <m/>
    <m/>
    <s v="Complete"/>
    <m/>
    <s v="READY"/>
    <m/>
  </r>
  <r>
    <x v="1"/>
    <x v="0"/>
    <s v="THAO"/>
    <m/>
    <s v="LANG &amp; SCHWANDER LLC"/>
    <s v="L&amp;S"/>
    <s v="ELYSEE HOTEL"/>
    <x v="24"/>
    <n v="0"/>
    <x v="0"/>
    <s v="NEW"/>
    <s v="7. Mass Production"/>
    <d v="2026-01-05T00:00:00"/>
    <d v="2025-12-18T00:00:00"/>
    <m/>
    <s v="50% deposit, 50% prior shipment"/>
    <s v="US"/>
    <s v="NY"/>
    <n v="0"/>
    <n v="0"/>
    <m/>
    <m/>
    <x v="15"/>
    <m/>
    <n v="169946"/>
    <n v="28382"/>
    <x v="8"/>
    <x v="0"/>
    <d v="2026-09-04T00:00:00"/>
    <d v="2026-09-11T00:00:00"/>
    <d v="2026-08-08T00:00:00"/>
    <d v="2026-09-12T00:00:00"/>
    <s v="2026/W32"/>
    <s v="2026/W37"/>
    <s v="Approved"/>
    <m/>
    <m/>
    <s v="Approved"/>
    <m/>
    <m/>
    <s v="Approved"/>
    <m/>
    <m/>
    <s v="Approved"/>
    <m/>
    <m/>
    <s v="Approved"/>
    <m/>
    <m/>
    <s v="N/A"/>
    <m/>
    <m/>
    <s v="COM Pending"/>
    <m/>
    <m/>
    <s v="Complete"/>
    <m/>
    <s v="READY"/>
    <m/>
  </r>
  <r>
    <x v="1"/>
    <x v="0"/>
    <s v="THAO"/>
    <m/>
    <s v="LANG &amp; SCHWANDER LLC"/>
    <s v="L&amp;S"/>
    <s v="ELYSEE HOTEL"/>
    <x v="24"/>
    <n v="0"/>
    <x v="0"/>
    <s v="NEW"/>
    <s v="7. Mass Production"/>
    <d v="2026-01-05T00:00:00"/>
    <d v="2025-12-18T00:00:00"/>
    <m/>
    <s v="50% deposit, 50% prior shipment"/>
    <s v="US"/>
    <s v="NY"/>
    <n v="0"/>
    <n v="0"/>
    <m/>
    <m/>
    <x v="15"/>
    <m/>
    <n v="169946"/>
    <n v="51777"/>
    <x v="8"/>
    <x v="0"/>
    <d v="2026-09-04T00:00:00"/>
    <d v="2026-09-11T00:00:00"/>
    <d v="2026-08-08T00:00:00"/>
    <d v="2026-09-18T00:00:00"/>
    <s v="2026/W32"/>
    <s v="2026/W38"/>
    <s v="Approved"/>
    <m/>
    <m/>
    <s v="Approved"/>
    <m/>
    <m/>
    <s v="Approved"/>
    <m/>
    <m/>
    <s v="Approved"/>
    <m/>
    <m/>
    <s v="Approved"/>
    <m/>
    <m/>
    <s v="N/A"/>
    <m/>
    <m/>
    <s v="COM Pending"/>
    <m/>
    <m/>
    <s v="Complete"/>
    <m/>
    <s v="READY"/>
    <m/>
  </r>
  <r>
    <x v="1"/>
    <x v="0"/>
    <s v="DUONG"/>
    <m/>
    <s v="LANG &amp; SCHWANDER LLC"/>
    <s v="L&amp;S"/>
    <s v="FAENA TULLUM (FTMX)"/>
    <x v="25"/>
    <n v="1"/>
    <x v="1"/>
    <s v="NEW"/>
    <s v="1. Preliminary Design"/>
    <m/>
    <s v="-"/>
    <m/>
    <s v="50% deposit, 50% prior shipment"/>
    <s v="MX"/>
    <s v="Mexico"/>
    <n v="0"/>
    <n v="0"/>
    <m/>
    <m/>
    <x v="16"/>
    <m/>
    <n v="1160820"/>
    <n v="580410"/>
    <x v="17"/>
    <x v="1"/>
    <s v="-"/>
    <m/>
    <s v="TBC"/>
    <s v="TBC"/>
    <s v="TBC"/>
    <s v="TBC"/>
    <s v="Not Started "/>
    <m/>
    <m/>
    <m/>
    <m/>
    <m/>
    <m/>
    <m/>
    <m/>
    <m/>
    <m/>
    <m/>
    <m/>
    <m/>
    <m/>
    <m/>
    <m/>
    <m/>
    <m/>
    <m/>
    <m/>
    <s v="Active"/>
    <m/>
    <s v="NPI: All development items approved/closed for SW TBC"/>
    <m/>
  </r>
  <r>
    <x v="1"/>
    <x v="0"/>
    <s v="DUONG"/>
    <m/>
    <s v="LANG &amp; SCHWANDER LLC"/>
    <s v="L&amp;S"/>
    <s v="FAENA TULLUM (FTMX)"/>
    <x v="25"/>
    <n v="0"/>
    <x v="1"/>
    <s v="NEW"/>
    <s v="1. Preliminary Design"/>
    <m/>
    <s v="-"/>
    <m/>
    <s v="50% deposit, 50% prior shipment"/>
    <s v="MX"/>
    <s v="Mexico"/>
    <n v="0"/>
    <n v="0"/>
    <m/>
    <m/>
    <x v="16"/>
    <m/>
    <n v="1160820"/>
    <n v="580410"/>
    <x v="17"/>
    <x v="1"/>
    <s v="-"/>
    <m/>
    <s v="TBC"/>
    <s v="TBC"/>
    <s v="TBC"/>
    <s v="TBC"/>
    <s v="Not Started "/>
    <m/>
    <m/>
    <m/>
    <m/>
    <m/>
    <m/>
    <m/>
    <m/>
    <m/>
    <m/>
    <m/>
    <m/>
    <m/>
    <m/>
    <m/>
    <m/>
    <m/>
    <m/>
    <m/>
    <m/>
    <s v="Active"/>
    <m/>
    <s v="NPI: All development items approved/closed for SW TBC"/>
    <m/>
  </r>
  <r>
    <x v="1"/>
    <x v="0"/>
    <s v="TU ANH"/>
    <m/>
    <s v="FLEETWOOD FURNITURE"/>
    <s v="FLEETWOOD "/>
    <s v="FOUR SEASON JACKSONVILLE"/>
    <x v="26"/>
    <n v="1"/>
    <x v="0"/>
    <s v="NEW"/>
    <s v="8. Shipment"/>
    <d v="2025-11-26T00:00:00"/>
    <d v="2026-01-31T00:00:00"/>
    <m/>
    <s v="25% desposit, 75% period shipment"/>
    <s v="US"/>
    <s v="FL"/>
    <m/>
    <m/>
    <m/>
    <m/>
    <x v="17"/>
    <m/>
    <n v="198023"/>
    <n v="56748.11"/>
    <x v="7"/>
    <x v="0"/>
    <d v="2026-04-09T00:00:00"/>
    <d v="2026-06-13T00:00:00"/>
    <d v="2026-04-04T00:00:00"/>
    <d v="2026-04-04T00:00:00"/>
    <s v="2026/W14"/>
    <s v="2026/W14"/>
    <s v="Approved"/>
    <m/>
    <d v="2026-02-05T00:00:00"/>
    <s v="Approved"/>
    <m/>
    <d v="2026-02-05T00:00:00"/>
    <s v="N/A"/>
    <m/>
    <m/>
    <s v="Approved"/>
    <m/>
    <d v="2026-02-05T00:00:00"/>
    <s v="N/A"/>
    <m/>
    <m/>
    <s v="Approved"/>
    <m/>
    <m/>
    <s v="N/A"/>
    <m/>
    <m/>
    <s v="Complete"/>
    <s v="Yes"/>
    <s v="READY"/>
    <m/>
  </r>
  <r>
    <x v="1"/>
    <x v="0"/>
    <s v="TU ANH"/>
    <m/>
    <s v="FLEETWOOD FURNITURE"/>
    <s v="FLEETWOOD "/>
    <s v="FOUR SEASON JACKSONVILLE"/>
    <x v="26"/>
    <n v="0"/>
    <x v="0"/>
    <s v="NEW"/>
    <s v="8. Shipment"/>
    <d v="2025-11-26T00:00:00"/>
    <d v="2026-01-31T00:00:00"/>
    <m/>
    <s v="25% desposit, 75% period shipment"/>
    <s v="US"/>
    <s v="FL"/>
    <m/>
    <m/>
    <m/>
    <m/>
    <x v="17"/>
    <m/>
    <n v="198023"/>
    <n v="87190"/>
    <x v="0"/>
    <x v="0"/>
    <d v="2026-04-09T00:00:00"/>
    <d v="2026-06-13T00:00:00"/>
    <d v="2026-04-04T00:00:00"/>
    <d v="2026-04-04T00:00:00"/>
    <s v="2026/W14"/>
    <s v="2026/W14"/>
    <s v="Approved"/>
    <m/>
    <d v="2026-02-05T00:00:00"/>
    <s v="Approved"/>
    <m/>
    <d v="2026-02-05T00:00:00"/>
    <s v="N/A"/>
    <m/>
    <m/>
    <s v="Approved"/>
    <m/>
    <d v="2026-02-05T00:00:00"/>
    <s v="N/A"/>
    <m/>
    <m/>
    <s v="Approved"/>
    <m/>
    <m/>
    <s v="N/A"/>
    <m/>
    <m/>
    <s v="Complete"/>
    <m/>
    <s v="READY"/>
    <m/>
  </r>
  <r>
    <x v="1"/>
    <x v="0"/>
    <s v="TU ANH"/>
    <m/>
    <s v="FLEETWOOD FURNITURE"/>
    <s v="FLEETWOOD "/>
    <s v="FOUR SEASON JACKSONVILLE"/>
    <x v="26"/>
    <n v="0"/>
    <x v="0"/>
    <s v="NEW"/>
    <s v="8. Shipment"/>
    <d v="2025-11-26T00:00:00"/>
    <d v="2026-01-31T00:00:00"/>
    <m/>
    <s v="25% desposit, 75% period shipment"/>
    <s v="US"/>
    <s v="FL"/>
    <m/>
    <m/>
    <m/>
    <m/>
    <x v="17"/>
    <m/>
    <n v="198023"/>
    <n v="25075"/>
    <x v="1"/>
    <x v="0"/>
    <d v="2026-04-09T00:00:00"/>
    <d v="2026-06-13T00:00:00"/>
    <d v="2026-04-04T00:00:00"/>
    <d v="2026-04-04T00:00:00"/>
    <s v="2026/W14"/>
    <s v="2026/W14"/>
    <s v="Approved"/>
    <m/>
    <d v="2026-02-05T00:00:00"/>
    <s v="Approved"/>
    <m/>
    <d v="2026-02-05T00:00:00"/>
    <s v="N/A"/>
    <m/>
    <m/>
    <s v="Approved"/>
    <m/>
    <d v="2026-02-05T00:00:00"/>
    <s v="N/A"/>
    <m/>
    <m/>
    <s v="Approved"/>
    <m/>
    <m/>
    <s v="N/A"/>
    <m/>
    <m/>
    <s v="Complete"/>
    <m/>
    <s v="READY"/>
    <m/>
  </r>
  <r>
    <x v="1"/>
    <x v="0"/>
    <s v="TU ANH"/>
    <m/>
    <s v="FLEETWOOD FURNITURE"/>
    <s v="FLEETWOOD "/>
    <s v="FOUR SEASON JACKSONVILLE"/>
    <x v="26"/>
    <n v="0"/>
    <x v="0"/>
    <s v="NEW"/>
    <s v="8. Shipment"/>
    <d v="2025-11-26T00:00:00"/>
    <d v="2026-01-31T00:00:00"/>
    <m/>
    <s v="25% desposit, 75% period shipment"/>
    <s v="US"/>
    <s v="FL"/>
    <m/>
    <m/>
    <m/>
    <m/>
    <x v="17"/>
    <m/>
    <n v="198023"/>
    <n v="29009"/>
    <x v="1"/>
    <x v="0"/>
    <d v="2026-04-09T00:00:00"/>
    <d v="2026-06-13T00:00:00"/>
    <d v="2026-04-04T00:00:00"/>
    <d v="2026-04-04T00:00:00"/>
    <s v="2026/W14"/>
    <s v="2026/W14"/>
    <s v="Approved"/>
    <m/>
    <d v="2026-02-05T00:00:00"/>
    <s v="Approved"/>
    <m/>
    <d v="2026-02-05T00:00:00"/>
    <s v="N/A"/>
    <m/>
    <m/>
    <s v="Approved"/>
    <m/>
    <d v="2026-02-05T00:00:00"/>
    <s v="N/A"/>
    <m/>
    <m/>
    <s v="Approved"/>
    <m/>
    <m/>
    <s v="N/A"/>
    <m/>
    <m/>
    <s v="Complete"/>
    <m/>
    <s v="READY"/>
    <m/>
  </r>
  <r>
    <x v="1"/>
    <x v="0"/>
    <s v="THAO"/>
    <s v="Lori"/>
    <s v="FLEETWOOD FURNITURE"/>
    <s v="FLEETWOOD "/>
    <s v="HARD ROCK LAS VEGAS WEST TOWER"/>
    <x v="27"/>
    <n v="1"/>
    <x v="5"/>
    <s v="NEW"/>
    <s v="3. Prototype Readiness"/>
    <d v="2026-04-18T00:00:00"/>
    <s v="-"/>
    <m/>
    <s v="25% desposit, 75% period shipment"/>
    <s v="US"/>
    <s v="NV"/>
    <m/>
    <m/>
    <m/>
    <m/>
    <x v="18"/>
    <m/>
    <n v="3218808.59"/>
    <n v="1072936"/>
    <x v="11"/>
    <x v="1"/>
    <m/>
    <m/>
    <s v="TBC"/>
    <s v="TBC"/>
    <s v="TBC"/>
    <s v="TBC"/>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s v="THAO"/>
    <s v="Lori"/>
    <s v="FLEETWOOD FURNITURE"/>
    <s v="FLEETWOOD "/>
    <s v="HARD ROCK LAS VEGAS WEST TOWER"/>
    <x v="27"/>
    <n v="0"/>
    <x v="5"/>
    <s v="NEW"/>
    <s v="3. Prototype Readiness"/>
    <d v="2026-04-18T00:00:00"/>
    <s v="-"/>
    <m/>
    <s v="25% desposit, 75% period shipment"/>
    <s v="US"/>
    <s v="NV"/>
    <m/>
    <m/>
    <m/>
    <m/>
    <x v="18"/>
    <m/>
    <n v="3218808.59"/>
    <n v="500000"/>
    <x v="18"/>
    <x v="1"/>
    <m/>
    <m/>
    <s v="TBC"/>
    <s v="TBC"/>
    <s v="TBC"/>
    <s v="TBC"/>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s v="THAO"/>
    <s v="Lori"/>
    <s v="FLEETWOOD FURNITURE"/>
    <s v="FLEETWOOD "/>
    <s v="HARD ROCK LAS VEGAS WEST TOWER"/>
    <x v="27"/>
    <n v="0"/>
    <x v="5"/>
    <s v="NEW"/>
    <s v="3. Prototype Readiness"/>
    <d v="2026-04-18T00:00:00"/>
    <s v="-"/>
    <m/>
    <s v="25% desposit, 75% period shipment"/>
    <s v="US"/>
    <s v="NV"/>
    <m/>
    <m/>
    <m/>
    <m/>
    <x v="18"/>
    <m/>
    <n v="3218808.59"/>
    <n v="1072936"/>
    <x v="19"/>
    <x v="1"/>
    <m/>
    <m/>
    <s v="TBC"/>
    <s v="TBC"/>
    <s v="TBC"/>
    <s v="TBC"/>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s v="THAO"/>
    <s v="Lori"/>
    <s v="FLEETWOOD FURNITURE"/>
    <s v="FLEETWOOD "/>
    <s v="HARD ROCK LAS VEGAS WEST TOWER"/>
    <x v="27"/>
    <n v="0"/>
    <x v="5"/>
    <s v="NEW"/>
    <s v="3. Prototype Readiness"/>
    <d v="2026-04-18T00:00:00"/>
    <s v="-"/>
    <m/>
    <s v="25% desposit, 75% period shipment"/>
    <s v="US"/>
    <s v="NV"/>
    <m/>
    <m/>
    <m/>
    <m/>
    <x v="18"/>
    <m/>
    <n v="3218808.59"/>
    <n v="572936"/>
    <x v="16"/>
    <x v="1"/>
    <m/>
    <m/>
    <s v="TBC"/>
    <s v="TBC"/>
    <s v="TBC"/>
    <s v="TBC"/>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s v="DUNG"/>
    <m/>
    <s v="FLEETWOOD FURNITURE"/>
    <s v="FLEETWOOD "/>
    <s v="HWVP PHASE 2"/>
    <x v="28"/>
    <n v="1"/>
    <x v="0"/>
    <s v="REO"/>
    <s v="8. Shipment"/>
    <d v="2025-12-04T00:00:00"/>
    <d v="2026-01-02T00:00:00"/>
    <m/>
    <s v="25% desposit, 75% period shipment"/>
    <s v="US"/>
    <s v="HI"/>
    <m/>
    <m/>
    <m/>
    <m/>
    <x v="19"/>
    <m/>
    <n v="7015.5"/>
    <n v="7015.5"/>
    <x v="7"/>
    <x v="0"/>
    <s v="Apr"/>
    <m/>
    <d v="2026-04-04T00:00:00"/>
    <d v="2026-04-04T00:00:00"/>
    <s v="2026/W14"/>
    <s v="2026/W14"/>
    <s v="Approved"/>
    <m/>
    <m/>
    <s v="Approved"/>
    <m/>
    <m/>
    <m/>
    <m/>
    <m/>
    <m/>
    <m/>
    <m/>
    <m/>
    <m/>
    <m/>
    <m/>
    <m/>
    <m/>
    <m/>
    <m/>
    <m/>
    <s v="Complete"/>
    <m/>
    <s v="READY"/>
    <m/>
  </r>
  <r>
    <x v="1"/>
    <x v="0"/>
    <s v="SANG"/>
    <m/>
    <s v="THE PARKER COMPANY"/>
    <s v="THE PARKER"/>
    <s v="JAMES NY NOMAD"/>
    <x v="29"/>
    <n v="1"/>
    <x v="6"/>
    <s v="REO"/>
    <s v="8. Shipment"/>
    <d v="2026-01-09T00:00:00"/>
    <d v="2026-01-09T00:00:00"/>
    <m/>
    <s v=""/>
    <s v="US"/>
    <s v="NY"/>
    <m/>
    <m/>
    <m/>
    <m/>
    <x v="6"/>
    <m/>
    <n v="3167.51"/>
    <n v="3167.51"/>
    <x v="0"/>
    <x v="0"/>
    <d v="2026-05-10T00:00:00"/>
    <m/>
    <d v="2026-04-04T00:00:00"/>
    <d v="2026-04-04T00:00:00"/>
    <s v="2026/W14"/>
    <s v="2026/W14"/>
    <s v="Approved"/>
    <m/>
    <m/>
    <s v="Approved"/>
    <m/>
    <m/>
    <s v="N/A"/>
    <m/>
    <m/>
    <s v="Approved"/>
    <m/>
    <m/>
    <s v="N/A"/>
    <m/>
    <m/>
    <s v="Approved"/>
    <m/>
    <m/>
    <s v="COM"/>
    <m/>
    <m/>
    <s v="Complete"/>
    <m/>
    <s v="NPI: Fabric is com for SW14"/>
    <m/>
  </r>
  <r>
    <x v="1"/>
    <x v="0"/>
    <s v="DUONG"/>
    <m/>
    <s v="KD TRAVIS BLOCK HOLDCO, LLC"/>
    <s v="KD"/>
    <s v="KNOX DALLAS"/>
    <x v="30"/>
    <n v="1"/>
    <x v="0"/>
    <s v="NEW"/>
    <s v="8. Shipment"/>
    <d v="2025-04-01T00:00:00"/>
    <d v="2026-04-01T00:00:00"/>
    <m/>
    <s v=""/>
    <s v="US"/>
    <s v="TX"/>
    <m/>
    <m/>
    <m/>
    <m/>
    <x v="20"/>
    <m/>
    <n v="103174.91"/>
    <n v="22782.880000000001"/>
    <x v="13"/>
    <x v="0"/>
    <d v="2025-08-22T00:00:00"/>
    <d v="2026-03-27T00:00:00"/>
    <d v="2026-04-04T00:00:00"/>
    <d v="2026-04-04T00:00:00"/>
    <s v="2026/W14"/>
    <s v="2026/W14"/>
    <s v="Approved"/>
    <m/>
    <d v="2025-06-05T00:00:00"/>
    <s v="Approved"/>
    <m/>
    <m/>
    <s v="Approved"/>
    <m/>
    <m/>
    <s v="Approved"/>
    <m/>
    <m/>
    <s v="Approved"/>
    <m/>
    <m/>
    <s v="Approved"/>
    <m/>
    <m/>
    <s v="COM"/>
    <m/>
    <m/>
    <s v="Complete"/>
    <m/>
    <s v="READY"/>
    <m/>
  </r>
  <r>
    <x v="1"/>
    <x v="0"/>
    <s v="DUONG"/>
    <m/>
    <s v="KD TRAVIS BLOCK HOLDCO, LLC"/>
    <s v="KD"/>
    <s v="KNOX DALLAS"/>
    <x v="30"/>
    <n v="0"/>
    <x v="0"/>
    <s v="NEW"/>
    <s v="8. Shipment"/>
    <d v="2025-04-01T00:00:00"/>
    <d v="2026-04-01T00:00:00"/>
    <m/>
    <s v=""/>
    <s v="US"/>
    <s v="TX"/>
    <m/>
    <m/>
    <m/>
    <m/>
    <x v="20"/>
    <m/>
    <n v="103174.91"/>
    <n v="45565.760000000002"/>
    <x v="7"/>
    <x v="0"/>
    <d v="2025-08-22T00:00:00"/>
    <d v="2026-03-27T00:00:00"/>
    <d v="2026-04-04T00:00:00"/>
    <d v="2026-04-04T00:00:00"/>
    <s v="2026/W14"/>
    <s v="2026/W14"/>
    <s v="Approved"/>
    <m/>
    <d v="2025-06-05T00:00:00"/>
    <s v="Approved"/>
    <m/>
    <m/>
    <s v="Approved"/>
    <m/>
    <m/>
    <s v="Approved"/>
    <m/>
    <m/>
    <s v="Approved"/>
    <m/>
    <m/>
    <s v="Approved"/>
    <m/>
    <m/>
    <s v="COM"/>
    <m/>
    <m/>
    <s v="Complete"/>
    <m/>
    <s v="READY"/>
    <m/>
  </r>
  <r>
    <x v="1"/>
    <x v="0"/>
    <s v="DUONG"/>
    <m/>
    <s v="KD TRAVIS BLOCK HOLDCO, LLC"/>
    <s v="KD"/>
    <s v="KNOX DALLAS"/>
    <x v="30"/>
    <n v="0"/>
    <x v="0"/>
    <s v="NEW"/>
    <s v="8. Shipment"/>
    <d v="2025-04-01T00:00:00"/>
    <d v="2026-04-01T00:00:00"/>
    <m/>
    <s v=""/>
    <s v="US"/>
    <s v="TX"/>
    <m/>
    <m/>
    <m/>
    <m/>
    <x v="20"/>
    <m/>
    <n v="103174.91"/>
    <n v="22783"/>
    <x v="7"/>
    <x v="0"/>
    <d v="2025-08-22T00:00:00"/>
    <d v="2026-03-27T00:00:00"/>
    <d v="2026-04-04T00:00:00"/>
    <d v="2026-04-04T00:00:00"/>
    <s v="2026/W14"/>
    <s v="2026/W14"/>
    <s v="Approved"/>
    <m/>
    <d v="2025-06-05T00:00:00"/>
    <s v="Approved"/>
    <m/>
    <m/>
    <s v="Approved"/>
    <m/>
    <m/>
    <s v="Approved"/>
    <m/>
    <m/>
    <s v="Approved"/>
    <m/>
    <m/>
    <s v="Approved"/>
    <m/>
    <m/>
    <s v="COM"/>
    <m/>
    <m/>
    <s v="Complete"/>
    <m/>
    <s v="READY"/>
    <m/>
  </r>
  <r>
    <x v="1"/>
    <x v="0"/>
    <s v="DUONG"/>
    <m/>
    <s v="KD TRAVIS BLOCK HOLDCO, LLC"/>
    <s v="KD"/>
    <s v="KNOX DALLAS"/>
    <x v="30"/>
    <n v="0"/>
    <x v="3"/>
    <s v="NEW"/>
    <s v="8. Shipment"/>
    <d v="2025-04-01T00:00:00"/>
    <d v="2026-04-01T00:00:00"/>
    <m/>
    <s v=""/>
    <s v="US"/>
    <s v="TX"/>
    <n v="0"/>
    <n v="0"/>
    <m/>
    <m/>
    <x v="20"/>
    <m/>
    <n v="103174.91"/>
    <n v="98663.93"/>
    <x v="8"/>
    <x v="0"/>
    <d v="2025-08-22T00:00:00"/>
    <d v="2026-08-21T00:00:00"/>
    <d v="2026-09-25T00:00:00"/>
    <d v="2026-12-27T00:00:00"/>
    <s v="2026/W39"/>
    <s v="2026/W52"/>
    <s v="Approved"/>
    <m/>
    <d v="2025-06-05T00:00:00"/>
    <s v="Approved"/>
    <m/>
    <m/>
    <s v="Approved"/>
    <m/>
    <m/>
    <s v="Approved"/>
    <m/>
    <m/>
    <s v="Approved"/>
    <m/>
    <m/>
    <s v="Approved"/>
    <m/>
    <m/>
    <s v="COM"/>
    <m/>
    <s v="COM Pending"/>
    <s v="Active"/>
    <m/>
    <s v="NPI: Fabric is com for SW52"/>
    <m/>
  </r>
  <r>
    <x v="1"/>
    <x v="0"/>
    <s v="DUONG"/>
    <m/>
    <s v="KD TRAVIS BLOCK HOLDCO, LLC"/>
    <s v="KD"/>
    <s v="KNOX DALLAS SUITE"/>
    <x v="31"/>
    <n v="1"/>
    <x v="3"/>
    <s v="REO"/>
    <s v="7. Mass Production"/>
    <d v="2026-03-19T00:00:00"/>
    <d v="2026-01-31T00:00:00"/>
    <m/>
    <s v=""/>
    <s v="US"/>
    <s v="TX"/>
    <n v="29"/>
    <n v="48"/>
    <m/>
    <m/>
    <x v="2"/>
    <m/>
    <n v="388861"/>
    <n v="96035.81"/>
    <x v="9"/>
    <x v="0"/>
    <d v="2026-05-15T00:00:00"/>
    <d v="2026-11-13T00:00:00"/>
    <d v="2026-09-25T00:00:00"/>
    <d v="2026-12-27T00:00:00"/>
    <s v="2026/W39"/>
    <s v="2026/W52"/>
    <s v="Approved"/>
    <m/>
    <d v="2025-10-03T00:00:00"/>
    <s v="Approved"/>
    <m/>
    <m/>
    <s v="Approved"/>
    <m/>
    <m/>
    <s v="Approved"/>
    <m/>
    <m/>
    <s v="Approved"/>
    <m/>
    <m/>
    <s v="N/A"/>
    <m/>
    <m/>
    <s v="COM"/>
    <m/>
    <s v="COM Pending"/>
    <s v="Active"/>
    <m/>
    <s v="NPI: Fabric is com for SW52"/>
    <m/>
  </r>
  <r>
    <x v="1"/>
    <x v="0"/>
    <s v="DUONG"/>
    <m/>
    <s v="KD TRAVIS BLOCK HOLDCO, LLC"/>
    <s v="KD"/>
    <s v="KNOX DALLAS SUITE"/>
    <x v="32"/>
    <n v="1"/>
    <x v="3"/>
    <s v="REO"/>
    <s v="7. Mass Production"/>
    <d v="2025-12-10T00:00:00"/>
    <d v="2026-01-31T00:00:00"/>
    <m/>
    <s v=""/>
    <s v="US"/>
    <s v="TX"/>
    <n v="29"/>
    <n v="48"/>
    <m/>
    <m/>
    <x v="2"/>
    <m/>
    <n v="388861"/>
    <n v="130333"/>
    <x v="10"/>
    <x v="0"/>
    <d v="2026-05-15T00:00:00"/>
    <d v="2026-11-13T00:00:00"/>
    <d v="2026-09-25T00:00:00"/>
    <d v="2026-12-27T00:00:00"/>
    <s v="2026/W39"/>
    <s v="2026/W52"/>
    <s v="Approved"/>
    <m/>
    <d v="2025-10-03T00:00:00"/>
    <s v="Approved"/>
    <m/>
    <m/>
    <s v="Approved"/>
    <m/>
    <m/>
    <s v="Approved"/>
    <m/>
    <m/>
    <s v="Approved"/>
    <m/>
    <m/>
    <s v="N/A"/>
    <m/>
    <m/>
    <s v="COM"/>
    <m/>
    <s v="COM Pending"/>
    <s v="Active"/>
    <m/>
    <s v="NPI: Fabric is com for SW52"/>
    <m/>
  </r>
  <r>
    <x v="1"/>
    <x v="0"/>
    <s v="DUONG"/>
    <m/>
    <s v="KD TRAVIS BLOCK HOLDCO, LLC"/>
    <s v="KD"/>
    <s v="KNOX DALLAS SUITE"/>
    <x v="32"/>
    <n v="0"/>
    <x v="3"/>
    <s v="REO"/>
    <s v="7. Mass Production"/>
    <d v="2025-12-10T00:00:00"/>
    <d v="2026-01-31T00:00:00"/>
    <m/>
    <s v=""/>
    <s v="US"/>
    <s v="TX"/>
    <n v="29"/>
    <n v="48"/>
    <m/>
    <m/>
    <x v="2"/>
    <m/>
    <n v="388861"/>
    <n v="14972"/>
    <x v="10"/>
    <x v="0"/>
    <d v="2026-05-15T00:00:00"/>
    <d v="2026-11-13T00:00:00"/>
    <d v="2026-09-25T00:00:00"/>
    <d v="2026-12-27T00:00:00"/>
    <s v="2026/W39"/>
    <s v="2026/W52"/>
    <s v="Approved"/>
    <m/>
    <d v="2025-10-03T00:00:00"/>
    <s v="Approved"/>
    <m/>
    <m/>
    <s v="Approved"/>
    <m/>
    <m/>
    <s v="Approved"/>
    <m/>
    <m/>
    <s v="Approved"/>
    <m/>
    <m/>
    <s v="N/A"/>
    <m/>
    <m/>
    <s v="COM"/>
    <m/>
    <s v="COM Pending"/>
    <s v="Active"/>
    <m/>
    <s v="NPI: Fabric is com for SW52"/>
    <m/>
  </r>
  <r>
    <x v="1"/>
    <x v="0"/>
    <s v="DUONG"/>
    <m/>
    <s v="KD TRAVIS BLOCK HOLDCO, LLC"/>
    <s v="KD"/>
    <s v="KNOX DALLAS SUITE"/>
    <x v="32"/>
    <n v="0"/>
    <x v="3"/>
    <s v="REO"/>
    <s v="7. Mass Production"/>
    <d v="2025-12-10T00:00:00"/>
    <d v="2026-01-31T00:00:00"/>
    <m/>
    <s v=""/>
    <s v="US"/>
    <s v="TX"/>
    <n v="29"/>
    <n v="48"/>
    <m/>
    <m/>
    <x v="2"/>
    <m/>
    <n v="388861"/>
    <n v="60900"/>
    <x v="15"/>
    <x v="0"/>
    <d v="2026-05-15T00:00:00"/>
    <d v="2026-11-13T00:00:00"/>
    <d v="2026-09-25T00:00:00"/>
    <d v="2026-12-27T00:00:00"/>
    <s v="2026/W39"/>
    <s v="2026/W52"/>
    <s v="Approved"/>
    <m/>
    <d v="2025-10-03T00:00:00"/>
    <s v="Approved"/>
    <m/>
    <m/>
    <s v="Approved"/>
    <m/>
    <m/>
    <s v="Approved"/>
    <m/>
    <m/>
    <s v="Approved"/>
    <m/>
    <m/>
    <s v="N/A"/>
    <m/>
    <m/>
    <s v="COM"/>
    <m/>
    <s v="COM Pending"/>
    <s v="Active"/>
    <m/>
    <s v="NPI: Fabric is com for SW52"/>
    <m/>
  </r>
  <r>
    <x v="1"/>
    <x v="0"/>
    <s v="THU"/>
    <m/>
    <s v="AHMADIAH CONTRACTING &amp; TRADING CO.-BRANCH KSA"/>
    <s v="AHMADIAH"/>
    <s v="MARRIOTT KHOBAR"/>
    <x v="33"/>
    <n v="1"/>
    <x v="2"/>
    <s v="NEW"/>
    <m/>
    <m/>
    <s v="-"/>
    <m/>
    <s v=""/>
    <s v="SA"/>
    <s v="Saudi Arabia"/>
    <m/>
    <m/>
    <m/>
    <m/>
    <x v="21"/>
    <m/>
    <m/>
    <m/>
    <x v="20"/>
    <x v="3"/>
    <s v="-"/>
    <m/>
    <d v="2026-04-04T00:00:00"/>
    <d v="2026-04-04T00:00:00"/>
    <s v="2026/W14"/>
    <s v="2026/W14"/>
    <m/>
    <m/>
    <m/>
    <m/>
    <m/>
    <m/>
    <m/>
    <m/>
    <m/>
    <m/>
    <m/>
    <m/>
    <m/>
    <m/>
    <m/>
    <m/>
    <m/>
    <m/>
    <m/>
    <m/>
    <m/>
    <s v="Complete"/>
    <m/>
    <s v="NPI: All development items approved/closed for SW14"/>
    <m/>
  </r>
  <r>
    <x v="1"/>
    <x v="0"/>
    <s v="THAO"/>
    <m/>
    <s v="MODERN HISTORY"/>
    <s v="MH"/>
    <s v="MH HOTEL PROJECT"/>
    <x v="34"/>
    <n v="1"/>
    <x v="0"/>
    <s v="NEW"/>
    <s v="8. Shipment"/>
    <d v="2026-02-26T00:00:00"/>
    <d v="2026-02-13T00:00:00"/>
    <m/>
    <s v=""/>
    <s v="US"/>
    <s v="NC"/>
    <m/>
    <m/>
    <m/>
    <m/>
    <x v="9"/>
    <m/>
    <n v="48755"/>
    <n v="48755"/>
    <x v="1"/>
    <x v="0"/>
    <d v="2026-06-10T00:00:00"/>
    <m/>
    <d v="2026-04-04T00:00:00"/>
    <d v="2026-04-04T00:00:00"/>
    <s v="2026/W14"/>
    <s v="2026/W14"/>
    <s v="Approved"/>
    <m/>
    <m/>
    <s v="Approved"/>
    <m/>
    <m/>
    <s v="N/A"/>
    <m/>
    <m/>
    <s v="Approved"/>
    <m/>
    <m/>
    <s v="N/A"/>
    <m/>
    <m/>
    <s v="N/A"/>
    <m/>
    <m/>
    <s v="N/A"/>
    <m/>
    <m/>
    <s v="Complete"/>
    <m/>
    <s v="READY"/>
    <m/>
  </r>
  <r>
    <x v="1"/>
    <x v="0"/>
    <s v="TUYET"/>
    <m/>
    <s v="HOTEL MOHI C/O ABSOLUTE PROCUREMENT"/>
    <s v="MOHI"/>
    <s v="MOHI APPELLATION"/>
    <x v="35"/>
    <n v="1"/>
    <x v="0"/>
    <s v="NEW"/>
    <s v="8. Shipment"/>
    <d v="2025-09-05T00:00:00"/>
    <d v="2025-09-13T00:00:00"/>
    <d v="2025-12-09T00:00:00"/>
    <s v="50% deposit, 50% prior shipment"/>
    <s v="US"/>
    <s v="CA"/>
    <m/>
    <m/>
    <m/>
    <m/>
    <x v="22"/>
    <m/>
    <n v="357775"/>
    <n v="178386"/>
    <x v="0"/>
    <x v="0"/>
    <s v="-"/>
    <m/>
    <d v="2026-04-04T00:00:00"/>
    <d v="2026-04-04T00:00:00"/>
    <s v="2026/W14"/>
    <s v="2026/W14"/>
    <s v="Approved"/>
    <m/>
    <m/>
    <s v="Approved"/>
    <m/>
    <m/>
    <s v="Approved"/>
    <m/>
    <m/>
    <s v="Approved"/>
    <m/>
    <m/>
    <s v="Approved"/>
    <m/>
    <m/>
    <s v="N/A"/>
    <m/>
    <m/>
    <s v="In Progress"/>
    <m/>
    <m/>
    <s v="Complete"/>
    <m/>
    <s v="READY"/>
    <m/>
  </r>
  <r>
    <x v="1"/>
    <x v="0"/>
    <s v="TUYET"/>
    <m/>
    <s v="HOTEL MOHI C/O ABSOLUTE PROCUREMENT"/>
    <s v="MOHI"/>
    <s v="MOHI APPELLATION"/>
    <x v="35"/>
    <n v="0"/>
    <x v="0"/>
    <s v="NEW"/>
    <s v="8. Shipment"/>
    <d v="2025-09-05T00:00:00"/>
    <d v="2025-09-13T00:00:00"/>
    <d v="2025-12-09T00:00:00"/>
    <s v="50% deposit, 50% prior shipment"/>
    <s v="US"/>
    <s v="CA"/>
    <m/>
    <m/>
    <m/>
    <m/>
    <x v="22"/>
    <m/>
    <n v="357775"/>
    <n v="179389"/>
    <x v="1"/>
    <x v="0"/>
    <s v="-"/>
    <m/>
    <d v="2026-04-04T00:00:00"/>
    <d v="2026-04-04T00:00:00"/>
    <s v="2026/W14"/>
    <s v="2026/W14"/>
    <s v="Approved"/>
    <m/>
    <m/>
    <s v="Approved"/>
    <m/>
    <m/>
    <s v="Approved"/>
    <m/>
    <m/>
    <s v="Approved"/>
    <m/>
    <m/>
    <s v="Approved"/>
    <m/>
    <m/>
    <s v="N/A"/>
    <m/>
    <m/>
    <s v="In Progress"/>
    <m/>
    <m/>
    <s v="Complete"/>
    <m/>
    <s v="READY"/>
    <m/>
  </r>
  <r>
    <x v="1"/>
    <x v="0"/>
    <s v="DUY"/>
    <s v="Aaron Newell"/>
    <s v="HOTEL MOHI C/O ABSOLUTE PROCUREMENT"/>
    <s v="MOHI"/>
    <s v="MOHI APPELLATION"/>
    <x v="36"/>
    <n v="1"/>
    <x v="3"/>
    <s v="NEW"/>
    <s v="7. Mass Production"/>
    <d v="2026-05-02T00:00:00"/>
    <d v="2026-05-02T00:00:00"/>
    <m/>
    <s v="50% deposit, 50% prior shipment"/>
    <s v="US"/>
    <s v="CA"/>
    <n v="0"/>
    <n v="0"/>
    <m/>
    <m/>
    <x v="23"/>
    <m/>
    <n v="100242"/>
    <n v="49464"/>
    <x v="9"/>
    <x v="0"/>
    <s v="-"/>
    <m/>
    <d v="2026-09-25T00:00:00"/>
    <d v="2026-10-09T00:00:00"/>
    <s v="2026/W39"/>
    <s v="2026/W41"/>
    <s v="Approved"/>
    <m/>
    <d v="2026-06-18T00:00:00"/>
    <s v="Approved"/>
    <m/>
    <m/>
    <s v="Approved"/>
    <m/>
    <m/>
    <s v="Approved"/>
    <m/>
    <m/>
    <s v="N/A"/>
    <m/>
    <m/>
    <s v="N/A"/>
    <m/>
    <m/>
    <s v="Approved"/>
    <m/>
    <m/>
    <s v="Active"/>
    <m/>
    <s v="NPI: All development items approved/closed for SW41"/>
    <s v="Waiting boooking"/>
  </r>
  <r>
    <x v="1"/>
    <x v="0"/>
    <s v="DUY"/>
    <s v="Aaron Newell"/>
    <s v="HOTEL MOHI C/O ABSOLUTE PROCUREMENT"/>
    <s v="MOHI"/>
    <s v="MOHI APPELLATION"/>
    <x v="36"/>
    <n v="0"/>
    <x v="3"/>
    <s v="NEW"/>
    <s v="7. Mass Production"/>
    <d v="2026-05-02T00:00:00"/>
    <d v="2026-05-02T00:00:00"/>
    <m/>
    <s v="50% deposit, 50% prior shipment"/>
    <s v="US"/>
    <s v="CA"/>
    <n v="0"/>
    <n v="0"/>
    <m/>
    <m/>
    <x v="23"/>
    <m/>
    <n v="100242"/>
    <n v="50779"/>
    <x v="9"/>
    <x v="0"/>
    <s v="-"/>
    <m/>
    <d v="2026-09-25T00:00:00"/>
    <d v="2026-10-09T00:00:00"/>
    <s v="2026/W39"/>
    <s v="2026/W41"/>
    <s v="Approved"/>
    <m/>
    <d v="2026-06-18T00:00:00"/>
    <s v="Approved"/>
    <m/>
    <m/>
    <s v="Approved"/>
    <m/>
    <m/>
    <s v="Approved"/>
    <m/>
    <m/>
    <s v="N/A"/>
    <m/>
    <m/>
    <s v="N/A"/>
    <m/>
    <m/>
    <s v="Approved"/>
    <m/>
    <m/>
    <s v="Active"/>
    <m/>
    <s v="NPI: All development items approved/closed for SW41"/>
    <s v="Waiting boooking"/>
  </r>
  <r>
    <x v="1"/>
    <x v="0"/>
    <s v="TBC"/>
    <m/>
    <s v="LANG &amp; SCHWANDER LLC"/>
    <s v="L&amp;S"/>
    <s v="RITZ CARLTON COTTON BAY"/>
    <x v="37"/>
    <n v="1"/>
    <x v="1"/>
    <s v="NEW"/>
    <s v="3. Prototype Readiness"/>
    <d v="2025-04-11T00:00:00"/>
    <s v="-"/>
    <m/>
    <s v="50% deposit, 50% prior shipment"/>
    <s v="BS"/>
    <s v="Bahamas"/>
    <n v="0"/>
    <n v="0"/>
    <m/>
    <m/>
    <x v="24"/>
    <m/>
    <n v="3134000"/>
    <n v="1044666.66666667"/>
    <x v="17"/>
    <x v="1"/>
    <s v="-"/>
    <m/>
    <d v="2026-04-04T00:00:00"/>
    <d v="2026-04-04T00:00:00"/>
    <s v="2026/W14"/>
    <s v="2026/W14"/>
    <s v="Approved"/>
    <m/>
    <m/>
    <m/>
    <m/>
    <m/>
    <m/>
    <m/>
    <m/>
    <m/>
    <m/>
    <m/>
    <m/>
    <m/>
    <m/>
    <m/>
    <m/>
    <m/>
    <m/>
    <m/>
    <m/>
    <s v="Active"/>
    <m/>
    <s v="NPI: All development items approved/closed for SW14"/>
    <m/>
  </r>
  <r>
    <x v="1"/>
    <x v="0"/>
    <s v="TBC"/>
    <m/>
    <s v="LANG &amp; SCHWANDER LLC"/>
    <s v="L&amp;S"/>
    <s v="RITZ CARLTON COTTON BAY"/>
    <x v="37"/>
    <n v="0"/>
    <x v="1"/>
    <s v="NEW"/>
    <s v="3. Prototype Readiness"/>
    <d v="2025-04-11T00:00:00"/>
    <s v="-"/>
    <m/>
    <s v="50% deposit, 50% prior shipment"/>
    <s v="BS"/>
    <s v="Bahamas"/>
    <n v="0"/>
    <n v="0"/>
    <m/>
    <m/>
    <x v="24"/>
    <m/>
    <n v="3134000"/>
    <n v="1044666.66666667"/>
    <x v="21"/>
    <x v="1"/>
    <s v="-"/>
    <m/>
    <d v="2026-04-04T00:00:00"/>
    <d v="2026-04-04T00:00:00"/>
    <s v="2026/W14"/>
    <s v="2026/W14"/>
    <s v="Approved"/>
    <m/>
    <m/>
    <m/>
    <m/>
    <m/>
    <m/>
    <m/>
    <m/>
    <m/>
    <m/>
    <m/>
    <m/>
    <m/>
    <m/>
    <m/>
    <m/>
    <m/>
    <m/>
    <m/>
    <m/>
    <s v="Active"/>
    <m/>
    <s v="NPI: All development items approved/closed for SW14"/>
    <m/>
  </r>
  <r>
    <x v="1"/>
    <x v="0"/>
    <s v="TBC"/>
    <m/>
    <s v="LANG &amp; SCHWANDER LLC"/>
    <s v="L&amp;S"/>
    <s v="RITZ CARLTON COTTON BAY"/>
    <x v="37"/>
    <n v="0"/>
    <x v="1"/>
    <s v="NEW"/>
    <s v="3. Prototype Readiness"/>
    <d v="2025-04-11T00:00:00"/>
    <s v="-"/>
    <m/>
    <s v="50% deposit, 50% prior shipment"/>
    <s v="BS"/>
    <s v="Bahamas"/>
    <n v="0"/>
    <n v="0"/>
    <m/>
    <m/>
    <x v="24"/>
    <m/>
    <n v="3134000"/>
    <n v="1044666.66666667"/>
    <x v="22"/>
    <x v="1"/>
    <s v="-"/>
    <m/>
    <d v="2026-04-04T00:00:00"/>
    <d v="2026-04-04T00:00:00"/>
    <s v="2026/W14"/>
    <s v="2026/W14"/>
    <s v="Approved"/>
    <m/>
    <m/>
    <m/>
    <m/>
    <m/>
    <m/>
    <m/>
    <m/>
    <m/>
    <m/>
    <m/>
    <m/>
    <m/>
    <m/>
    <m/>
    <m/>
    <m/>
    <m/>
    <m/>
    <m/>
    <s v="Active"/>
    <m/>
    <s v="NPI: All development items approved/closed for SW14"/>
    <m/>
  </r>
  <r>
    <x v="1"/>
    <x v="0"/>
    <s v="THAO"/>
    <m/>
    <s v="PLUS CORPORATION"/>
    <s v="PLUS CORPORATION"/>
    <s v="SOHO HOUSE TOKYO"/>
    <x v="38"/>
    <n v="1"/>
    <x v="0"/>
    <s v="NEW"/>
    <s v="8. Shipment"/>
    <d v="2025-10-18T00:00:00"/>
    <d v="2026-03-06T00:00:00"/>
    <m/>
    <s v="50% deposit, 50% prior shipment"/>
    <s v="JP"/>
    <s v="Japan"/>
    <m/>
    <m/>
    <m/>
    <m/>
    <x v="25"/>
    <m/>
    <n v="24012"/>
    <n v="21344"/>
    <x v="13"/>
    <x v="0"/>
    <d v="2026-04-18T00:00:00"/>
    <m/>
    <d v="2026-04-04T00:00:00"/>
    <d v="2026-04-04T00:00:00"/>
    <s v="2026/W14"/>
    <s v="2026/W14"/>
    <s v="Approved"/>
    <m/>
    <d v="2025-10-31T00:00:00"/>
    <s v="Approved"/>
    <m/>
    <d v="2025-11-25T00:00:00"/>
    <s v="Approved"/>
    <m/>
    <d v="2025-11-25T00:00:00"/>
    <s v="Approved"/>
    <m/>
    <d v="2025-11-25T00:00:00"/>
    <s v="N/A"/>
    <m/>
    <m/>
    <s v="N/A"/>
    <m/>
    <m/>
    <s v="COM Received "/>
    <m/>
    <m/>
    <s v="Complete"/>
    <m/>
    <s v="READY"/>
    <m/>
  </r>
  <r>
    <x v="1"/>
    <x v="0"/>
    <s v="THAO"/>
    <m/>
    <s v="PLUS CORPORATION"/>
    <s v="PLUS CORPORATION"/>
    <s v="SOHO HOUSE TOKYO"/>
    <x v="38"/>
    <n v="0"/>
    <x v="0"/>
    <s v="REO"/>
    <s v="8. Shipment"/>
    <d v="2025-03-03T00:00:00"/>
    <d v="2026-03-06T00:00:00"/>
    <m/>
    <s v="50% deposit, 50% prior shipment"/>
    <s v="JP"/>
    <s v="Japan"/>
    <m/>
    <m/>
    <m/>
    <m/>
    <x v="25"/>
    <m/>
    <n v="24012"/>
    <n v="2668"/>
    <x v="0"/>
    <x v="0"/>
    <d v="2026-04-18T00:00:00"/>
    <m/>
    <d v="2026-04-04T00:00:00"/>
    <d v="2026-04-04T00:00:00"/>
    <s v="2026/W14"/>
    <s v="2026/W14"/>
    <s v="Approved"/>
    <m/>
    <d v="2025-10-31T00:00:00"/>
    <s v="N/A"/>
    <m/>
    <d v="2025-11-25T00:00:00"/>
    <s v="Approved"/>
    <m/>
    <d v="2025-11-25T00:00:00"/>
    <s v="Approved"/>
    <m/>
    <d v="2025-11-25T00:00:00"/>
    <s v="N/A"/>
    <m/>
    <m/>
    <s v="N/A"/>
    <m/>
    <m/>
    <s v="COM Received "/>
    <m/>
    <m/>
    <s v="Complete"/>
    <m/>
    <s v="READY"/>
    <m/>
  </r>
  <r>
    <x v="1"/>
    <x v="0"/>
    <s v="THAO"/>
    <m/>
    <s v="SPECTRUM KITCHENS "/>
    <s v="SPECTRUM"/>
    <s v="1122 MADISON "/>
    <x v="39"/>
    <n v="1"/>
    <x v="0"/>
    <s v="NEW"/>
    <s v="8. Shipment"/>
    <d v="2026-03-11T00:00:00"/>
    <d v="2026-03-13T00:00:00"/>
    <d v="2026-04-02T00:00:00"/>
    <s v="50% deposit, 50% prior shipment"/>
    <s v="US"/>
    <s v="NY"/>
    <m/>
    <m/>
    <m/>
    <m/>
    <x v="26"/>
    <m/>
    <n v="93065.64"/>
    <n v="80755"/>
    <x v="2"/>
    <x v="0"/>
    <d v="2026-06-26T00:00:00"/>
    <m/>
    <d v="2026-04-04T00:00:00"/>
    <d v="2026-04-04T00:00:00"/>
    <s v="2026/W14"/>
    <s v="2026/W14"/>
    <s v="Approved"/>
    <m/>
    <d v="2026-04-04T00:00:00"/>
    <s v="Approved"/>
    <m/>
    <d v="2026-06-08T00:00:00"/>
    <s v="N/A"/>
    <m/>
    <m/>
    <s v="Approved"/>
    <m/>
    <d v="2026-05-27T00:00:00"/>
    <s v="Approved"/>
    <m/>
    <d v="2026-03-13T00:00:00"/>
    <s v="N/A"/>
    <m/>
    <m/>
    <s v="N/A"/>
    <m/>
    <m/>
    <s v="Complete"/>
    <m/>
    <s v="READY"/>
    <m/>
  </r>
  <r>
    <x v="1"/>
    <x v="0"/>
    <s v="THAO"/>
    <m/>
    <s v="SPECTRUM KITCHENS "/>
    <s v="SPECTRUM"/>
    <s v="1122 MADISON "/>
    <x v="39"/>
    <n v="0"/>
    <x v="0"/>
    <s v="NEW"/>
    <s v="8. Shipment"/>
    <d v="2026-03-11T00:00:00"/>
    <d v="2026-03-13T00:00:00"/>
    <d v="2026-04-02T00:00:00"/>
    <s v="50% deposit, 50% prior shipment"/>
    <s v="US"/>
    <s v="NY"/>
    <m/>
    <m/>
    <m/>
    <m/>
    <x v="26"/>
    <m/>
    <n v="93065.64"/>
    <n v="12310"/>
    <x v="2"/>
    <x v="0"/>
    <d v="2026-06-26T00:00:00"/>
    <m/>
    <d v="2026-04-04T00:00:00"/>
    <d v="2026-04-04T00:00:00"/>
    <s v="2026/W14"/>
    <s v="2026/W14"/>
    <s v="Approved"/>
    <m/>
    <d v="2026-04-04T00:00:00"/>
    <s v="Approved"/>
    <m/>
    <d v="2026-06-08T00:00:00"/>
    <s v="N/A"/>
    <m/>
    <m/>
    <s v="Approved"/>
    <m/>
    <d v="2026-05-27T00:00:00"/>
    <s v="Approved"/>
    <m/>
    <d v="2026-03-13T00:00:00"/>
    <s v="N/A"/>
    <m/>
    <m/>
    <s v="N/A"/>
    <m/>
    <m/>
    <s v="Complete"/>
    <m/>
    <s v="READY"/>
    <m/>
  </r>
  <r>
    <x v="1"/>
    <x v="0"/>
    <s v="THAO"/>
    <m/>
    <s v="ROCHDALE SPEARS CO LTD."/>
    <s v="RSC"/>
    <s v="THẢO ĐIỀN OFFICE"/>
    <x v="40"/>
    <n v="1"/>
    <x v="0"/>
    <s v="NEW"/>
    <s v="8. Shipment"/>
    <m/>
    <s v="-"/>
    <m/>
    <s v=""/>
    <s v="VN"/>
    <s v="Vietnam"/>
    <m/>
    <m/>
    <m/>
    <m/>
    <x v="19"/>
    <m/>
    <n v="10003.5"/>
    <n v="10003.5"/>
    <x v="13"/>
    <x v="0"/>
    <d v="2026-04-03T00:00:00"/>
    <m/>
    <d v="2026-04-04T00:00:00"/>
    <d v="2026-04-04T00:00:00"/>
    <s v="2026/W14"/>
    <s v="2026/W14"/>
    <s v="Approved"/>
    <m/>
    <d v="2026-01-15T00:00:00"/>
    <s v="Approved"/>
    <m/>
    <d v="2026-01-15T00:00:00"/>
    <m/>
    <m/>
    <s v="Approved"/>
    <n v="46037"/>
    <m/>
    <s v="Approved"/>
    <n v="46037"/>
    <m/>
    <m/>
    <s v="N/A"/>
    <m/>
    <m/>
    <s v="N/A"/>
    <m/>
    <m/>
    <s v="Complete"/>
    <m/>
    <s v="READY"/>
    <m/>
  </r>
  <r>
    <x v="1"/>
    <x v="0"/>
    <s v="DUONG"/>
    <m/>
    <s v="TRIMA  KASI LIMITED"/>
    <s v="TRIMA"/>
    <s v="JRH"/>
    <x v="41"/>
    <n v="1"/>
    <x v="0"/>
    <s v="NEW"/>
    <s v="8. Shipment"/>
    <d v="2026-03-03T00:00:00"/>
    <d v="2026-03-09T00:00:00"/>
    <m/>
    <s v="50% deposit, 50% prior shipment"/>
    <s v="JM"/>
    <s v="Jamaica"/>
    <m/>
    <m/>
    <m/>
    <m/>
    <x v="27"/>
    <m/>
    <n v="1022211"/>
    <n v="525145.19999999995"/>
    <x v="2"/>
    <x v="0"/>
    <d v="2026-07-31T00:00:00"/>
    <d v="2026-08-31T00:00:00"/>
    <d v="2026-07-13T00:00:00"/>
    <d v="2026-09-04T00:00:00"/>
    <s v="2026/W29"/>
    <s v="2026/W36"/>
    <s v="Approved"/>
    <m/>
    <d v="2026-05-22T00:00:00"/>
    <s v="Approved"/>
    <m/>
    <m/>
    <s v="N/A"/>
    <m/>
    <m/>
    <s v="Approved"/>
    <m/>
    <m/>
    <s v="N/A"/>
    <m/>
    <m/>
    <s v="N/A"/>
    <m/>
    <m/>
    <s v="COM Pending"/>
    <m/>
    <d v="2026-06-05T00:00:00"/>
    <s v="Complete"/>
    <m/>
    <s v="READY"/>
    <m/>
  </r>
  <r>
    <x v="1"/>
    <x v="0"/>
    <s v="DUONG"/>
    <m/>
    <s v="TRIMA  KASI LIMITED"/>
    <s v="TRIMA"/>
    <s v="JRH"/>
    <x v="41"/>
    <n v="0"/>
    <x v="0"/>
    <s v="NEW"/>
    <s v="8. Shipment"/>
    <d v="2026-03-03T00:00:00"/>
    <d v="2026-03-09T00:00:00"/>
    <m/>
    <s v="50% deposit, 50% prior shipment"/>
    <s v="JM"/>
    <s v="Jamaica"/>
    <m/>
    <m/>
    <m/>
    <m/>
    <x v="27"/>
    <m/>
    <n v="1022211"/>
    <n v="471952.96"/>
    <x v="3"/>
    <x v="0"/>
    <d v="2026-07-31T00:00:00"/>
    <d v="2026-08-31T00:00:00"/>
    <d v="2026-07-13T00:00:00"/>
    <d v="2026-09-04T00:00:00"/>
    <s v="2026/W29"/>
    <s v="2026/W36"/>
    <s v="Approved"/>
    <m/>
    <d v="2026-05-22T00:00:00"/>
    <s v="Approved"/>
    <m/>
    <m/>
    <s v="N/A"/>
    <m/>
    <m/>
    <s v="Approved"/>
    <m/>
    <m/>
    <s v="N/A"/>
    <m/>
    <m/>
    <s v="N/A"/>
    <m/>
    <m/>
    <s v="COM Pending"/>
    <m/>
    <d v="2026-06-05T00:00:00"/>
    <s v="Complete"/>
    <m/>
    <s v="READY"/>
    <m/>
  </r>
  <r>
    <x v="1"/>
    <x v="0"/>
    <s v="DUONG"/>
    <m/>
    <s v="TRIMA  KASI LIMITED"/>
    <s v="TRIMA"/>
    <s v="JRH"/>
    <x v="41"/>
    <n v="0"/>
    <x v="0"/>
    <s v="NEW"/>
    <s v="6. Pilot Run"/>
    <d v="2026-03-03T00:00:00"/>
    <d v="2026-03-09T00:00:00"/>
    <m/>
    <s v="50% deposit, 50% prior shipment"/>
    <s v="JM"/>
    <s v="Jamaica"/>
    <n v="0"/>
    <n v="0"/>
    <m/>
    <m/>
    <x v="27"/>
    <m/>
    <n v="1022211"/>
    <n v="38212.51"/>
    <x v="8"/>
    <x v="0"/>
    <d v="2026-07-31T00:00:00"/>
    <d v="2026-08-31T00:00:00"/>
    <d v="2026-07-13T00:00:00"/>
    <d v="2026-09-11T00:00:00"/>
    <s v="2026/W29"/>
    <s v="2026/W37"/>
    <s v="Approved"/>
    <m/>
    <d v="2026-05-22T00:00:00"/>
    <s v="Approved"/>
    <m/>
    <m/>
    <s v="N/A"/>
    <m/>
    <m/>
    <s v="Approved"/>
    <m/>
    <m/>
    <s v="N/A"/>
    <m/>
    <m/>
    <s v="N/A"/>
    <m/>
    <m/>
    <s v="COM Pending"/>
    <m/>
    <d v="2026-06-05T00:00:00"/>
    <s v="Complete"/>
    <m/>
    <s v="READY"/>
    <m/>
  </r>
  <r>
    <x v="1"/>
    <x v="1"/>
    <s v="THAO"/>
    <m/>
    <s v="LANG &amp; SCHWANDER LLC"/>
    <s v="L&amp;S"/>
    <s v="ELYSEE HOTEL"/>
    <x v="24"/>
    <n v="1"/>
    <x v="0"/>
    <s v="NEW"/>
    <s v="8. Shipment"/>
    <d v="2026-01-05T00:00:00"/>
    <d v="2025-12-18T00:00:00"/>
    <m/>
    <s v="50% deposit, 50% prior shipment"/>
    <s v="US"/>
    <s v="NY"/>
    <n v="0"/>
    <n v="0"/>
    <m/>
    <m/>
    <x v="28"/>
    <m/>
    <n v="3015.9900000000002"/>
    <n v="3015.9900000000002"/>
    <x v="8"/>
    <x v="0"/>
    <s v="-"/>
    <m/>
    <d v="2026-08-08T00:00:00"/>
    <d v="2026-09-12T00:00:00"/>
    <s v="2026/W32"/>
    <s v="2026/W37"/>
    <s v="Approved"/>
    <m/>
    <m/>
    <s v="Approved"/>
    <m/>
    <m/>
    <s v="Approved"/>
    <m/>
    <m/>
    <s v="Approved"/>
    <m/>
    <m/>
    <s v="Approved"/>
    <m/>
    <m/>
    <s v="N/A"/>
    <m/>
    <m/>
    <s v="COM Received"/>
    <m/>
    <m/>
    <s v="Complete"/>
    <m/>
    <s v="READY"/>
    <s v="Completed, waiting to load cont"/>
  </r>
  <r>
    <x v="1"/>
    <x v="1"/>
    <s v="DUNG"/>
    <m/>
    <s v="BROOKFIELD PROPERTIES"/>
    <s v="BROOKFIELD"/>
    <s v="PARK HYATT VANCOUVER"/>
    <x v="42"/>
    <n v="1"/>
    <x v="0"/>
    <s v="NEW"/>
    <s v="8. Shipment"/>
    <d v="2026-01-15T00:00:00"/>
    <d v="2026-02-02T00:00:00"/>
    <m/>
    <s v="50% deposit, 50% prior shipment"/>
    <s v="CA"/>
    <s v="Canada"/>
    <m/>
    <m/>
    <m/>
    <m/>
    <x v="3"/>
    <m/>
    <n v="14470.66"/>
    <n v="14470.66"/>
    <x v="0"/>
    <x v="0"/>
    <d v="2026-05-08T00:00:00"/>
    <m/>
    <d v="2026-04-04T00:00:00"/>
    <d v="2026-04-04T00:00:00"/>
    <s v="2026/W14"/>
    <s v="2026/W14"/>
    <s v="Approved"/>
    <m/>
    <m/>
    <s v="Approved"/>
    <m/>
    <m/>
    <s v="In Progress"/>
    <m/>
    <m/>
    <s v="In Progress"/>
    <m/>
    <m/>
    <s v="In Progress"/>
    <m/>
    <m/>
    <s v="In Progress"/>
    <m/>
    <m/>
    <s v="COM"/>
    <m/>
    <m/>
    <s v="Complete"/>
    <m/>
    <s v="READY"/>
    <m/>
  </r>
  <r>
    <x v="1"/>
    <x v="0"/>
    <s v="DUNG"/>
    <m/>
    <s v="BROOKFIELD PROPERTIES"/>
    <s v="BROOKFIELD"/>
    <s v="PARK HYATT VANCOUVER"/>
    <x v="42"/>
    <n v="1"/>
    <x v="1"/>
    <s v="NEW"/>
    <s v="4. Prototype Build"/>
    <m/>
    <m/>
    <m/>
    <s v="50% deposit, 50% prior shipment"/>
    <s v="CA"/>
    <s v="Canada"/>
    <s v="TBC"/>
    <s v="TBC"/>
    <m/>
    <m/>
    <x v="3"/>
    <m/>
    <n v="802234"/>
    <n v="401117"/>
    <x v="14"/>
    <x v="1"/>
    <s v="-"/>
    <m/>
    <s v="TBC"/>
    <s v="TBC"/>
    <s v="TBC"/>
    <s v="TBC"/>
    <s v="Not Started "/>
    <m/>
    <m/>
    <s v="Not Started "/>
    <m/>
    <m/>
    <s v="Not Started "/>
    <m/>
    <m/>
    <s v="Not Started "/>
    <m/>
    <m/>
    <s v="Not Started "/>
    <m/>
    <m/>
    <s v="Not Started "/>
    <m/>
    <m/>
    <s v="Not Started "/>
    <m/>
    <m/>
    <s v="Active"/>
    <m/>
    <s v="NPI: All development items approved/closed for SW TBC"/>
    <m/>
  </r>
  <r>
    <x v="1"/>
    <x v="0"/>
    <s v="DUNG"/>
    <m/>
    <s v="BROOKFIELD PROPERTIES"/>
    <s v="BROOKFIELD"/>
    <s v="PARK HYATT VANCOUVER"/>
    <x v="42"/>
    <n v="0"/>
    <x v="1"/>
    <s v="NEW"/>
    <s v="4. Prototype Build"/>
    <m/>
    <m/>
    <m/>
    <s v="50% deposit, 50% prior shipment"/>
    <s v="CA"/>
    <s v="Canada"/>
    <s v="TBC"/>
    <s v="TBC"/>
    <m/>
    <m/>
    <x v="3"/>
    <m/>
    <n v="802234"/>
    <n v="401117"/>
    <x v="4"/>
    <x v="1"/>
    <s v="-"/>
    <m/>
    <s v="TBC"/>
    <s v="TBC"/>
    <s v="TBC"/>
    <s v="TBC"/>
    <s v="Not Started "/>
    <m/>
    <m/>
    <s v="Not Started "/>
    <m/>
    <m/>
    <s v="Not Started "/>
    <m/>
    <m/>
    <s v="Not Started "/>
    <m/>
    <m/>
    <s v="Not Started "/>
    <m/>
    <m/>
    <s v="Not Started "/>
    <m/>
    <m/>
    <s v="Not Started "/>
    <m/>
    <m/>
    <s v="Active"/>
    <m/>
    <s v="NPI: All development items approved/closed for SW TBC"/>
    <m/>
  </r>
  <r>
    <x v="1"/>
    <x v="1"/>
    <s v="NHI"/>
    <m/>
    <s v="FLEETWOOD FURNITURE"/>
    <s v="FLEETWOOD "/>
    <s v="W-HOTEL-LAS-VEGAS"/>
    <x v="43"/>
    <n v="1"/>
    <x v="0"/>
    <s v="NEW"/>
    <s v="8. Shipment"/>
    <d v="2025-10-09T00:00:00"/>
    <d v="2025-11-12T00:00:00"/>
    <m/>
    <s v="25% desposit, 75% period shipment"/>
    <s v="US"/>
    <s v="NV"/>
    <m/>
    <m/>
    <m/>
    <m/>
    <x v="5"/>
    <m/>
    <n v="15271.3"/>
    <n v="15271.3"/>
    <x v="13"/>
    <x v="0"/>
    <s v="-"/>
    <m/>
    <d v="2026-04-04T00:00:00"/>
    <d v="2026-04-04T00:00:00"/>
    <s v="2026/W14"/>
    <s v="2026/W14"/>
    <s v="Approved"/>
    <m/>
    <m/>
    <s v="Approved"/>
    <m/>
    <m/>
    <s v="Approved"/>
    <m/>
    <m/>
    <s v="Approved"/>
    <m/>
    <m/>
    <s v="Approved"/>
    <m/>
    <m/>
    <s v="In Progress"/>
    <m/>
    <m/>
    <s v="COM"/>
    <m/>
    <m/>
    <s v="Complete"/>
    <m/>
    <s v="READY"/>
    <m/>
  </r>
  <r>
    <x v="1"/>
    <x v="0"/>
    <s v="BIEN"/>
    <s v="Elaine"/>
    <s v="FLEETWOOD FURNITURE"/>
    <s v="FLEETWOOD "/>
    <s v="W-HOTEL-LAS-VEGAS"/>
    <x v="43"/>
    <n v="1"/>
    <x v="1"/>
    <s v="NEW"/>
    <s v="4. Prototype Build"/>
    <d v="2025-10-09T00:00:00"/>
    <s v="PENDING"/>
    <s v="PENDING"/>
    <s v="25% desposit, 75% period shipment"/>
    <s v="US"/>
    <s v="NV"/>
    <n v="0"/>
    <n v="0"/>
    <m/>
    <m/>
    <x v="5"/>
    <m/>
    <n v="3466407"/>
    <n v="1155469"/>
    <x v="14"/>
    <x v="1"/>
    <s v="-"/>
    <m/>
    <s v="TBC"/>
    <s v="TBC"/>
    <s v="TBC"/>
    <s v="TBC"/>
    <s v="Approved"/>
    <m/>
    <m/>
    <m/>
    <m/>
    <m/>
    <m/>
    <m/>
    <m/>
    <m/>
    <m/>
    <m/>
    <m/>
    <m/>
    <m/>
    <m/>
    <m/>
    <m/>
    <m/>
    <m/>
    <m/>
    <s v="Active"/>
    <m/>
    <s v="NPI: All development items approved/closed for SW TBC"/>
    <m/>
  </r>
  <r>
    <x v="1"/>
    <x v="0"/>
    <s v="BIEN"/>
    <s v="Elaine"/>
    <s v="FLEETWOOD FURNITURE"/>
    <s v="FLEETWOOD "/>
    <s v="W-HOTEL-LAS-VEGAS"/>
    <x v="43"/>
    <n v="0"/>
    <x v="1"/>
    <s v="NEW"/>
    <s v="4. Prototype Build"/>
    <d v="2025-10-09T00:00:00"/>
    <s v="PENDING"/>
    <s v="PENDING"/>
    <s v="25% desposit, 75% period shipment"/>
    <s v="US"/>
    <s v="NV"/>
    <n v="0"/>
    <n v="0"/>
    <m/>
    <m/>
    <x v="5"/>
    <m/>
    <n v="3466407"/>
    <n v="1155469"/>
    <x v="4"/>
    <x v="1"/>
    <s v="-"/>
    <m/>
    <s v="TBC"/>
    <s v="TBC"/>
    <s v="TBC"/>
    <s v="TBC"/>
    <s v="Approved"/>
    <m/>
    <m/>
    <m/>
    <m/>
    <m/>
    <m/>
    <m/>
    <m/>
    <m/>
    <m/>
    <m/>
    <m/>
    <m/>
    <m/>
    <m/>
    <m/>
    <m/>
    <m/>
    <m/>
    <m/>
    <s v="Active"/>
    <m/>
    <s v="NPI: All development items approved/closed for SW TBC"/>
    <m/>
  </r>
  <r>
    <x v="1"/>
    <x v="0"/>
    <s v="BIEN"/>
    <s v="Elaine"/>
    <s v="FLEETWOOD FURNITURE"/>
    <s v="FLEETWOOD "/>
    <s v="W-HOTEL-LAS-VEGAS"/>
    <x v="43"/>
    <n v="0"/>
    <x v="1"/>
    <s v="NEW"/>
    <s v="4. Prototype Build"/>
    <d v="2025-10-09T00:00:00"/>
    <s v="PENDING"/>
    <s v="PENDING"/>
    <s v="25% desposit, 75% period shipment"/>
    <s v="US"/>
    <s v="NV"/>
    <n v="0"/>
    <n v="0"/>
    <m/>
    <m/>
    <x v="5"/>
    <m/>
    <n v="3466407"/>
    <n v="1155469"/>
    <x v="5"/>
    <x v="1"/>
    <s v="-"/>
    <m/>
    <s v="TBC"/>
    <s v="TBC"/>
    <s v="TBC"/>
    <s v="TBC"/>
    <s v="Approved"/>
    <m/>
    <m/>
    <m/>
    <m/>
    <m/>
    <m/>
    <m/>
    <m/>
    <m/>
    <m/>
    <m/>
    <m/>
    <m/>
    <m/>
    <m/>
    <m/>
    <m/>
    <m/>
    <m/>
    <m/>
    <s v="Active"/>
    <m/>
    <s v="NPI: All development items approved/closed for SW TBC"/>
    <m/>
  </r>
  <r>
    <x v="1"/>
    <x v="1"/>
    <s v="THAO"/>
    <m/>
    <s v="LANG &amp; SCHWANDER LLC"/>
    <s v="L&amp;S"/>
    <s v="HARD ROCK SAN JUAN"/>
    <x v="44"/>
    <n v="1"/>
    <x v="3"/>
    <s v="NEW"/>
    <s v="5. Production Readiness"/>
    <d v="2026-04-29T00:00:00"/>
    <d v="2026-06-02T00:00:00"/>
    <d v="2026-03-19T00:00:00"/>
    <s v="50% deposit, 50% prior shipment"/>
    <s v="US"/>
    <s v="PR"/>
    <n v="0"/>
    <n v="0"/>
    <m/>
    <m/>
    <x v="16"/>
    <n v="20"/>
    <n v="6614.04"/>
    <n v="6614.04"/>
    <x v="8"/>
    <x v="0"/>
    <d v="2026-07-31T00:00:00"/>
    <m/>
    <d v="2026-10-16T00:00:00"/>
    <d v="2026-10-30T00:00:00"/>
    <s v="2026/W42"/>
    <s v="2026/W44"/>
    <s v="In Progress"/>
    <m/>
    <m/>
    <s v="Pending Approval"/>
    <m/>
    <m/>
    <s v="In Progress"/>
    <m/>
    <m/>
    <s v="Pending Approval"/>
    <m/>
    <m/>
    <s v="Pending approval"/>
    <m/>
    <m/>
    <s v="In Progress"/>
    <m/>
    <m/>
    <s v="N/A"/>
    <m/>
    <m/>
    <s v="Active"/>
    <m/>
    <s v="NPD: In progress: Drawing, Marble, Electrical; Pending approval: Veneer/Wood, Metal, Mirror for SW44"/>
    <m/>
  </r>
  <r>
    <x v="1"/>
    <x v="0"/>
    <s v="THAO"/>
    <m/>
    <s v="LANG &amp; SCHWANDER LLC"/>
    <s v="L&amp;S"/>
    <s v="HARD ROCK SAN JUAN"/>
    <x v="44"/>
    <n v="1"/>
    <x v="1"/>
    <s v="NEW"/>
    <s v="5. Production Readiness"/>
    <m/>
    <m/>
    <m/>
    <s v="50% deposit, 50% prior shipment"/>
    <s v="US"/>
    <s v="PR"/>
    <n v="20"/>
    <n v="34"/>
    <m/>
    <m/>
    <x v="29"/>
    <m/>
    <n v="1500000"/>
    <n v="750000"/>
    <x v="23"/>
    <x v="1"/>
    <m/>
    <m/>
    <s v="TBC"/>
    <s v="TBC"/>
    <s v="TBC"/>
    <s v="TBC"/>
    <s v="In Progress"/>
    <m/>
    <m/>
    <m/>
    <m/>
    <m/>
    <m/>
    <m/>
    <m/>
    <m/>
    <m/>
    <m/>
    <m/>
    <m/>
    <m/>
    <m/>
    <m/>
    <m/>
    <m/>
    <m/>
    <m/>
    <s v="Active"/>
    <m/>
    <s v="NPI: In progress: Drawing for SW TBC"/>
    <m/>
  </r>
  <r>
    <x v="1"/>
    <x v="0"/>
    <s v="THAO"/>
    <m/>
    <s v="LANG &amp; SCHWANDER LLC"/>
    <s v="L&amp;S"/>
    <s v="HARD ROCK SAN JUAN"/>
    <x v="44"/>
    <n v="0"/>
    <x v="1"/>
    <s v="NEW"/>
    <s v="5. Production Readiness"/>
    <m/>
    <m/>
    <m/>
    <s v="50% deposit, 50% prior shipment"/>
    <s v="US"/>
    <s v="PR"/>
    <n v="20"/>
    <n v="34"/>
    <m/>
    <m/>
    <x v="29"/>
    <m/>
    <n v="1500000"/>
    <n v="750000"/>
    <x v="17"/>
    <x v="1"/>
    <m/>
    <m/>
    <s v="TBC"/>
    <s v="TBC"/>
    <s v="TBC"/>
    <s v="TBC"/>
    <s v="In Progress"/>
    <m/>
    <m/>
    <m/>
    <m/>
    <m/>
    <m/>
    <m/>
    <m/>
    <m/>
    <m/>
    <m/>
    <m/>
    <m/>
    <m/>
    <m/>
    <m/>
    <m/>
    <m/>
    <m/>
    <m/>
    <s v="Active"/>
    <m/>
    <s v="NPI: In progress: Drawing for SW TBC"/>
    <m/>
  </r>
  <r>
    <x v="1"/>
    <x v="1"/>
    <s v="DUNG"/>
    <m/>
    <s v="SPECTRUM KITCHENS "/>
    <s v="SPECTRUM"/>
    <s v="OTMB VANITY"/>
    <x v="45"/>
    <n v="1"/>
    <x v="3"/>
    <s v="NEW"/>
    <s v="7. Mass Production"/>
    <d v="2026-03-10T00:00:00"/>
    <d v="2026-03-18T00:00:00"/>
    <m/>
    <s v="50% deposit, 50% prior shipment"/>
    <s v="US"/>
    <s v="NY"/>
    <n v="0"/>
    <n v="0"/>
    <m/>
    <m/>
    <x v="27"/>
    <n v="4"/>
    <n v="4027.44"/>
    <n v="3273"/>
    <x v="3"/>
    <x v="0"/>
    <s v="-"/>
    <m/>
    <d v="2026-09-11T00:00:00"/>
    <d v="2026-10-02T00:00:00"/>
    <s v="2026/W37"/>
    <s v="2026/W40"/>
    <s v="Pending Approval"/>
    <m/>
    <m/>
    <s v="Pending Approval"/>
    <m/>
    <m/>
    <s v="N/A"/>
    <m/>
    <m/>
    <s v="Approved"/>
    <m/>
    <m/>
    <s v="Approved"/>
    <m/>
    <m/>
    <s v="N/A"/>
    <m/>
    <m/>
    <s v="N/A"/>
    <m/>
    <m/>
    <s v="Active"/>
    <m/>
    <s v="NPD: Pending approval: Drawing, Veneer/Wood for SW40"/>
    <m/>
  </r>
  <r>
    <x v="1"/>
    <x v="0"/>
    <s v="DUNG"/>
    <m/>
    <s v="SPECTRUM KITCHENS "/>
    <s v="SPECTRUM"/>
    <s v="OTMB VANITY"/>
    <x v="45"/>
    <n v="1"/>
    <x v="1"/>
    <s v="NEW"/>
    <s v="3. Prototype Readiness (BOM)"/>
    <m/>
    <s v="-"/>
    <m/>
    <s v="50% deposit, 50% prior shipment"/>
    <s v="US"/>
    <s v="NY"/>
    <n v="0"/>
    <n v="0"/>
    <m/>
    <m/>
    <x v="27"/>
    <m/>
    <n v="179782"/>
    <n v="179782"/>
    <x v="19"/>
    <x v="1"/>
    <s v="-"/>
    <m/>
    <s v="TBC"/>
    <s v="TBC"/>
    <s v="TBC"/>
    <s v="TBC"/>
    <s v="Not Started "/>
    <m/>
    <m/>
    <s v="Not Started "/>
    <m/>
    <m/>
    <s v="N/A"/>
    <m/>
    <m/>
    <s v="Not Started "/>
    <m/>
    <m/>
    <s v="Not Started "/>
    <m/>
    <m/>
    <s v="Not Started "/>
    <m/>
    <m/>
    <s v="Not Started "/>
    <m/>
    <m/>
    <s v="Active"/>
    <m/>
    <s v="NPI: All development items approved/closed for SW TBC"/>
    <m/>
  </r>
  <r>
    <x v="1"/>
    <x v="1"/>
    <s v="BIEN"/>
    <m/>
    <s v="AYALA INTERNATIONAL"/>
    <s v="AYALA"/>
    <s v="KHOBAR HILTON CANOPY HOTEL"/>
    <x v="46"/>
    <n v="1"/>
    <x v="0"/>
    <s v="NEW"/>
    <s v="8. Shipment"/>
    <d v="2026-05-14T00:00:00"/>
    <d v="2026-06-04T00:00:00"/>
    <d v="2026-06-24T00:00:00"/>
    <s v=""/>
    <s v="SA"/>
    <s v="Saudi Arabia"/>
    <n v="0"/>
    <n v="0"/>
    <m/>
    <m/>
    <x v="3"/>
    <n v="9"/>
    <n v="7901.24"/>
    <n v="7901.24"/>
    <x v="3"/>
    <x v="0"/>
    <d v="2026-08-03T00:00:00"/>
    <d v="2026-08-07T00:00:00"/>
    <d v="2026-08-28T00:00:00"/>
    <d v="2026-08-28T00:00:00"/>
    <s v="2026/W35"/>
    <s v="2026/W35"/>
    <s v="In Progress"/>
    <m/>
    <m/>
    <s v="In Progress"/>
    <m/>
    <m/>
    <s v="Approved"/>
    <m/>
    <d v="2026-06-23T00:00:00"/>
    <s v="Pending Approval"/>
    <m/>
    <m/>
    <s v="N/A"/>
    <m/>
    <m/>
    <s v="N/A"/>
    <m/>
    <m/>
    <s v="COM"/>
    <m/>
    <d v="2026-07-07T00:00:00"/>
    <s v="Complete"/>
    <m/>
    <s v="READY"/>
    <m/>
  </r>
  <r>
    <x v="1"/>
    <x v="1"/>
    <s v="HONG"/>
    <m/>
    <s v="BENJAMIN WEST"/>
    <s v="BENJAMIN"/>
    <s v="HACIENDA HOTEL LISBON PORTUGAL "/>
    <x v="47"/>
    <n v="1"/>
    <x v="3"/>
    <s v="NEW"/>
    <s v="2. Product &amp; Process Dev"/>
    <m/>
    <m/>
    <m/>
    <s v=""/>
    <s v="PT"/>
    <s v="Portugal"/>
    <n v="0"/>
    <n v="0"/>
    <m/>
    <m/>
    <x v="30"/>
    <n v="23"/>
    <n v="32000"/>
    <n v="32000"/>
    <x v="15"/>
    <x v="0"/>
    <m/>
    <m/>
    <d v="2026-11-13T00:00:00"/>
    <d v="2026-12-04T00:00:00"/>
    <s v="2026/W46"/>
    <s v="2026/W49"/>
    <s v="In Progress"/>
    <d v="2026-09-26T00:00:00"/>
    <m/>
    <s v="In Progress"/>
    <d v="2026-09-26T00:00:00"/>
    <m/>
    <s v="In Progress"/>
    <d v="2026-09-26T00:00:00"/>
    <m/>
    <s v="In Progress"/>
    <d v="2026-09-26T00:00:00"/>
    <m/>
    <s v="N/A"/>
    <m/>
    <m/>
    <s v="N/A"/>
    <m/>
    <m/>
    <s v="COM Pending"/>
    <m/>
    <m/>
    <s v="Active"/>
    <m/>
    <s v="NPD: In progress: Drawing, Veneer/Wood, Marble, Metal; Fabric is com pending; need approval by 26-Sep-26 for SW49"/>
    <m/>
  </r>
  <r>
    <x v="1"/>
    <x v="0"/>
    <s v="HONG"/>
    <m/>
    <s v="BENJAMIN WEST"/>
    <s v="BENJAMIN"/>
    <s v="HACIENDA HOTEL LISBON PORTUGAL "/>
    <x v="47"/>
    <n v="1"/>
    <x v="1"/>
    <s v="NEW"/>
    <s v="1. Preliminary Design"/>
    <m/>
    <m/>
    <m/>
    <s v=""/>
    <s v="PT"/>
    <s v="Portugal"/>
    <n v="64"/>
    <n v="137"/>
    <m/>
    <m/>
    <x v="31"/>
    <m/>
    <n v="596794"/>
    <n v="596794"/>
    <x v="4"/>
    <x v="1"/>
    <m/>
    <m/>
    <s v="TBC"/>
    <s v="TBC"/>
    <s v="TBC"/>
    <s v="TBC"/>
    <s v="In Progress"/>
    <m/>
    <m/>
    <m/>
    <m/>
    <m/>
    <m/>
    <m/>
    <m/>
    <m/>
    <m/>
    <m/>
    <m/>
    <m/>
    <m/>
    <m/>
    <m/>
    <m/>
    <m/>
    <m/>
    <m/>
    <s v="Active"/>
    <m/>
    <s v="NPI: In progress: Drawing for SW TBC"/>
    <m/>
  </r>
  <r>
    <x v="0"/>
    <x v="0"/>
    <s v="SHIPPED"/>
    <s v="Sue Bilstad"/>
    <s v="RESTORATION HARDWARE_HS"/>
    <s v="RH"/>
    <s v="FOX HARBOR"/>
    <x v="3"/>
    <n v="0"/>
    <x v="0"/>
    <s v="NEW"/>
    <s v="8. Shipment"/>
    <d v="2025-09-17T00:00:00"/>
    <m/>
    <m/>
    <s v=""/>
    <m/>
    <m/>
    <m/>
    <m/>
    <m/>
    <m/>
    <x v="0"/>
    <m/>
    <n v="71837"/>
    <n v="71837"/>
    <x v="24"/>
    <x v="0"/>
    <m/>
    <m/>
    <d v="2025-01-17T00:00:00"/>
    <d v="2025-01-17T00:00:00"/>
    <s v="2025/W03"/>
    <s v="2025/W03"/>
    <s v="Approved"/>
    <m/>
    <m/>
    <s v="Approved"/>
    <m/>
    <m/>
    <s v="N/A"/>
    <m/>
    <m/>
    <s v="Approved"/>
    <m/>
    <m/>
    <s v="N/A"/>
    <m/>
    <m/>
    <s v="N/A"/>
    <m/>
    <m/>
    <s v="COM"/>
    <m/>
    <m/>
    <s v="Complete"/>
    <s v="Yes"/>
    <s v="READY"/>
    <m/>
  </r>
  <r>
    <x v="1"/>
    <x v="0"/>
    <s v="DUY"/>
    <m/>
    <s v="WOODHAUS"/>
    <s v="WOODHAUS"/>
    <s v="KNOX HENDERSON"/>
    <x v="48"/>
    <n v="1"/>
    <x v="0"/>
    <s v="NEW"/>
    <s v="8. Shipment"/>
    <d v="2026-04-16T00:00:00"/>
    <d v="2026-05-16T00:00:00"/>
    <m/>
    <s v=""/>
    <s v="US"/>
    <s v="TX"/>
    <m/>
    <m/>
    <m/>
    <m/>
    <x v="5"/>
    <m/>
    <n v="22198"/>
    <n v="22198"/>
    <x v="3"/>
    <x v="0"/>
    <d v="2026-07-15T00:00:00"/>
    <d v="2026-07-31T00:00:00"/>
    <d v="2026-08-04T00:00:00"/>
    <d v="2026-08-04T00:00:00"/>
    <s v="2026/W32"/>
    <s v="2026/W32"/>
    <s v="Approved"/>
    <m/>
    <d v="2026-05-14T00:00:00"/>
    <s v="Approved"/>
    <m/>
    <m/>
    <s v="N/A"/>
    <m/>
    <m/>
    <s v="N/A"/>
    <m/>
    <m/>
    <s v="N/A"/>
    <m/>
    <m/>
    <s v="N/A"/>
    <m/>
    <m/>
    <s v="N/A"/>
    <m/>
    <m/>
    <s v="Complete"/>
    <m/>
    <s v="READY"/>
    <m/>
  </r>
  <r>
    <x v="1"/>
    <x v="0"/>
    <s v="THAO"/>
    <m/>
    <s v="TRIMA  KASI LIMITED"/>
    <s v="TRIMA"/>
    <s v="JOIA TIERRA DEL SOL"/>
    <x v="49"/>
    <n v="1"/>
    <x v="4"/>
    <s v="NEW"/>
    <s v="1. Preliminary Design"/>
    <m/>
    <m/>
    <m/>
    <s v="50% deposit, 50% prior shipment"/>
    <s v="AR"/>
    <s v="Aruba"/>
    <n v="0"/>
    <n v="0"/>
    <m/>
    <m/>
    <x v="32"/>
    <m/>
    <n v="1131814"/>
    <n v="1131814"/>
    <x v="5"/>
    <x v="1"/>
    <m/>
    <m/>
    <s v="TBC"/>
    <s v="TBC"/>
    <s v="TBC"/>
    <s v="TBC"/>
    <s v="Not Started "/>
    <m/>
    <m/>
    <m/>
    <m/>
    <m/>
    <m/>
    <m/>
    <m/>
    <m/>
    <m/>
    <m/>
    <m/>
    <m/>
    <m/>
    <m/>
    <m/>
    <m/>
    <m/>
    <m/>
    <m/>
    <s v="Active"/>
    <m/>
    <s v="NPI: All development items approved/closed for SW TBC"/>
    <m/>
  </r>
  <r>
    <x v="1"/>
    <x v="0"/>
    <s v="THAO"/>
    <m/>
    <s v="TRIMA  KASI LIMITED"/>
    <s v="TRIMA"/>
    <s v="JOIA TIERRA DEL SOL"/>
    <x v="49"/>
    <n v="0"/>
    <x v="4"/>
    <s v="NEW"/>
    <s v="1. Preliminary Design"/>
    <m/>
    <m/>
    <m/>
    <s v="50% deposit, 50% prior shipment"/>
    <s v="AR"/>
    <s v="Aruba"/>
    <n v="0"/>
    <n v="0"/>
    <m/>
    <m/>
    <x v="32"/>
    <m/>
    <n v="1131814"/>
    <n v="1131814"/>
    <x v="6"/>
    <x v="1"/>
    <m/>
    <m/>
    <s v="TBC"/>
    <s v="TBC"/>
    <s v="TBC"/>
    <s v="TBC"/>
    <s v="Not Started "/>
    <m/>
    <m/>
    <m/>
    <m/>
    <m/>
    <m/>
    <m/>
    <m/>
    <m/>
    <m/>
    <m/>
    <m/>
    <m/>
    <m/>
    <m/>
    <m/>
    <m/>
    <m/>
    <m/>
    <m/>
    <s v="Active"/>
    <m/>
    <s v="NPI: All development items approved/closed for SW TBC"/>
    <m/>
  </r>
  <r>
    <x v="0"/>
    <x v="0"/>
    <s v="TBC"/>
    <s v="Madison Lay"/>
    <s v="RESTORATION HARDWARE_HS"/>
    <s v="RH"/>
    <s v="RED SEA"/>
    <x v="50"/>
    <n v="1"/>
    <x v="1"/>
    <s v="NEW"/>
    <s v="1. Preliminary Design"/>
    <m/>
    <m/>
    <m/>
    <s v=""/>
    <m/>
    <m/>
    <n v="0"/>
    <n v="0"/>
    <m/>
    <m/>
    <x v="32"/>
    <m/>
    <n v="1000000"/>
    <n v="1000000"/>
    <x v="23"/>
    <x v="1"/>
    <m/>
    <m/>
    <d v="2026-09-11T00:00:00"/>
    <d v="2026-09-25T00:00:00"/>
    <s v="2026/W37"/>
    <s v="2026/W39"/>
    <s v="Not Started "/>
    <m/>
    <m/>
    <m/>
    <m/>
    <m/>
    <m/>
    <m/>
    <m/>
    <m/>
    <m/>
    <m/>
    <m/>
    <m/>
    <m/>
    <m/>
    <m/>
    <m/>
    <m/>
    <m/>
    <m/>
    <s v="Active"/>
    <s v="Yes"/>
    <s v="NPI: All development items approved/closed for SW39"/>
    <m/>
  </r>
  <r>
    <x v="0"/>
    <x v="0"/>
    <s v="BIEN"/>
    <s v="Madison Lay"/>
    <s v="RESTORATION HARDWARE_HS"/>
    <s v="RH"/>
    <s v="VICEROY SUGAR BEACH - ASH WOOD VERSION"/>
    <x v="51"/>
    <n v="1"/>
    <x v="3"/>
    <s v="NEW"/>
    <s v="7. Mass Production"/>
    <d v="2026-03-23T00:00:00"/>
    <d v="2026-04-06T00:00:00"/>
    <m/>
    <s v=""/>
    <s v="LC"/>
    <s v="Saint Lucia"/>
    <n v="0"/>
    <n v="0"/>
    <m/>
    <m/>
    <x v="13"/>
    <m/>
    <n v="149029"/>
    <n v="74514.5"/>
    <x v="8"/>
    <x v="0"/>
    <d v="2026-08-07T00:00:00"/>
    <d v="2026-08-07T00:00:00"/>
    <d v="2026-09-26T00:00:00"/>
    <d v="2026-09-26T00:00:00"/>
    <s v="2026/W39"/>
    <s v="2026/W39"/>
    <s v="Approved"/>
    <m/>
    <m/>
    <s v="Approved"/>
    <m/>
    <m/>
    <s v="Approved"/>
    <m/>
    <m/>
    <s v="Approved"/>
    <m/>
    <m/>
    <s v="Approved"/>
    <m/>
    <m/>
    <s v="Approved"/>
    <m/>
    <m/>
    <s v="COM Received"/>
    <m/>
    <m/>
    <s v="Active"/>
    <s v="Yes"/>
    <s v="NPI: Fabric is com received for SW39"/>
    <m/>
  </r>
  <r>
    <x v="0"/>
    <x v="0"/>
    <s v="BIEN"/>
    <s v="Madison Lay"/>
    <s v="RESTORATION HARDWARE_HS"/>
    <s v="RH"/>
    <s v="VICEROY SUGAR BEACH - ASH WOOD VERSION"/>
    <x v="51"/>
    <n v="0"/>
    <x v="3"/>
    <s v="NEW"/>
    <s v="7. Mass Production"/>
    <d v="2026-03-23T00:00:00"/>
    <d v="2026-04-06T00:00:00"/>
    <m/>
    <s v=""/>
    <s v="LC"/>
    <s v="Saint Lucia"/>
    <n v="0"/>
    <n v="0"/>
    <m/>
    <m/>
    <x v="13"/>
    <m/>
    <n v="149029"/>
    <n v="74514.5"/>
    <x v="8"/>
    <x v="0"/>
    <d v="2026-08-07T00:00:00"/>
    <d v="2026-08-07T00:00:00"/>
    <d v="2026-09-26T00:00:00"/>
    <d v="2026-09-26T00:00:00"/>
    <s v="2026/W39"/>
    <s v="2026/W39"/>
    <s v="Approved"/>
    <m/>
    <m/>
    <s v="Approved"/>
    <m/>
    <m/>
    <s v="Approved"/>
    <m/>
    <m/>
    <s v="Approved"/>
    <m/>
    <m/>
    <s v="Approved"/>
    <m/>
    <m/>
    <s v="Approved"/>
    <m/>
    <m/>
    <s v="COM Received"/>
    <m/>
    <m/>
    <s v="Active"/>
    <s v="Yes"/>
    <s v="NPI: Fabric is com received for SW39"/>
    <m/>
  </r>
  <r>
    <x v="1"/>
    <x v="0"/>
    <s v="THAO"/>
    <m/>
    <s v="LANG &amp; SCHWANDER LLC"/>
    <s v="L&amp;S"/>
    <s v="SILVERSANDS GRAND ANSE"/>
    <x v="52"/>
    <n v="1"/>
    <x v="7"/>
    <s v="NEW"/>
    <s v="1. Preliminary Design"/>
    <m/>
    <m/>
    <m/>
    <s v="50% deposit, 50% prior shipment"/>
    <s v="Grenada (Caribbean)"/>
    <s v="St. George's:"/>
    <m/>
    <m/>
    <m/>
    <m/>
    <x v="33"/>
    <m/>
    <n v="371262"/>
    <n v="371262"/>
    <x v="12"/>
    <x v="2"/>
    <m/>
    <m/>
    <m/>
    <m/>
    <s v=""/>
    <s v=""/>
    <m/>
    <m/>
    <m/>
    <m/>
    <m/>
    <m/>
    <m/>
    <m/>
    <m/>
    <m/>
    <m/>
    <m/>
    <m/>
    <m/>
    <m/>
    <m/>
    <m/>
    <m/>
    <m/>
    <m/>
    <m/>
    <s v="Complete"/>
    <m/>
    <s v="NPI: All development items approved/closed"/>
    <m/>
  </r>
  <r>
    <x v="1"/>
    <x v="1"/>
    <s v="DUNG"/>
    <m/>
    <s v="SPECTRUM KITCHENS "/>
    <s v="SPECTRUM"/>
    <s v="PROJECT 550"/>
    <x v="53"/>
    <n v="1"/>
    <x v="3"/>
    <s v="NEW"/>
    <s v="7. Mass Production"/>
    <d v="2026-03-26T00:00:00"/>
    <m/>
    <m/>
    <s v="50% deposit, 50% prior shipment"/>
    <s v="US"/>
    <s v="TBD"/>
    <n v="0"/>
    <n v="0"/>
    <m/>
    <m/>
    <x v="27"/>
    <n v="4"/>
    <n v="6938.58"/>
    <n v="6938.58"/>
    <x v="3"/>
    <x v="0"/>
    <m/>
    <m/>
    <d v="2026-09-11T00:00:00"/>
    <d v="2026-10-02T00:00:00"/>
    <s v="2026/W37"/>
    <s v="2026/W40"/>
    <s v="Pending Approval"/>
    <m/>
    <m/>
    <s v="Pending Approval"/>
    <m/>
    <m/>
    <s v="In Progress"/>
    <m/>
    <m/>
    <s v="In Progress"/>
    <m/>
    <m/>
    <s v="In Progress"/>
    <m/>
    <m/>
    <s v="In Progress"/>
    <m/>
    <m/>
    <m/>
    <m/>
    <m/>
    <s v="Active"/>
    <m/>
    <s v="NPD: In progress: Marble, Metal, Mirror, Electrical; Pending approval: Drawing, Veneer/Wood for SW40"/>
    <m/>
  </r>
  <r>
    <x v="1"/>
    <x v="0"/>
    <s v="DUNG"/>
    <m/>
    <s v="SPECTRUM KITCHENS "/>
    <s v="SPECTRUM"/>
    <s v="PROJECT 550"/>
    <x v="53"/>
    <n v="1"/>
    <x v="1"/>
    <s v="NEW"/>
    <s v="2. Product &amp; Process Dev"/>
    <d v="2026-03-26T00:00:00"/>
    <m/>
    <m/>
    <s v="50% deposit, 50% prior shipment"/>
    <s v="US"/>
    <s v="TBD"/>
    <n v="0"/>
    <n v="0"/>
    <m/>
    <m/>
    <x v="20"/>
    <m/>
    <n v="361028.77"/>
    <n v="361028.77"/>
    <x v="16"/>
    <x v="1"/>
    <m/>
    <m/>
    <s v="TBC"/>
    <s v="TBC"/>
    <s v="TBC"/>
    <s v="TBC"/>
    <s v="In Progress"/>
    <m/>
    <m/>
    <s v="In Progress"/>
    <m/>
    <m/>
    <s v="In Progress"/>
    <m/>
    <m/>
    <s v="In Progress"/>
    <m/>
    <m/>
    <s v="In Progress"/>
    <m/>
    <m/>
    <s v="In Progress"/>
    <m/>
    <m/>
    <m/>
    <m/>
    <m/>
    <s v="Active"/>
    <m/>
    <s v="NPI: In progress: Drawing, Veneer/Wood, Marble, Metal, Mirror, Electrical for SW TBC"/>
    <m/>
  </r>
  <r>
    <x v="1"/>
    <x v="1"/>
    <s v="DUNG"/>
    <s v="Erika"/>
    <s v="FLEETWOOD FURNITURE"/>
    <s v="FLEETWOOD "/>
    <s v="AUBERGE HOUSTON MR"/>
    <x v="54"/>
    <n v="1"/>
    <x v="6"/>
    <s v="NEW"/>
    <s v="7. Mass Production"/>
    <d v="2026-03-31T00:00:00"/>
    <d v="2026-05-08T00:00:00"/>
    <d v="2026-05-29T00:00:00"/>
    <s v="25% desposit, 75% period shipment"/>
    <s v="US"/>
    <s v="TX"/>
    <n v="0"/>
    <n v="0"/>
    <m/>
    <m/>
    <x v="27"/>
    <n v="4"/>
    <n v="12609.46"/>
    <n v="15040.19"/>
    <x v="8"/>
    <x v="0"/>
    <s v="ON HOLD"/>
    <s v="ON HOLD"/>
    <s v="ON HOLD"/>
    <s v="ON HOLD"/>
    <s v="ON HOLD"/>
    <s v="ON HOLD"/>
    <s v="Pending Approval"/>
    <m/>
    <m/>
    <s v="Approved"/>
    <m/>
    <d v="2026-08-26T00:00:00"/>
    <s v="Approved"/>
    <m/>
    <d v="2026-08-26T00:00:00"/>
    <s v="In Progress"/>
    <m/>
    <m/>
    <s v="Approved"/>
    <m/>
    <d v="2026-08-26T00:00:00"/>
    <s v="Pending Approval"/>
    <m/>
    <m/>
    <s v="COM Pending"/>
    <m/>
    <m/>
    <s v="Complete"/>
    <m/>
    <s v="NPD: In progress: Metal; Pending approval: Drawing, Electrical; Fabric is com pending for SW ON HOLD"/>
    <m/>
  </r>
  <r>
    <x v="1"/>
    <x v="0"/>
    <s v="DUNG"/>
    <s v="Erika"/>
    <s v="FLEETWOOD FURNITURE"/>
    <s v="FLEETWOOD "/>
    <s v="AUBERGE HOUSTON MR"/>
    <x v="54"/>
    <n v="1"/>
    <x v="6"/>
    <s v="NEW"/>
    <s v="1. Preliminary Design"/>
    <d v="2026-05-16T00:00:00"/>
    <m/>
    <m/>
    <s v="25% desposit, 75% period shipment"/>
    <s v="US"/>
    <s v="TX"/>
    <s v="TBC"/>
    <s v="TBC"/>
    <m/>
    <m/>
    <x v="34"/>
    <m/>
    <n v="707023.48"/>
    <n v="707023.48"/>
    <x v="12"/>
    <x v="2"/>
    <m/>
    <m/>
    <s v="TBC"/>
    <s v="TBC"/>
    <s v="TBC"/>
    <s v="TBC"/>
    <s v="Not Started "/>
    <m/>
    <m/>
    <s v="Not Started "/>
    <m/>
    <m/>
    <s v="Not Started "/>
    <m/>
    <m/>
    <s v="Not Started "/>
    <m/>
    <m/>
    <s v="Not Started "/>
    <m/>
    <m/>
    <s v="Not Started "/>
    <m/>
    <m/>
    <s v="Not Started "/>
    <m/>
    <m/>
    <s v="Complete"/>
    <m/>
    <s v="NPI: All development items approved/closed for SW TBC"/>
    <m/>
  </r>
  <r>
    <x v="0"/>
    <x v="1"/>
    <s v="DUY"/>
    <s v="Madison Lay"/>
    <s v="RESTORATION HARDWARE_HS"/>
    <s v="RH"/>
    <s v="AWH TOPNOTCH"/>
    <x v="55"/>
    <n v="1"/>
    <x v="8"/>
    <s v="NEW"/>
    <s v="2. Product &amp; Process Dev"/>
    <d v="2026-04-08T00:00:00"/>
    <m/>
    <m/>
    <s v=""/>
    <s v="US"/>
    <s v="Vermont"/>
    <n v="0"/>
    <n v="0"/>
    <m/>
    <m/>
    <x v="14"/>
    <n v="17"/>
    <n v="31219.1"/>
    <n v="31219.1"/>
    <x v="15"/>
    <x v="0"/>
    <m/>
    <m/>
    <d v="2026-12-11T00:00:00"/>
    <d v="2026-12-25T00:00:00"/>
    <s v="2026/W50"/>
    <s v="2026/W52"/>
    <s v="Pending Approval"/>
    <m/>
    <m/>
    <s v="Pending Approval"/>
    <m/>
    <m/>
    <s v="Not Started"/>
    <m/>
    <m/>
    <s v="Pending Approval"/>
    <m/>
    <m/>
    <s v="N/A"/>
    <m/>
    <m/>
    <s v="In Progress"/>
    <m/>
    <m/>
    <s v="COM"/>
    <m/>
    <m/>
    <s v="Complete"/>
    <s v="Yes"/>
    <s v="NPD: In progress: Electrical; Pending approval: Drawing, Veneer/Wood, Metal; Not started: Marble; Fabric is com for SW52"/>
    <m/>
  </r>
  <r>
    <x v="0"/>
    <x v="0"/>
    <s v="DUY"/>
    <s v="Madison Lay"/>
    <s v="RESTORATION HARDWARE_HS"/>
    <s v="RH"/>
    <s v="AWH TOPNOTCH"/>
    <x v="55"/>
    <n v="1"/>
    <x v="8"/>
    <s v="NEW"/>
    <s v="1. Preliminary Design"/>
    <d v="2026-04-08T00:00:00"/>
    <m/>
    <m/>
    <s v=""/>
    <s v="US"/>
    <s v="Vermont"/>
    <n v="0"/>
    <n v="0"/>
    <m/>
    <m/>
    <x v="14"/>
    <m/>
    <n v="532175"/>
    <n v="532175"/>
    <x v="14"/>
    <x v="1"/>
    <m/>
    <m/>
    <d v="2026-03-13T00:00:00"/>
    <d v="2026-03-27T00:00:00"/>
    <s v="2026/W11"/>
    <s v="2026/W13"/>
    <s v="In Progress"/>
    <m/>
    <m/>
    <s v="Pending Approval"/>
    <m/>
    <m/>
    <s v="Not Started"/>
    <m/>
    <m/>
    <s v="Pending Approval"/>
    <m/>
    <m/>
    <s v="N/A"/>
    <m/>
    <m/>
    <s v="In Progress"/>
    <m/>
    <m/>
    <s v="COM"/>
    <m/>
    <m/>
    <s v="Complete"/>
    <s v="Yes"/>
    <s v="NPI: In progress: Drawing, Electrical; Pending approval: Veneer/Wood, Metal; Not started: Marble; Fabric is com for SW13"/>
    <m/>
  </r>
  <r>
    <x v="1"/>
    <x v="0"/>
    <s v="THAO"/>
    <s v="Erika"/>
    <s v="FLEETWOOD FURNITURE"/>
    <s v="FLEETWOOD "/>
    <s v="SPANISH BAY CLUB "/>
    <x v="56"/>
    <n v="1"/>
    <x v="3"/>
    <s v="NEW"/>
    <s v="7. Mass Production"/>
    <d v="2026-04-24T00:00:00"/>
    <d v="2026-04-29T00:00:00"/>
    <d v="2026-05-17T00:00:00"/>
    <s v="25% desposit, 75% period shipment"/>
    <s v="US"/>
    <s v="CA"/>
    <n v="7"/>
    <n v="17"/>
    <n v="74"/>
    <m/>
    <x v="34"/>
    <n v="74"/>
    <n v="64112.41"/>
    <n v="64112.41"/>
    <x v="10"/>
    <x v="0"/>
    <d v="2026-11-02T00:00:00"/>
    <d v="2026-11-23T00:00:00"/>
    <d v="2026-11-06T00:00:00"/>
    <d v="2026-11-27T00:00:00"/>
    <s v="2026/W45"/>
    <s v="2026/W48"/>
    <s v="Approved"/>
    <m/>
    <d v="2026-09-05T00:00:00"/>
    <s v="Approved"/>
    <m/>
    <d v="2026-07-20T00:00:00"/>
    <s v="Approved"/>
    <m/>
    <d v="2026-08-18T00:00:00"/>
    <s v="Approved"/>
    <m/>
    <d v="2026-07-20T00:00:00"/>
    <s v="N/A"/>
    <m/>
    <m/>
    <s v="Approved"/>
    <m/>
    <d v="2026-09-05T00:00:00"/>
    <s v="N/A"/>
    <m/>
    <m/>
    <s v="Active"/>
    <m/>
    <s v="NPI: All development items approved/closed for SW48"/>
    <m/>
  </r>
  <r>
    <x v="1"/>
    <x v="0"/>
    <s v="THU"/>
    <m/>
    <s v="COSMIC REALTY PARTNERS LLC"/>
    <s v="COSMIC REALTY"/>
    <s v="250 FIFTH AVENUE HOTEL"/>
    <x v="23"/>
    <n v="0"/>
    <x v="0"/>
    <s v="NEW"/>
    <s v="8. Shipment"/>
    <m/>
    <m/>
    <m/>
    <s v=""/>
    <s v="US"/>
    <s v="NY"/>
    <m/>
    <m/>
    <m/>
    <m/>
    <x v="14"/>
    <m/>
    <n v="51127"/>
    <n v="51127"/>
    <x v="25"/>
    <x v="0"/>
    <m/>
    <m/>
    <m/>
    <m/>
    <s v=""/>
    <s v=""/>
    <s v="Approved"/>
    <m/>
    <m/>
    <s v="Approved"/>
    <m/>
    <m/>
    <s v="Approved"/>
    <m/>
    <m/>
    <s v="Approved"/>
    <m/>
    <m/>
    <s v="Approved"/>
    <m/>
    <m/>
    <s v="Approved"/>
    <m/>
    <m/>
    <s v="COM"/>
    <m/>
    <m/>
    <s v="Complete"/>
    <m/>
    <s v="READY"/>
    <m/>
  </r>
  <r>
    <x v="1"/>
    <x v="0"/>
    <s v="SHIPPED"/>
    <m/>
    <s v="FLEETWOOD FURNITURE"/>
    <s v="FLEETWOOD "/>
    <s v="HWVP PHASE 2"/>
    <x v="57"/>
    <n v="1"/>
    <x v="0"/>
    <s v="NEW"/>
    <s v="8. Shipment"/>
    <m/>
    <m/>
    <m/>
    <s v="25% desposit, 75% period shipment"/>
    <m/>
    <m/>
    <m/>
    <m/>
    <m/>
    <m/>
    <x v="19"/>
    <m/>
    <n v="1601"/>
    <n v="1601"/>
    <x v="24"/>
    <x v="0"/>
    <m/>
    <m/>
    <m/>
    <m/>
    <s v=""/>
    <s v=""/>
    <s v="Approved"/>
    <m/>
    <m/>
    <m/>
    <m/>
    <m/>
    <m/>
    <m/>
    <m/>
    <m/>
    <m/>
    <m/>
    <m/>
    <m/>
    <m/>
    <m/>
    <m/>
    <m/>
    <m/>
    <m/>
    <m/>
    <s v="Complete"/>
    <m/>
    <s v="READY"/>
    <m/>
  </r>
  <r>
    <x v="1"/>
    <x v="0"/>
    <s v="SHIPPED"/>
    <m/>
    <s v="KD TRAVIS BLOCK HOLDCO, LLC"/>
    <s v="KD"/>
    <s v="KNOX DALLAS"/>
    <x v="58"/>
    <n v="1"/>
    <x v="0"/>
    <s v="NEW"/>
    <s v="8. Shipment"/>
    <m/>
    <m/>
    <m/>
    <s v=""/>
    <m/>
    <m/>
    <m/>
    <m/>
    <m/>
    <m/>
    <x v="20"/>
    <m/>
    <n v="362480.94"/>
    <n v="362480.94"/>
    <x v="24"/>
    <x v="0"/>
    <m/>
    <m/>
    <m/>
    <m/>
    <s v=""/>
    <s v=""/>
    <s v="Approved"/>
    <m/>
    <m/>
    <s v="Approved"/>
    <m/>
    <m/>
    <s v="Approved"/>
    <m/>
    <m/>
    <s v="Approved"/>
    <m/>
    <m/>
    <s v="Approved"/>
    <m/>
    <m/>
    <s v="Approved"/>
    <m/>
    <m/>
    <s v="COM"/>
    <m/>
    <m/>
    <s v="Complete"/>
    <m/>
    <s v="READY"/>
    <m/>
  </r>
  <r>
    <x v="1"/>
    <x v="0"/>
    <s v="SHIPPED"/>
    <m/>
    <s v="KD TRAVIS BLOCK HOLDCO, LLC"/>
    <s v="KD"/>
    <s v="KNOX DALLAS"/>
    <x v="58"/>
    <n v="0"/>
    <x v="0"/>
    <s v="NEW"/>
    <s v="8. Shipment"/>
    <m/>
    <m/>
    <m/>
    <s v=""/>
    <m/>
    <m/>
    <m/>
    <m/>
    <m/>
    <m/>
    <x v="20"/>
    <m/>
    <n v="33400"/>
    <n v="33400"/>
    <x v="25"/>
    <x v="0"/>
    <m/>
    <m/>
    <m/>
    <m/>
    <s v=""/>
    <s v=""/>
    <s v="Approved"/>
    <m/>
    <m/>
    <s v="Approved"/>
    <m/>
    <m/>
    <s v="Approved"/>
    <m/>
    <m/>
    <s v="Approved"/>
    <m/>
    <m/>
    <s v="Approved"/>
    <m/>
    <m/>
    <s v="Approved"/>
    <m/>
    <m/>
    <s v="COM"/>
    <m/>
    <m/>
    <s v="Complete"/>
    <m/>
    <s v="READY"/>
    <m/>
  </r>
  <r>
    <x v="1"/>
    <x v="0"/>
    <s v="SHIPPED"/>
    <m/>
    <s v="PLUS CORPORATION"/>
    <s v="PLUS CORPORATION"/>
    <s v="SOHO HOUSE TOKYO"/>
    <x v="59"/>
    <n v="1"/>
    <x v="0"/>
    <s v="NEW"/>
    <s v="8. Shipment"/>
    <m/>
    <m/>
    <m/>
    <s v="50% deposit, 50% prior shipment"/>
    <s v="Japan"/>
    <s v="Japan"/>
    <m/>
    <m/>
    <m/>
    <m/>
    <x v="25"/>
    <m/>
    <n v="24407"/>
    <n v="24407"/>
    <x v="24"/>
    <x v="0"/>
    <m/>
    <m/>
    <m/>
    <m/>
    <s v=""/>
    <s v=""/>
    <s v="Approved"/>
    <m/>
    <m/>
    <m/>
    <m/>
    <m/>
    <m/>
    <m/>
    <m/>
    <m/>
    <m/>
    <m/>
    <m/>
    <m/>
    <m/>
    <m/>
    <m/>
    <m/>
    <m/>
    <m/>
    <m/>
    <s v="Complete"/>
    <m/>
    <s v="READY"/>
    <m/>
  </r>
  <r>
    <x v="1"/>
    <x v="0"/>
    <s v="SHIPPED"/>
    <m/>
    <s v="PLUS CORPORATION"/>
    <s v="PLUS CORPORATION"/>
    <s v="SOHO HOUSE TOKYO"/>
    <x v="59"/>
    <n v="0"/>
    <x v="0"/>
    <s v="NEW"/>
    <s v="8. Shipment"/>
    <m/>
    <m/>
    <m/>
    <s v="50% deposit, 50% prior shipment"/>
    <s v="Japan"/>
    <s v="Japan"/>
    <m/>
    <m/>
    <m/>
    <m/>
    <x v="25"/>
    <m/>
    <n v="80520"/>
    <n v="80520"/>
    <x v="25"/>
    <x v="0"/>
    <m/>
    <m/>
    <m/>
    <m/>
    <s v=""/>
    <s v=""/>
    <s v="Approved"/>
    <m/>
    <m/>
    <m/>
    <m/>
    <m/>
    <m/>
    <m/>
    <m/>
    <m/>
    <m/>
    <m/>
    <m/>
    <m/>
    <m/>
    <m/>
    <m/>
    <m/>
    <m/>
    <m/>
    <m/>
    <s v="Complete"/>
    <m/>
    <s v="READY"/>
    <m/>
  </r>
  <r>
    <x v="0"/>
    <x v="0"/>
    <s v="SHIPPED"/>
    <s v="Sue Bilstad"/>
    <s v="RESTORATION HARDWARE_HS"/>
    <s v="RH"/>
    <s v="RH BRANDYWINE"/>
    <x v="60"/>
    <n v="1"/>
    <x v="0"/>
    <s v="NEW"/>
    <s v="8. Shipment"/>
    <m/>
    <m/>
    <m/>
    <s v=""/>
    <s v="US"/>
    <m/>
    <m/>
    <m/>
    <m/>
    <m/>
    <x v="4"/>
    <m/>
    <n v="5432.2"/>
    <n v="5432.2"/>
    <x v="24"/>
    <x v="0"/>
    <m/>
    <m/>
    <m/>
    <m/>
    <s v=""/>
    <s v=""/>
    <s v="Approved"/>
    <m/>
    <m/>
    <s v="Approved"/>
    <m/>
    <m/>
    <s v="N/A"/>
    <m/>
    <m/>
    <s v="N/A"/>
    <m/>
    <m/>
    <s v="N/A"/>
    <m/>
    <m/>
    <s v="N/A"/>
    <m/>
    <m/>
    <s v="N/A"/>
    <m/>
    <m/>
    <s v="Complete"/>
    <s v="Yes"/>
    <s v="READY"/>
    <m/>
  </r>
  <r>
    <x v="1"/>
    <x v="1"/>
    <s v="DUNG"/>
    <m/>
    <s v="BROOKFIELD PROPERTIES"/>
    <s v="BROOKFIELD"/>
    <s v="RITZ CARLTON PHILADELPHIA"/>
    <x v="61"/>
    <n v="1"/>
    <x v="0"/>
    <s v="NEW"/>
    <s v="8. Shipment"/>
    <d v="2026-05-02T00:00:00"/>
    <d v="2026-05-07T00:00:00"/>
    <m/>
    <s v="50% deposit, 50% prior shipment"/>
    <s v="US"/>
    <s v="PA"/>
    <m/>
    <m/>
    <m/>
    <m/>
    <x v="9"/>
    <m/>
    <n v="11414.99"/>
    <n v="13583.73"/>
    <x v="2"/>
    <x v="0"/>
    <d v="2026-07-17T00:00:00"/>
    <m/>
    <s v="2026/W29"/>
    <m/>
    <s v="2026/W29"/>
    <s v=""/>
    <s v="Approved"/>
    <m/>
    <m/>
    <s v="Approved"/>
    <m/>
    <m/>
    <s v="Approved"/>
    <m/>
    <m/>
    <s v="Approved"/>
    <m/>
    <m/>
    <s v="N/A"/>
    <m/>
    <m/>
    <s v="Approved"/>
    <m/>
    <m/>
    <s v="COM Received"/>
    <m/>
    <m/>
    <s v="Complete"/>
    <m/>
    <s v="READY"/>
    <m/>
  </r>
  <r>
    <x v="0"/>
    <x v="1"/>
    <s v="BIEN"/>
    <s v="Caroline Dillard"/>
    <s v="RESTORATION HARDWARE_HS"/>
    <s v="RH"/>
    <s v="CUSTOM MIYU TABLES"/>
    <x v="62"/>
    <n v="1"/>
    <x v="0"/>
    <s v="NEW"/>
    <s v="8. Shipment"/>
    <d v="2026-04-16T00:00:00"/>
    <d v="2026-05-26T00:00:00"/>
    <m/>
    <s v=""/>
    <s v="US"/>
    <s v="US"/>
    <m/>
    <m/>
    <m/>
    <m/>
    <x v="29"/>
    <m/>
    <n v="5617.6"/>
    <n v="5617.6"/>
    <x v="2"/>
    <x v="0"/>
    <d v="2026-09-12T00:00:00"/>
    <d v="2026-09-19T00:00:00"/>
    <d v="2026-07-15T00:00:00"/>
    <d v="2026-07-15T00:00:00"/>
    <s v="2026/W29"/>
    <s v="2026/W29"/>
    <s v="Approved"/>
    <m/>
    <d v="2026-05-25T00:00:00"/>
    <s v="Approved"/>
    <m/>
    <d v="2026-06-04T00:00:00"/>
    <s v="N/A"/>
    <m/>
    <m/>
    <s v="N/A"/>
    <m/>
    <m/>
    <s v="Approved"/>
    <m/>
    <m/>
    <s v="N/A"/>
    <m/>
    <m/>
    <s v="N/A"/>
    <m/>
    <m/>
    <s v="Complete"/>
    <s v="Yes"/>
    <s v="READY"/>
    <m/>
  </r>
  <r>
    <x v="0"/>
    <x v="1"/>
    <s v="DUY"/>
    <s v="Sue Bilstad"/>
    <s v="RESTORATION HARDWARE_HS"/>
    <s v="RH"/>
    <s v="GRAND HYATT DENVER"/>
    <x v="63"/>
    <n v="1"/>
    <x v="3"/>
    <s v="NEW"/>
    <s v="7. Mass Production"/>
    <d v="2026-04-24T00:00:00"/>
    <d v="2026-07-03T00:00:00"/>
    <m/>
    <s v=""/>
    <s v="US"/>
    <s v="CO"/>
    <n v="0"/>
    <n v="0"/>
    <m/>
    <m/>
    <x v="4"/>
    <n v="2"/>
    <n v="5542.32"/>
    <n v="5542.32"/>
    <x v="9"/>
    <x v="0"/>
    <m/>
    <m/>
    <d v="2026-10-29T00:00:00"/>
    <d v="2026-10-29T00:00:00"/>
    <s v="2026/W44"/>
    <s v="2026/W44"/>
    <s v="Approved"/>
    <d v="2026-07-31T00:00:00"/>
    <d v="2026-09-07T00:00:00"/>
    <s v="Approved"/>
    <m/>
    <d v="2026-07-24T00:00:00"/>
    <s v="N/A"/>
    <m/>
    <m/>
    <s v="N/A"/>
    <m/>
    <m/>
    <s v="N/A"/>
    <m/>
    <m/>
    <s v="In Progress"/>
    <m/>
    <m/>
    <s v="COM Received"/>
    <m/>
    <m/>
    <s v="Active"/>
    <s v="Yes"/>
    <s v="NPD: In progress: Electrical; Fabric is com received for SW44"/>
    <m/>
  </r>
  <r>
    <x v="0"/>
    <x v="0"/>
    <s v="TRINH"/>
    <s v="Caroline Dillard"/>
    <s v="RESTORATION HARDWARE_HS"/>
    <s v="RH"/>
    <s v="COMPETITIVE EDGE "/>
    <x v="64"/>
    <n v="1"/>
    <x v="1"/>
    <s v="NEW"/>
    <s v="1. Preliminary Design"/>
    <d v="2026-04-29T00:00:00"/>
    <m/>
    <m/>
    <s v=""/>
    <m/>
    <m/>
    <n v="0"/>
    <n v="0"/>
    <m/>
    <m/>
    <x v="35"/>
    <m/>
    <n v="847691"/>
    <n v="847691"/>
    <x v="12"/>
    <x v="2"/>
    <m/>
    <m/>
    <s v="TBC"/>
    <s v="TBC"/>
    <s v="TBC"/>
    <s v="TBC"/>
    <s v="Not Started"/>
    <m/>
    <m/>
    <m/>
    <m/>
    <m/>
    <m/>
    <m/>
    <m/>
    <m/>
    <m/>
    <m/>
    <m/>
    <m/>
    <m/>
    <m/>
    <m/>
    <m/>
    <m/>
    <m/>
    <m/>
    <s v="Active"/>
    <s v="Yes"/>
    <s v="NPI: Not started: Drawing for SW TBC"/>
    <m/>
  </r>
  <r>
    <x v="1"/>
    <x v="0"/>
    <s v="THAO"/>
    <m/>
    <s v="FLEETWOOD FURNITURE"/>
    <s v="FLEETWOOD "/>
    <s v="WALDORF ASTORIA DEER VALLEY"/>
    <x v="65"/>
    <n v="1"/>
    <x v="4"/>
    <s v="NEW"/>
    <s v="1. Preliminary Design"/>
    <d v="2026-05-02T00:00:00"/>
    <m/>
    <m/>
    <s v="25% desposit, 75% period shipment"/>
    <s v="US"/>
    <m/>
    <n v="0"/>
    <n v="0"/>
    <m/>
    <m/>
    <x v="23"/>
    <m/>
    <n v="5665882.9800000004"/>
    <n v="1133176.5960000001"/>
    <x v="4"/>
    <x v="1"/>
    <m/>
    <m/>
    <m/>
    <m/>
    <s v=""/>
    <s v=""/>
    <m/>
    <m/>
    <m/>
    <m/>
    <m/>
    <m/>
    <m/>
    <m/>
    <m/>
    <m/>
    <m/>
    <m/>
    <m/>
    <m/>
    <m/>
    <m/>
    <m/>
    <m/>
    <m/>
    <m/>
    <m/>
    <s v="Active"/>
    <m/>
    <s v="NPI: All development items approved/closed"/>
    <m/>
  </r>
  <r>
    <x v="1"/>
    <x v="0"/>
    <s v="THAO"/>
    <m/>
    <s v="FLEETWOOD FURNITURE"/>
    <s v="FLEETWOOD "/>
    <s v="WALDORF ASTORIA DEER VALLEY"/>
    <x v="65"/>
    <n v="0"/>
    <x v="4"/>
    <s v="NEW"/>
    <s v="1. Preliminary Design"/>
    <d v="2026-05-02T00:00:00"/>
    <m/>
    <m/>
    <s v="25% desposit, 75% period shipment"/>
    <s v="US"/>
    <m/>
    <n v="0"/>
    <n v="0"/>
    <m/>
    <m/>
    <x v="23"/>
    <m/>
    <n v="5665882.9800000004"/>
    <n v="1133176.5960000001"/>
    <x v="5"/>
    <x v="1"/>
    <m/>
    <m/>
    <m/>
    <m/>
    <s v=""/>
    <s v=""/>
    <m/>
    <m/>
    <m/>
    <m/>
    <m/>
    <m/>
    <m/>
    <m/>
    <m/>
    <m/>
    <m/>
    <m/>
    <m/>
    <m/>
    <m/>
    <m/>
    <m/>
    <m/>
    <m/>
    <m/>
    <m/>
    <s v="Active"/>
    <m/>
    <s v="NPI: All development items approved/closed"/>
    <m/>
  </r>
  <r>
    <x v="1"/>
    <x v="0"/>
    <s v="THAO"/>
    <m/>
    <s v="FLEETWOOD FURNITURE"/>
    <s v="FLEETWOOD "/>
    <s v="WALDORF ASTORIA DEER VALLEY"/>
    <x v="65"/>
    <n v="0"/>
    <x v="4"/>
    <s v="NEW"/>
    <s v="1. Preliminary Design"/>
    <d v="2026-05-02T00:00:00"/>
    <m/>
    <m/>
    <s v="25% desposit, 75% period shipment"/>
    <s v="US"/>
    <m/>
    <n v="0"/>
    <n v="0"/>
    <m/>
    <m/>
    <x v="23"/>
    <m/>
    <n v="5665882.9800000004"/>
    <n v="1133176.5960000001"/>
    <x v="6"/>
    <x v="1"/>
    <m/>
    <m/>
    <m/>
    <m/>
    <s v=""/>
    <s v=""/>
    <m/>
    <m/>
    <m/>
    <m/>
    <m/>
    <m/>
    <m/>
    <m/>
    <m/>
    <m/>
    <m/>
    <m/>
    <m/>
    <m/>
    <m/>
    <m/>
    <m/>
    <m/>
    <m/>
    <m/>
    <m/>
    <s v="Active"/>
    <m/>
    <s v="NPI: All development items approved/closed"/>
    <m/>
  </r>
  <r>
    <x v="1"/>
    <x v="0"/>
    <s v="THAO"/>
    <m/>
    <s v="FLEETWOOD FURNITURE"/>
    <s v="FLEETWOOD "/>
    <s v="WALDORF ASTORIA DEER VALLEY"/>
    <x v="65"/>
    <n v="0"/>
    <x v="4"/>
    <s v="NEW"/>
    <s v="1. Preliminary Design"/>
    <d v="2026-05-02T00:00:00"/>
    <m/>
    <m/>
    <s v="25% desposit, 75% period shipment"/>
    <s v="US"/>
    <m/>
    <n v="0"/>
    <n v="0"/>
    <m/>
    <m/>
    <x v="23"/>
    <m/>
    <n v="5665882.9800000004"/>
    <n v="1133176.5960000001"/>
    <x v="23"/>
    <x v="1"/>
    <m/>
    <m/>
    <m/>
    <m/>
    <s v=""/>
    <s v=""/>
    <m/>
    <m/>
    <m/>
    <m/>
    <m/>
    <m/>
    <m/>
    <m/>
    <m/>
    <m/>
    <m/>
    <m/>
    <m/>
    <m/>
    <m/>
    <m/>
    <m/>
    <m/>
    <m/>
    <m/>
    <m/>
    <s v="Active"/>
    <m/>
    <s v="NPI: All development items approved/closed"/>
    <m/>
  </r>
  <r>
    <x v="1"/>
    <x v="0"/>
    <s v="THAO"/>
    <m/>
    <s v="FLEETWOOD FURNITURE"/>
    <s v="FLEETWOOD "/>
    <s v="WALDORF ASTORIA DEER VALLEY"/>
    <x v="65"/>
    <n v="0"/>
    <x v="4"/>
    <s v="NEW"/>
    <s v="1. Preliminary Design"/>
    <d v="2026-05-02T00:00:00"/>
    <m/>
    <m/>
    <s v="25% desposit, 75% period shipment"/>
    <s v="US"/>
    <m/>
    <n v="0"/>
    <n v="0"/>
    <m/>
    <m/>
    <x v="23"/>
    <m/>
    <n v="5665882.9800000004"/>
    <n v="1133176.5960000001"/>
    <x v="17"/>
    <x v="1"/>
    <m/>
    <m/>
    <m/>
    <m/>
    <s v=""/>
    <s v=""/>
    <m/>
    <m/>
    <m/>
    <m/>
    <m/>
    <m/>
    <m/>
    <m/>
    <m/>
    <m/>
    <m/>
    <m/>
    <m/>
    <m/>
    <m/>
    <m/>
    <m/>
    <m/>
    <m/>
    <m/>
    <m/>
    <s v="Active"/>
    <m/>
    <s v="NPI: All development items approved/closed"/>
    <m/>
  </r>
  <r>
    <x v="1"/>
    <x v="0"/>
    <s v="THAO"/>
    <s v="Erika"/>
    <s v="FLEETWOOD FURNITURE"/>
    <s v="FLEETWOOD "/>
    <s v="PEBBLE BEACH CASA PALMERO"/>
    <x v="66"/>
    <n v="1"/>
    <x v="3"/>
    <s v="NEW"/>
    <s v="7. Mass Production"/>
    <d v="2026-05-02T00:00:00"/>
    <d v="2026-05-13T00:00:00"/>
    <d v="2026-06-05T00:00:00"/>
    <s v="25% desposit, 75% period shipment"/>
    <s v="US"/>
    <s v="CA"/>
    <n v="0"/>
    <n v="0"/>
    <n v="25"/>
    <m/>
    <x v="4"/>
    <n v="25"/>
    <n v="13541.25"/>
    <n v="13541.25"/>
    <x v="9"/>
    <x v="0"/>
    <d v="2026-09-05T00:00:00"/>
    <d v="2026-09-05T00:00:00"/>
    <d v="2026-10-09T00:00:00"/>
    <d v="2026-10-09T00:00:00"/>
    <s v="2026/W41"/>
    <s v="2026/W41"/>
    <s v="Approved"/>
    <m/>
    <d v="2026-06-27T00:00:00"/>
    <s v="Approved"/>
    <m/>
    <d v="2026-07-10T00:00:00"/>
    <s v="N/A"/>
    <m/>
    <m/>
    <s v="Approved"/>
    <m/>
    <d v="2026-07-10T00:00:00"/>
    <s v="Approved"/>
    <m/>
    <d v="2026-07-24T00:00:00"/>
    <s v="N/A"/>
    <m/>
    <m/>
    <s v="N/A"/>
    <m/>
    <m/>
    <s v="Active"/>
    <m/>
    <s v="NPI: All development items approved/closed for SW41"/>
    <m/>
  </r>
  <r>
    <x v="0"/>
    <x v="1"/>
    <s v="BIEN"/>
    <s v="Monica Cuevas"/>
    <s v="RESTORATION HARDWARE_HS"/>
    <s v="RH"/>
    <s v="SUNRIVER RESORT "/>
    <x v="67"/>
    <n v="1"/>
    <x v="0"/>
    <s v="NEW"/>
    <s v="8. Shipment"/>
    <d v="2026-05-02T00:00:00"/>
    <d v="2026-05-12T00:00:00"/>
    <m/>
    <s v=""/>
    <s v="US"/>
    <s v="US"/>
    <m/>
    <m/>
    <m/>
    <m/>
    <x v="6"/>
    <m/>
    <n v="1017.32"/>
    <n v="1017.32"/>
    <x v="1"/>
    <x v="0"/>
    <d v="2026-06-22T00:00:00"/>
    <d v="2026-06-26T00:00:00"/>
    <d v="2026-06-29T00:00:00"/>
    <d v="2026-06-29T00:00:00"/>
    <s v="2026/W27"/>
    <s v="2026/W27"/>
    <s v="Approved"/>
    <m/>
    <d v="2026-05-16T00:00:00"/>
    <s v="Approved"/>
    <m/>
    <d v="2026-05-16T00:00:00"/>
    <s v="N/A"/>
    <m/>
    <m/>
    <s v="Approved"/>
    <m/>
    <d v="2026-05-16T00:00:00"/>
    <s v="N/A"/>
    <m/>
    <m/>
    <s v="N/A"/>
    <m/>
    <m/>
    <s v="N/A"/>
    <m/>
    <m/>
    <s v="Complete"/>
    <s v="Yes"/>
    <s v="READY"/>
    <m/>
  </r>
  <r>
    <x v="0"/>
    <x v="0"/>
    <s v="PHONG"/>
    <s v="Monica Cuevas"/>
    <s v="RESTORATION HARDWARE_HS"/>
    <s v="RH"/>
    <s v="SUNRIVER RESORT "/>
    <x v="67"/>
    <n v="1"/>
    <x v="1"/>
    <s v="NEW"/>
    <s v="1. Preliminary Design"/>
    <d v="2026-09-18T00:00:00"/>
    <s v="Estimate to receive in Oct"/>
    <m/>
    <s v=""/>
    <s v="US"/>
    <s v="US"/>
    <n v="7"/>
    <n v="19"/>
    <m/>
    <m/>
    <x v="28"/>
    <n v="47"/>
    <n v="36622.71"/>
    <n v="36622.71"/>
    <x v="19"/>
    <x v="1"/>
    <d v="2026-03-06T00:00:00"/>
    <d v="2026-03-06T00:00:00"/>
    <d v="2027-02-26T00:00:00"/>
    <d v="2027-03-05T00:00:00"/>
    <s v="2027/W09"/>
    <s v="2027/W10"/>
    <s v="Not Started"/>
    <m/>
    <m/>
    <m/>
    <m/>
    <m/>
    <m/>
    <m/>
    <m/>
    <m/>
    <m/>
    <m/>
    <m/>
    <m/>
    <m/>
    <m/>
    <m/>
    <m/>
    <m/>
    <m/>
    <m/>
    <s v="Active"/>
    <s v="Yes"/>
    <s v="NPI: Not started: Drawing for SW10"/>
    <m/>
  </r>
  <r>
    <x v="1"/>
    <x v="0"/>
    <s v="DUNG"/>
    <m/>
    <s v="BROOKFIELD PROPERTIES"/>
    <s v="BROOKFIELD"/>
    <s v="RITZ CARLTON PHILADELPHIA"/>
    <x v="61"/>
    <n v="1"/>
    <x v="5"/>
    <s v="NEW"/>
    <s v="1. Preliminary Design"/>
    <m/>
    <m/>
    <m/>
    <s v="50% deposit, 50% prior shipment"/>
    <s v="US"/>
    <s v="PA"/>
    <n v="0"/>
    <n v="0"/>
    <m/>
    <m/>
    <x v="7"/>
    <m/>
    <n v="1985002.77"/>
    <n v="400000"/>
    <x v="11"/>
    <x v="1"/>
    <m/>
    <m/>
    <s v="TBC"/>
    <s v="TBC"/>
    <s v="TBC"/>
    <s v="TBC"/>
    <s v="Not Started "/>
    <m/>
    <m/>
    <s v="Not Started "/>
    <m/>
    <m/>
    <s v="Not Started "/>
    <m/>
    <m/>
    <s v="Not Started "/>
    <m/>
    <m/>
    <s v="N/A"/>
    <m/>
    <m/>
    <s v="Not Started "/>
    <m/>
    <m/>
    <s v="Not Started "/>
    <m/>
    <m/>
    <s v="Complete"/>
    <m/>
    <s v="NPI: All development items approved/closed for SW TBC"/>
    <m/>
  </r>
  <r>
    <x v="1"/>
    <x v="0"/>
    <s v="DUNG"/>
    <m/>
    <s v="BROOKFIELD PROPERTIES"/>
    <s v="BROOKFIELD"/>
    <s v="RITZ CARLTON PHILADELPHIA"/>
    <x v="61"/>
    <n v="0"/>
    <x v="5"/>
    <s v="NEW"/>
    <s v="1. Preliminary Design"/>
    <m/>
    <m/>
    <m/>
    <s v="50% deposit, 50% prior shipment"/>
    <s v="US"/>
    <s v="PA"/>
    <n v="0"/>
    <n v="0"/>
    <m/>
    <m/>
    <x v="7"/>
    <m/>
    <n v="1985002.77"/>
    <n v="792500"/>
    <x v="19"/>
    <x v="1"/>
    <m/>
    <m/>
    <s v="TBC"/>
    <s v="TBC"/>
    <s v="TBC"/>
    <s v="TBC"/>
    <s v="Not Started "/>
    <m/>
    <m/>
    <s v="Not Started "/>
    <m/>
    <m/>
    <s v="Not Started "/>
    <m/>
    <m/>
    <s v="Not Started "/>
    <m/>
    <m/>
    <s v="N/A"/>
    <m/>
    <m/>
    <s v="Not Started "/>
    <m/>
    <m/>
    <s v="Not Started "/>
    <m/>
    <m/>
    <s v="Complete"/>
    <m/>
    <s v="NPI: All development items approved/closed for SW TBC"/>
    <m/>
  </r>
  <r>
    <x v="1"/>
    <x v="0"/>
    <s v="DUNG"/>
    <m/>
    <s v="BROOKFIELD PROPERTIES"/>
    <s v="BROOKFIELD"/>
    <s v="RITZ CARLTON PHILADELPHIA"/>
    <x v="61"/>
    <n v="0"/>
    <x v="5"/>
    <s v="NEW"/>
    <s v="1. Preliminary Design"/>
    <m/>
    <m/>
    <m/>
    <s v="50% deposit, 50% prior shipment"/>
    <s v="US"/>
    <s v="PA"/>
    <n v="0"/>
    <n v="0"/>
    <m/>
    <m/>
    <x v="7"/>
    <m/>
    <n v="1985002.77"/>
    <n v="792500"/>
    <x v="16"/>
    <x v="1"/>
    <m/>
    <m/>
    <s v="TBC"/>
    <s v="TBC"/>
    <s v="TBC"/>
    <s v="TBC"/>
    <s v="Not Started "/>
    <m/>
    <m/>
    <s v="Not Started "/>
    <m/>
    <m/>
    <s v="Not Started "/>
    <m/>
    <m/>
    <s v="Not Started "/>
    <m/>
    <m/>
    <s v="N/A"/>
    <m/>
    <m/>
    <s v="Not Started "/>
    <m/>
    <m/>
    <s v="Not Started "/>
    <m/>
    <m/>
    <s v="Complete"/>
    <m/>
    <s v="NPI: All development items approved/closed for SW TBC"/>
    <m/>
  </r>
  <r>
    <x v="1"/>
    <x v="0"/>
    <s v="BIEN"/>
    <m/>
    <s v="AYALA INTERNATIONAL"/>
    <s v="AYALA"/>
    <s v="KHOBAR HILTON CANOPY HOTEL"/>
    <x v="46"/>
    <n v="1"/>
    <x v="1"/>
    <s v="NEW"/>
    <s v="1. Preliminary Design"/>
    <m/>
    <m/>
    <m/>
    <s v=""/>
    <s v="SA"/>
    <s v="Saudi Arabia"/>
    <n v="0"/>
    <n v="0"/>
    <m/>
    <m/>
    <x v="3"/>
    <m/>
    <n v="897832"/>
    <n v="897832"/>
    <x v="19"/>
    <x v="1"/>
    <m/>
    <m/>
    <d v="2027-03-01T00:00:00"/>
    <d v="2027-03-22T00:00:00"/>
    <s v="2027/W10"/>
    <s v="2027/W13"/>
    <s v="Not Started "/>
    <m/>
    <m/>
    <s v="Not Started "/>
    <m/>
    <m/>
    <s v="Not Started "/>
    <m/>
    <m/>
    <s v="Not Started "/>
    <m/>
    <m/>
    <s v="Not Started "/>
    <m/>
    <m/>
    <s v="Not Started "/>
    <m/>
    <m/>
    <s v="Not Started "/>
    <m/>
    <m/>
    <s v="Active"/>
    <m/>
    <s v="NPI: All development items approved/closed for SW13"/>
    <m/>
  </r>
  <r>
    <x v="1"/>
    <x v="0"/>
    <s v="TRINH"/>
    <m/>
    <s v="TRIMA  KASI LIMITED"/>
    <s v="TRIMA"/>
    <s v="ASIATICO RESTAURANT "/>
    <x v="68"/>
    <n v="1"/>
    <x v="0"/>
    <s v="NEW"/>
    <s v="8. Shipment"/>
    <d v="2026-05-10T00:00:00"/>
    <m/>
    <m/>
    <s v="50% deposit, 50% prior shipment"/>
    <s v="JM"/>
    <s v="Jamaica"/>
    <n v="23"/>
    <n v="27"/>
    <m/>
    <m/>
    <x v="36"/>
    <m/>
    <n v="169383.67"/>
    <n v="46234.26"/>
    <x v="3"/>
    <x v="0"/>
    <m/>
    <m/>
    <d v="2026-08-26T00:00:00"/>
    <d v="2026-10-02T00:00:00"/>
    <s v="2026/W35"/>
    <s v="2026/W40"/>
    <s v="Approved"/>
    <m/>
    <m/>
    <s v="Approved"/>
    <m/>
    <m/>
    <s v="Approved"/>
    <m/>
    <m/>
    <s v="Approved"/>
    <m/>
    <m/>
    <s v="Approved"/>
    <m/>
    <m/>
    <s v="Approved"/>
    <m/>
    <m/>
    <s v="COM Received"/>
    <m/>
    <m/>
    <s v="Complete"/>
    <m/>
    <s v="READY"/>
    <m/>
  </r>
  <r>
    <x v="1"/>
    <x v="0"/>
    <s v="TRINH"/>
    <m/>
    <s v="TRIMA  KASI LIMITED"/>
    <s v="TRIMA"/>
    <s v="ASIATICO RESTAURANT "/>
    <x v="68"/>
    <n v="0"/>
    <x v="0"/>
    <s v="NEW"/>
    <s v="7. Mass Production"/>
    <d v="2026-05-10T00:00:00"/>
    <m/>
    <m/>
    <s v="50% deposit, 50% prior shipment"/>
    <s v="JM"/>
    <s v="Jamaica"/>
    <n v="23"/>
    <n v="27"/>
    <m/>
    <m/>
    <x v="36"/>
    <m/>
    <n v="169383.67"/>
    <n v="122196"/>
    <x v="8"/>
    <x v="0"/>
    <m/>
    <m/>
    <d v="2026-08-26T00:00:00"/>
    <d v="2026-10-02T00:00:00"/>
    <s v="2026/W35"/>
    <s v="2026/W40"/>
    <s v="Approved"/>
    <m/>
    <m/>
    <s v="Approved"/>
    <m/>
    <m/>
    <s v="Approved"/>
    <m/>
    <m/>
    <s v="Approved"/>
    <m/>
    <m/>
    <s v="Approved"/>
    <m/>
    <m/>
    <s v="Approved"/>
    <m/>
    <m/>
    <s v="COM Received"/>
    <m/>
    <m/>
    <s v="Complete"/>
    <m/>
    <s v="READY"/>
    <m/>
  </r>
  <r>
    <x v="0"/>
    <x v="1"/>
    <s v="BIEN"/>
    <m/>
    <s v="RESTORATION HARDWARE_HS"/>
    <s v="RH"/>
    <s v="MONTAUK YACHT CLUB"/>
    <x v="69"/>
    <n v="1"/>
    <x v="5"/>
    <s v="NEW"/>
    <s v="1. Preliminary Design"/>
    <d v="2026-05-21T00:00:00"/>
    <m/>
    <m/>
    <s v=""/>
    <s v="US"/>
    <s v="NY"/>
    <m/>
    <m/>
    <m/>
    <m/>
    <x v="29"/>
    <m/>
    <n v="12433.68"/>
    <n v="12433.68"/>
    <x v="3"/>
    <x v="0"/>
    <d v="2026-08-14T00:00:00"/>
    <d v="2026-08-14T00:00:00"/>
    <d v="2026-08-14T00:00:00"/>
    <d v="2026-08-14T00:00:00"/>
    <s v="2026/W33"/>
    <s v="2026/W33"/>
    <s v="Not Started"/>
    <m/>
    <m/>
    <s v="Not Started"/>
    <m/>
    <m/>
    <s v="Not Started"/>
    <m/>
    <m/>
    <s v="Not Started"/>
    <m/>
    <m/>
    <s v="N/A"/>
    <m/>
    <m/>
    <s v="Not Started"/>
    <m/>
    <m/>
    <s v="Not Started"/>
    <m/>
    <m/>
    <s v="Complete"/>
    <s v="Yes"/>
    <s v="NPD: Not started: Drawing, Veneer/Wood, Marble, Metal, Electrical, Fabric for SW33"/>
    <m/>
  </r>
  <r>
    <x v="0"/>
    <x v="0"/>
    <s v="BIEN"/>
    <m/>
    <s v="RESTORATION HARDWARE_HS"/>
    <s v="RH"/>
    <s v="MONTAUK YACHT CLUB"/>
    <x v="69"/>
    <n v="1"/>
    <x v="5"/>
    <s v="NEW"/>
    <s v="1. Preliminary Design"/>
    <d v="2026-05-21T00:00:00"/>
    <m/>
    <m/>
    <s v=""/>
    <s v="US"/>
    <s v="NY"/>
    <m/>
    <m/>
    <m/>
    <m/>
    <x v="29"/>
    <m/>
    <n v="1100000"/>
    <n v="1100000"/>
    <x v="4"/>
    <x v="1"/>
    <m/>
    <m/>
    <m/>
    <m/>
    <s v=""/>
    <s v=""/>
    <s v="Not Started"/>
    <m/>
    <m/>
    <s v="Not Started"/>
    <m/>
    <m/>
    <s v="Not Started"/>
    <m/>
    <m/>
    <s v="Not Started"/>
    <m/>
    <m/>
    <s v="N/A"/>
    <m/>
    <m/>
    <s v="Not Started"/>
    <m/>
    <m/>
    <s v="Not Started"/>
    <m/>
    <m/>
    <s v="Complete"/>
    <s v="Yes"/>
    <s v="NPI: Not started: Drawing, Veneer/Wood, Marble, Metal, Electrical, Fabric"/>
    <m/>
  </r>
  <r>
    <x v="1"/>
    <x v="0"/>
    <s v="DUNG"/>
    <m/>
    <s v="HBA PROCUREMENT"/>
    <s v="HBA"/>
    <s v="HILTON PASADENA"/>
    <x v="70"/>
    <n v="1"/>
    <x v="3"/>
    <s v="NEW"/>
    <s v="5. Production Readiness"/>
    <d v="2026-05-19T00:00:00"/>
    <m/>
    <m/>
    <s v=""/>
    <s v="US"/>
    <s v="CA"/>
    <n v="0"/>
    <n v="0"/>
    <m/>
    <m/>
    <x v="29"/>
    <m/>
    <n v="22890.480000000003"/>
    <n v="22890.480000000003"/>
    <x v="9"/>
    <x v="0"/>
    <d v="2026-08-01T00:00:00"/>
    <d v="2026-08-01T00:00:00"/>
    <d v="2026-10-09T00:00:00"/>
    <d v="2026-10-09T00:00:00"/>
    <s v="2026/W41"/>
    <s v="2026/W41"/>
    <s v="Approved"/>
    <m/>
    <m/>
    <s v="Approved"/>
    <m/>
    <m/>
    <s v="Approved"/>
    <m/>
    <m/>
    <s v="Approved"/>
    <m/>
    <m/>
    <s v="N/A"/>
    <m/>
    <m/>
    <s v="N/A"/>
    <m/>
    <m/>
    <s v="In Progress"/>
    <m/>
    <m/>
    <s v="Active"/>
    <m/>
    <s v="NPI: In progress: Fabric for SW41"/>
    <m/>
  </r>
  <r>
    <x v="1"/>
    <x v="0"/>
    <s v="THAO"/>
    <m/>
    <s v="FLEETWOOD FURNITURE"/>
    <s v="FLEETWOOD "/>
    <s v="FAIRMONT HOTEL WINNIPEG"/>
    <x v="71"/>
    <n v="1"/>
    <x v="2"/>
    <s v="NEW"/>
    <s v="1. Preliminary Design"/>
    <d v="2026-06-05T00:00:00"/>
    <m/>
    <m/>
    <s v="25% desposit, 75% period shipment"/>
    <m/>
    <m/>
    <s v="TBC"/>
    <s v="TBC"/>
    <m/>
    <m/>
    <x v="36"/>
    <m/>
    <n v="79655.520000000033"/>
    <n v="79655.520000000033"/>
    <x v="12"/>
    <x v="2"/>
    <m/>
    <m/>
    <s v="TBC"/>
    <s v="TBC"/>
    <s v="TBC"/>
    <s v="TBC"/>
    <m/>
    <m/>
    <m/>
    <m/>
    <m/>
    <m/>
    <m/>
    <m/>
    <m/>
    <m/>
    <m/>
    <m/>
    <m/>
    <m/>
    <m/>
    <m/>
    <m/>
    <m/>
    <m/>
    <m/>
    <m/>
    <s v="Complete"/>
    <m/>
    <s v="NPI: All development items approved/closed for SW TBC"/>
    <m/>
  </r>
  <r>
    <x v="1"/>
    <x v="1"/>
    <s v="DUNG"/>
    <m/>
    <s v="LANG &amp; SCHWANDER LLC"/>
    <s v="L&amp;S"/>
    <s v="THE STANDARD MIAMI HOTEL"/>
    <x v="72"/>
    <n v="1"/>
    <x v="6"/>
    <s v="NEW"/>
    <s v="1. Preliminary Design"/>
    <d v="2026-06-05T00:00:00"/>
    <m/>
    <m/>
    <s v="50% deposit, 50% prior shipment"/>
    <m/>
    <s v="Miami"/>
    <m/>
    <m/>
    <m/>
    <m/>
    <x v="35"/>
    <m/>
    <n v="2142.3000000000002"/>
    <n v="2142.3000000000002"/>
    <x v="3"/>
    <x v="0"/>
    <d v="2026-08-28T00:00:00"/>
    <d v="2026-08-28T00:00:00"/>
    <d v="2026-08-28T00:00:00"/>
    <d v="2026-08-28T00:00:00"/>
    <s v="2026/W35"/>
    <s v="2026/W35"/>
    <s v="In Progress"/>
    <m/>
    <m/>
    <s v="In Progress"/>
    <m/>
    <m/>
    <s v="In Progress"/>
    <m/>
    <m/>
    <s v="In Progress"/>
    <m/>
    <m/>
    <s v="Pending approval"/>
    <m/>
    <m/>
    <s v="N/A"/>
    <m/>
    <m/>
    <s v="COM"/>
    <m/>
    <m/>
    <s v="Complete"/>
    <m/>
    <s v="NPD: In progress: Drawing, Veneer/Wood, Marble, Metal; Pending approval: Mirror; Fabric is com for SW35"/>
    <m/>
  </r>
  <r>
    <x v="1"/>
    <x v="0"/>
    <s v="DUNG"/>
    <m/>
    <s v="LANG &amp; SCHWANDER LLC"/>
    <s v="L&amp;S"/>
    <s v="THE STANDARD MIAMI HOTEL"/>
    <x v="72"/>
    <n v="1"/>
    <x v="3"/>
    <s v="NEW"/>
    <s v="7. Mass Production"/>
    <d v="2026-06-05T00:00:00"/>
    <d v="2026-06-16T00:00:00"/>
    <m/>
    <s v="50% deposit, 50% prior shipment"/>
    <m/>
    <s v="Miami"/>
    <n v="7"/>
    <n v="13"/>
    <m/>
    <m/>
    <x v="8"/>
    <m/>
    <n v="48791.869999999995"/>
    <n v="48791.869999999995"/>
    <x v="10"/>
    <x v="0"/>
    <d v="2026-10-16T00:00:00"/>
    <d v="2026-10-16T00:00:00"/>
    <d v="2026-11-13T00:00:00"/>
    <d v="2026-12-04T00:00:00"/>
    <s v="2026/W46"/>
    <s v="2026/W49"/>
    <s v="Approved"/>
    <m/>
    <m/>
    <s v="Approved"/>
    <m/>
    <m/>
    <s v="Approved"/>
    <m/>
    <m/>
    <s v="Approved"/>
    <m/>
    <m/>
    <s v="Approved"/>
    <m/>
    <m/>
    <s v="N/A"/>
    <m/>
    <m/>
    <s v="COM Pending"/>
    <m/>
    <m/>
    <s v="Active"/>
    <m/>
    <s v="NPI: Fabric is com pending for SW49"/>
    <m/>
  </r>
  <r>
    <x v="0"/>
    <x v="0"/>
    <s v="DUY"/>
    <s v="Monica Cuevas"/>
    <s v="RESTORATION HARDWARE_HS"/>
    <s v="RH"/>
    <s v="KINDERED KEYSTONE RESORT"/>
    <x v="73"/>
    <n v="1"/>
    <x v="0"/>
    <s v="REO"/>
    <s v="8. Shipment"/>
    <d v="2026-06-03T00:00:00"/>
    <d v="2026-06-03T00:00:00"/>
    <m/>
    <s v=""/>
    <s v="US"/>
    <m/>
    <n v="0"/>
    <n v="0"/>
    <m/>
    <m/>
    <x v="6"/>
    <n v="1"/>
    <n v="1142.75"/>
    <n v="1142.75"/>
    <x v="3"/>
    <x v="0"/>
    <d v="2026-09-04T00:00:00"/>
    <d v="2026-09-04T00:00:00"/>
    <d v="2026-09-04T00:00:00"/>
    <d v="2026-09-04T00:00:00"/>
    <s v="2026/W36"/>
    <s v="2026/W36"/>
    <s v="Approved"/>
    <m/>
    <d v="2026-06-03T00:00:00"/>
    <s v="Approved"/>
    <m/>
    <d v="2026-06-03T00:00:00"/>
    <s v="N/A"/>
    <m/>
    <m/>
    <s v="N/A"/>
    <m/>
    <m/>
    <s v="N/A"/>
    <m/>
    <m/>
    <s v="N/A"/>
    <m/>
    <m/>
    <s v="COM Received"/>
    <m/>
    <d v="2026-06-03T00:00:00"/>
    <s v="Complete"/>
    <s v="Yes"/>
    <s v="READY"/>
    <m/>
  </r>
  <r>
    <x v="1"/>
    <x v="0"/>
    <s v="DUY"/>
    <m/>
    <s v="HBA PROCUREMENT"/>
    <s v="HBA"/>
    <s v="MARRIOTT GUYANA PUBLIC AREAS "/>
    <x v="74"/>
    <n v="1"/>
    <x v="8"/>
    <s v="NEW"/>
    <s v="1. Preliminary Design"/>
    <d v="2026-06-12T00:00:00"/>
    <m/>
    <m/>
    <s v=""/>
    <m/>
    <m/>
    <m/>
    <m/>
    <m/>
    <m/>
    <x v="35"/>
    <m/>
    <n v="25129.08"/>
    <n v="25129.08"/>
    <x v="9"/>
    <x v="0"/>
    <m/>
    <m/>
    <d v="2026-10-16T00:00:00"/>
    <d v="2026-10-16T00:00:00"/>
    <s v="2026/W42"/>
    <s v="2026/W42"/>
    <s v="Pending Approval"/>
    <m/>
    <m/>
    <s v="Pending Approval"/>
    <m/>
    <m/>
    <s v="N/A"/>
    <m/>
    <m/>
    <s v="N/A"/>
    <m/>
    <m/>
    <s v="N/A"/>
    <m/>
    <m/>
    <s v="N/A"/>
    <m/>
    <m/>
    <s v="N/A"/>
    <m/>
    <m/>
    <s v="Complete"/>
    <m/>
    <s v="NPI: Pending approval: Drawing, Veneer/Wood for SW42"/>
    <m/>
  </r>
  <r>
    <x v="0"/>
    <x v="0"/>
    <s v="TRAN"/>
    <s v="Natasha Funk"/>
    <s v="RESTORATION HARDWARE_HS"/>
    <s v="RH"/>
    <s v="BELGROVE VILLAS"/>
    <x v="75"/>
    <n v="1"/>
    <x v="3"/>
    <s v="NEW"/>
    <s v="7. Mass Production"/>
    <d v="2026-06-12T00:00:00"/>
    <d v="2026-06-17T00:00:00"/>
    <m/>
    <s v=""/>
    <s v="US"/>
    <s v="FL"/>
    <n v="0"/>
    <n v="0"/>
    <m/>
    <m/>
    <x v="6"/>
    <m/>
    <n v="13398"/>
    <n v="13398"/>
    <x v="8"/>
    <x v="0"/>
    <d v="2026-09-19T00:00:00"/>
    <d v="2026-09-19T00:00:00"/>
    <d v="2026-09-25T00:00:00"/>
    <d v="2026-09-25T00:00:00"/>
    <s v="2026/W39"/>
    <s v="2026/W39"/>
    <s v="Approved"/>
    <m/>
    <d v="2026-06-17T00:00:00"/>
    <s v="Approved"/>
    <m/>
    <d v="2026-06-17T00:00:00"/>
    <s v="N/A"/>
    <m/>
    <m/>
    <s v="N/A"/>
    <m/>
    <m/>
    <s v="N/A"/>
    <m/>
    <m/>
    <s v="N/A"/>
    <m/>
    <m/>
    <s v="N/A"/>
    <m/>
    <m/>
    <s v="Active"/>
    <s v="Yes"/>
    <s v="NPI: All development items approved/closed for SW39"/>
    <m/>
  </r>
  <r>
    <x v="1"/>
    <x v="1"/>
    <s v="BIEN"/>
    <m/>
    <s v="BISCAYNE HOSPITALITY"/>
    <s v="BISCAYNE"/>
    <s v="PARK_AVENUE_HOTEL"/>
    <x v="76"/>
    <n v="1"/>
    <x v="3"/>
    <s v="NEW"/>
    <s v="3. Prototype Readiness (BOM)"/>
    <d v="2026-05-30T00:00:00"/>
    <d v="2026-06-04T00:00:00"/>
    <d v="2026-06-26T00:00:00"/>
    <s v=""/>
    <s v="US"/>
    <s v="CA"/>
    <n v="0"/>
    <n v="0"/>
    <m/>
    <m/>
    <x v="35"/>
    <n v="3"/>
    <n v="2843.6000000000004"/>
    <n v="2843.6000000000004"/>
    <x v="8"/>
    <x v="0"/>
    <d v="2026-08-17T00:00:00"/>
    <d v="2026-08-21T00:00:00"/>
    <d v="2026-09-25T00:00:00"/>
    <d v="2026-09-25T00:00:00"/>
    <s v="2026/W39"/>
    <s v="2026/W39"/>
    <s v="Approved"/>
    <m/>
    <m/>
    <s v="Approved"/>
    <m/>
    <m/>
    <s v="Approved"/>
    <m/>
    <m/>
    <s v="Approved"/>
    <m/>
    <m/>
    <s v="N/A"/>
    <m/>
    <m/>
    <s v="N/A"/>
    <m/>
    <m/>
    <s v="N/A"/>
    <m/>
    <m/>
    <s v="Active"/>
    <s v="Yes"/>
    <s v="NPD: All development items approved/closed for SW39"/>
    <m/>
  </r>
  <r>
    <x v="1"/>
    <x v="0"/>
    <s v="BIEN"/>
    <m/>
    <s v="BISCAYNE HOSPITALITY"/>
    <s v="BISCAYNE"/>
    <s v="PARK_AVENUE_HOTEL"/>
    <x v="77"/>
    <n v="1"/>
    <x v="1"/>
    <s v="NEW"/>
    <s v="1. Preliminary Design"/>
    <m/>
    <d v="2026-06-04T00:00:00"/>
    <m/>
    <s v=""/>
    <s v="US"/>
    <s v="CA"/>
    <n v="1"/>
    <n v="1"/>
    <m/>
    <m/>
    <x v="14"/>
    <m/>
    <n v="780835.84000000008"/>
    <n v="780835.84000000008"/>
    <x v="12"/>
    <x v="2"/>
    <m/>
    <m/>
    <s v="TBC"/>
    <s v="TBC"/>
    <s v="TBC"/>
    <s v="TBC"/>
    <s v="Not Started "/>
    <m/>
    <m/>
    <s v="Not Started "/>
    <m/>
    <m/>
    <s v="Not Started "/>
    <m/>
    <m/>
    <s v="Not Started "/>
    <m/>
    <m/>
    <s v="Not Started "/>
    <m/>
    <m/>
    <s v="Not Started "/>
    <m/>
    <m/>
    <s v="Not Started "/>
    <m/>
    <m/>
    <s v="Active"/>
    <s v="Yes"/>
    <s v="NPI: All development items approved/closed for SW TBC"/>
    <m/>
  </r>
  <r>
    <x v="0"/>
    <x v="0"/>
    <s v="BIEN"/>
    <s v="Madison Lay"/>
    <s v="RESTORATION HARDWARE_HS"/>
    <s v="RH"/>
    <s v="CAUDWELL"/>
    <x v="78"/>
    <n v="1"/>
    <x v="0"/>
    <s v="NEW"/>
    <s v="8. Shipment"/>
    <m/>
    <d v="2026-06-17T00:00:00"/>
    <m/>
    <s v=""/>
    <s v="UK"/>
    <m/>
    <m/>
    <m/>
    <m/>
    <m/>
    <x v="6"/>
    <m/>
    <n v="499.5"/>
    <n v="499.5"/>
    <x v="2"/>
    <x v="0"/>
    <d v="2026-07-14T00:00:00"/>
    <d v="2026-07-14T00:00:00"/>
    <d v="2026-07-25T00:00:00"/>
    <d v="2026-07-25T00:00:00"/>
    <s v="2026/W30"/>
    <s v="2026/W30"/>
    <s v="Approved"/>
    <m/>
    <d v="2026-06-17T00:00:00"/>
    <s v="Approved"/>
    <m/>
    <d v="2026-06-17T00:00:00"/>
    <s v="Approved"/>
    <m/>
    <m/>
    <s v="N/A"/>
    <m/>
    <m/>
    <s v="N/A"/>
    <m/>
    <m/>
    <s v="N/A"/>
    <m/>
    <m/>
    <s v="COM"/>
    <m/>
    <d v="2026-06-22T00:00:00"/>
    <s v="Complete"/>
    <s v="Yes"/>
    <s v="READY"/>
    <m/>
  </r>
  <r>
    <x v="0"/>
    <x v="0"/>
    <s v="DUY"/>
    <s v="Sue Bilstad"/>
    <s v="RESTORATION HARDWARE_HS"/>
    <s v="RH"/>
    <s v="FOUR SEASONS  DENVER"/>
    <x v="79"/>
    <n v="1"/>
    <x v="1"/>
    <s v="NEW"/>
    <s v="1. Preliminary Design"/>
    <d v="2026-06-23T00:00:00"/>
    <s v="PENDING"/>
    <m/>
    <s v=""/>
    <m/>
    <m/>
    <n v="0"/>
    <n v="0"/>
    <m/>
    <m/>
    <x v="4"/>
    <n v="2"/>
    <n v="4003.5"/>
    <n v="4003.5"/>
    <x v="11"/>
    <x v="1"/>
    <m/>
    <m/>
    <d v="2026-12-04T00:00:00"/>
    <d v="2026-12-04T00:00:00"/>
    <s v="2026/W49"/>
    <s v="2026/W49"/>
    <s v="Pending Approval"/>
    <m/>
    <m/>
    <s v="Approved"/>
    <m/>
    <m/>
    <s v="In Progress"/>
    <m/>
    <m/>
    <s v="N/A"/>
    <m/>
    <m/>
    <s v="N/A"/>
    <m/>
    <m/>
    <s v="N/A"/>
    <m/>
    <m/>
    <s v="N/A"/>
    <m/>
    <m/>
    <s v="Active"/>
    <s v="Yes"/>
    <s v="NPI: In progress: Marble; Pending approval: Drawing for SW49"/>
    <m/>
  </r>
  <r>
    <x v="0"/>
    <x v="1"/>
    <s v="DUY"/>
    <m/>
    <s v="RESTORATION HARDWARE_HS"/>
    <s v="RH"/>
    <s v="MUNISH"/>
    <x v="80"/>
    <n v="1"/>
    <x v="8"/>
    <s v="NEW"/>
    <s v="1. Preliminary Design"/>
    <d v="2026-06-26T00:00:00"/>
    <m/>
    <m/>
    <s v=""/>
    <m/>
    <m/>
    <m/>
    <m/>
    <m/>
    <m/>
    <x v="6"/>
    <m/>
    <m/>
    <m/>
    <x v="26"/>
    <x v="4"/>
    <m/>
    <m/>
    <m/>
    <m/>
    <s v=""/>
    <s v=""/>
    <s v="In Progress"/>
    <m/>
    <m/>
    <s v="In Progress"/>
    <m/>
    <m/>
    <s v="N/A"/>
    <m/>
    <m/>
    <s v="N/A"/>
    <m/>
    <m/>
    <s v="N/A"/>
    <m/>
    <m/>
    <s v="N/A"/>
    <m/>
    <m/>
    <s v="N/A"/>
    <m/>
    <m/>
    <s v="Complete"/>
    <s v="Yes"/>
    <s v="NPD: In progress: Drawing, Veneer/Wood"/>
    <m/>
  </r>
  <r>
    <x v="0"/>
    <x v="0"/>
    <s v="DUY"/>
    <s v="Monica"/>
    <s v="RESTORATION HARDWARE_HS"/>
    <s v="RH"/>
    <s v="MAUNA LANI"/>
    <x v="81"/>
    <n v="1"/>
    <x v="3"/>
    <s v="REO"/>
    <s v="5. Production Readiness"/>
    <d v="2026-06-09T00:00:00"/>
    <d v="2026-08-11T00:00:00"/>
    <m/>
    <s v=""/>
    <s v="US"/>
    <s v="HI"/>
    <n v="0"/>
    <n v="0"/>
    <m/>
    <m/>
    <x v="4"/>
    <n v="8"/>
    <n v="3240"/>
    <n v="3240"/>
    <x v="11"/>
    <x v="1"/>
    <m/>
    <m/>
    <d v="2026-01-08T00:00:00"/>
    <d v="2026-01-08T00:00:00"/>
    <s v="2026/W02"/>
    <s v="2026/W02"/>
    <s v="Approved"/>
    <m/>
    <d v="2026-08-21T00:00:00"/>
    <s v="Approved"/>
    <m/>
    <d v="2026-08-21T00:00:00"/>
    <s v="N/A"/>
    <m/>
    <m/>
    <s v="Approved"/>
    <m/>
    <d v="2026-08-21T00:00:00"/>
    <s v="N/A"/>
    <m/>
    <m/>
    <s v="N/A"/>
    <m/>
    <m/>
    <s v="N/A"/>
    <m/>
    <m/>
    <s v="Active"/>
    <s v="Yes"/>
    <s v="NPI: All development items approved/closed for SW02"/>
    <m/>
  </r>
  <r>
    <x v="0"/>
    <x v="0"/>
    <s v="BIEN"/>
    <s v="Madison Lay"/>
    <s v="RESTORATION HARDWARE_HS"/>
    <s v="RH"/>
    <s v="GOLDEN PEAK"/>
    <x v="82"/>
    <n v="1"/>
    <x v="0"/>
    <s v="NEW"/>
    <s v="8. Shipment"/>
    <m/>
    <d v="2026-06-23T00:00:00"/>
    <m/>
    <s v=""/>
    <m/>
    <m/>
    <m/>
    <m/>
    <m/>
    <m/>
    <x v="6"/>
    <m/>
    <n v="1466"/>
    <n v="1466"/>
    <x v="2"/>
    <x v="0"/>
    <d v="2026-07-20T00:00:00"/>
    <d v="2026-07-25T00:00:00"/>
    <d v="2026-07-27T00:00:00"/>
    <d v="2026-08-01T00:00:00"/>
    <s v="2026/W31"/>
    <s v="2026/W31"/>
    <s v="Approved"/>
    <m/>
    <d v="2026-06-25T00:00:00"/>
    <s v="Approved"/>
    <m/>
    <d v="2026-06-25T00:00:00"/>
    <s v="Approved"/>
    <m/>
    <m/>
    <s v="N/A"/>
    <m/>
    <m/>
    <s v="N/A"/>
    <m/>
    <m/>
    <s v="N/A"/>
    <m/>
    <m/>
    <s v="N/A"/>
    <m/>
    <s v="NA"/>
    <s v="Complete"/>
    <s v="Yes"/>
    <s v="READY"/>
    <m/>
  </r>
  <r>
    <x v="0"/>
    <x v="0"/>
    <s v="DUY"/>
    <s v="Caroline Dillard"/>
    <s v="RESTORATION HARDWARE_HS"/>
    <s v="RH"/>
    <s v="CUSTOM BEDS FOR EU"/>
    <x v="83"/>
    <n v="1"/>
    <x v="1"/>
    <s v="NEW"/>
    <s v="2. Product &amp; Process Dev"/>
    <d v="2026-07-09T00:00:00"/>
    <m/>
    <m/>
    <s v=""/>
    <s v="EU"/>
    <m/>
    <n v="2"/>
    <n v="8"/>
    <m/>
    <m/>
    <x v="4"/>
    <n v="8"/>
    <n v="8455.52"/>
    <n v="8455.52"/>
    <x v="11"/>
    <x v="1"/>
    <m/>
    <m/>
    <d v="2027-01-08T00:00:00"/>
    <d v="2027-01-08T00:00:00"/>
    <s v="2027/W02"/>
    <s v="2027/W02"/>
    <s v="Pending Approval"/>
    <d v="2026-08-14T00:00:00"/>
    <m/>
    <s v="Not Started"/>
    <m/>
    <m/>
    <s v="N/A"/>
    <m/>
    <m/>
    <s v="N/A"/>
    <m/>
    <m/>
    <s v="N/A"/>
    <m/>
    <m/>
    <s v="N/A"/>
    <m/>
    <m/>
    <s v="N/A"/>
    <m/>
    <m/>
    <s v="Active"/>
    <s v="Yes"/>
    <s v="NPI: Pending approval: Drawing; Not started: Veneer/Wood; need approval by 14-Aug-26 for SW02"/>
    <m/>
  </r>
  <r>
    <x v="1"/>
    <x v="1"/>
    <s v="DUONG"/>
    <m/>
    <s v="BLACKWELL GROUP LLC"/>
    <s v="BWG "/>
    <s v="MUSE POINT APARTMENT"/>
    <x v="84"/>
    <n v="1"/>
    <x v="3"/>
    <s v="NEW"/>
    <s v="3. Prototype Readiness (BOM)"/>
    <d v="2026-07-13T00:00:00"/>
    <m/>
    <m/>
    <s v=""/>
    <s v="AU"/>
    <s v="AU"/>
    <n v="0"/>
    <n v="0"/>
    <m/>
    <m/>
    <x v="3"/>
    <n v="19"/>
    <n v="0"/>
    <n v="0"/>
    <x v="8"/>
    <x v="0"/>
    <m/>
    <m/>
    <d v="2026-09-18T00:00:00"/>
    <d v="2026-09-18T00:00:00"/>
    <s v="2026/W38"/>
    <s v="2026/W38"/>
    <s v="Approved"/>
    <m/>
    <m/>
    <s v="Approved"/>
    <m/>
    <m/>
    <s v="N/A"/>
    <m/>
    <m/>
    <s v="Approved"/>
    <m/>
    <m/>
    <s v="N/A"/>
    <m/>
    <m/>
    <s v="N/A"/>
    <m/>
    <m/>
    <s v="N/A"/>
    <m/>
    <m/>
    <s v="Active"/>
    <m/>
    <s v="NPD: All development items approved/closed for SW38"/>
    <m/>
  </r>
  <r>
    <x v="0"/>
    <x v="1"/>
    <s v="DUY"/>
    <s v="Monica"/>
    <s v="RESTORATION HARDWARE_HS"/>
    <s v="RH"/>
    <s v="DANCING BEAR "/>
    <x v="85"/>
    <n v="1"/>
    <x v="3"/>
    <s v="NEW"/>
    <s v="4. Prototype Build"/>
    <d v="2026-07-18T00:00:00"/>
    <d v="2026-08-25T00:00:00"/>
    <m/>
    <s v=""/>
    <s v="US"/>
    <s v="US"/>
    <n v="0"/>
    <n v="0"/>
    <m/>
    <m/>
    <x v="14"/>
    <n v="25"/>
    <n v="33810.54"/>
    <n v="33810.54"/>
    <x v="10"/>
    <x v="0"/>
    <d v="2026-09-11T00:00:00"/>
    <d v="2026-09-11T00:00:00"/>
    <d v="2026-10-09T00:00:00"/>
    <d v="2026-10-23T00:00:00"/>
    <s v="2026/W41"/>
    <s v="2026/W43"/>
    <s v="Approved"/>
    <m/>
    <d v="2026-09-11T00:00:00"/>
    <s v="Approved"/>
    <d v="2026-09-11T00:00:00"/>
    <d v="2026-09-09T00:00:00"/>
    <s v="Approved"/>
    <m/>
    <d v="2026-08-27T00:00:00"/>
    <s v="Approved"/>
    <d v="2026-09-11T00:00:00"/>
    <d v="2026-09-04T00:00:00"/>
    <s v="N/A"/>
    <m/>
    <m/>
    <s v="Approved"/>
    <m/>
    <m/>
    <s v="COM Received"/>
    <m/>
    <m/>
    <s v="Active"/>
    <s v="Yes"/>
    <s v="NPD: Fabric is com received for SW43"/>
    <s v="COM Received"/>
  </r>
  <r>
    <x v="0"/>
    <x v="0"/>
    <s v="DUY"/>
    <s v="Monica"/>
    <s v="RESTORATION HARDWARE_HS"/>
    <s v="RH"/>
    <s v="DANCING BEAR "/>
    <x v="85"/>
    <n v="1"/>
    <x v="1"/>
    <s v="NEW"/>
    <s v="4. Prototype Build"/>
    <d v="2026-07-18T00:00:00"/>
    <m/>
    <m/>
    <s v=""/>
    <s v="US"/>
    <s v="US"/>
    <n v="0"/>
    <n v="0"/>
    <m/>
    <m/>
    <x v="13"/>
    <n v="494"/>
    <n v="299970.28999999998"/>
    <n v="299970.28999999998"/>
    <x v="14"/>
    <x v="1"/>
    <m/>
    <m/>
    <s v="TBC"/>
    <s v="TBC"/>
    <s v="TBC"/>
    <s v="TBC"/>
    <s v="In Progress"/>
    <m/>
    <m/>
    <s v="Not Started"/>
    <m/>
    <m/>
    <s v="Not Started"/>
    <m/>
    <m/>
    <s v="In Progress"/>
    <m/>
    <m/>
    <s v="N/A"/>
    <m/>
    <m/>
    <s v="Not Started"/>
    <m/>
    <m/>
    <s v="Not Started"/>
    <m/>
    <m/>
    <s v="Active"/>
    <s v="Yes"/>
    <s v="NPI: In progress: Drawing, Metal; Not started: Veneer/Wood, Marble, Electrical, Fabric for SW TBC"/>
    <m/>
  </r>
  <r>
    <x v="0"/>
    <x v="1"/>
    <s v="DUONG"/>
    <s v="Madison Lay"/>
    <s v="RESTORATION HARDWARE_HS"/>
    <s v="RH"/>
    <s v="FOOTES REST"/>
    <x v="86"/>
    <n v="1"/>
    <x v="3"/>
    <s v="NEW"/>
    <s v="2. Product &amp; Process Dev"/>
    <d v="2026-07-23T00:00:00"/>
    <m/>
    <m/>
    <s v=""/>
    <s v="US"/>
    <s v="CO"/>
    <n v="0"/>
    <n v="0"/>
    <m/>
    <m/>
    <x v="34"/>
    <n v="31"/>
    <n v="32385.58"/>
    <n v="32385.58"/>
    <x v="10"/>
    <x v="0"/>
    <m/>
    <m/>
    <d v="2026-10-23T00:00:00"/>
    <d v="2026-11-13T00:00:00"/>
    <s v="2026/W43"/>
    <s v="2026/W46"/>
    <s v="Pending Approval"/>
    <m/>
    <m/>
    <s v="Pending Approval"/>
    <m/>
    <m/>
    <s v="Approved"/>
    <m/>
    <m/>
    <s v="Pending Approval"/>
    <m/>
    <m/>
    <s v="In Progress"/>
    <m/>
    <m/>
    <s v="N/A"/>
    <m/>
    <m/>
    <s v="COM Pending"/>
    <d v="2026-09-04T00:00:00"/>
    <m/>
    <s v="Active"/>
    <s v="Yes"/>
    <s v="NPD: In progress: Mirror; Pending approval: Drawing, Veneer/Wood, Metal; Fabric is com pending; need approval by 4-Sep-26 for SW46"/>
    <m/>
  </r>
  <r>
    <x v="0"/>
    <x v="0"/>
    <s v="DUONG"/>
    <s v="Madison Lay"/>
    <s v="RESTORATION HARDWARE_HS"/>
    <s v="RH"/>
    <s v="FOOTES REST"/>
    <x v="86"/>
    <n v="1"/>
    <x v="1"/>
    <s v="NEW"/>
    <s v="2. Product &amp; Process Dev"/>
    <m/>
    <m/>
    <m/>
    <s v=""/>
    <s v="US"/>
    <s v="CO"/>
    <n v="0"/>
    <n v="0"/>
    <m/>
    <m/>
    <x v="5"/>
    <m/>
    <n v="543005"/>
    <n v="271502.5"/>
    <x v="5"/>
    <x v="1"/>
    <m/>
    <m/>
    <d v="2026-07-17T00:00:00"/>
    <d v="2026-08-21T00:00:00"/>
    <s v="2026/W29"/>
    <s v="2026/W34"/>
    <s v="In Progress"/>
    <m/>
    <m/>
    <s v="In Progress"/>
    <m/>
    <m/>
    <s v="Pending Approval"/>
    <m/>
    <m/>
    <s v="Pending Approval"/>
    <m/>
    <m/>
    <s v="Pending approval"/>
    <m/>
    <m/>
    <s v="N/A"/>
    <m/>
    <m/>
    <s v="COM"/>
    <m/>
    <m/>
    <s v="Active"/>
    <s v="Yes"/>
    <s v="NPI: In progress: Drawing, Veneer/Wood; Pending approval: Marble, Metal, Mirror; Fabric is com for SW34"/>
    <m/>
  </r>
  <r>
    <x v="0"/>
    <x v="0"/>
    <s v="DUONG"/>
    <s v="Madison Lay"/>
    <s v="RESTORATION HARDWARE_HS"/>
    <s v="RH"/>
    <s v="FOOTES REST"/>
    <x v="86"/>
    <n v="0"/>
    <x v="1"/>
    <s v="NEW"/>
    <s v="2. Product &amp; Process Dev"/>
    <m/>
    <m/>
    <m/>
    <s v=""/>
    <s v="US"/>
    <s v="CO"/>
    <n v="0"/>
    <n v="0"/>
    <m/>
    <m/>
    <x v="5"/>
    <m/>
    <n v="543005"/>
    <n v="271502.5"/>
    <x v="6"/>
    <x v="1"/>
    <m/>
    <m/>
    <d v="2026-07-17T00:00:00"/>
    <d v="2026-08-21T00:00:00"/>
    <s v="2026/W29"/>
    <s v="2026/W34"/>
    <s v="In Progress"/>
    <m/>
    <m/>
    <s v="In Progress"/>
    <m/>
    <m/>
    <s v="Pending Approval"/>
    <m/>
    <m/>
    <s v="Pending Approval"/>
    <m/>
    <m/>
    <s v="Pending approval"/>
    <m/>
    <m/>
    <s v="N/A"/>
    <m/>
    <m/>
    <s v="COM"/>
    <m/>
    <m/>
    <s v="Active"/>
    <s v="Yes"/>
    <s v="NPI: In progress: Drawing, Veneer/Wood; Pending approval: Marble, Metal, Mirror; Fabric is com for SW34"/>
    <m/>
  </r>
  <r>
    <x v="1"/>
    <x v="1"/>
    <s v="BIEN"/>
    <s v="Elaine"/>
    <s v="FLEETWOOD FURNITURE"/>
    <s v="FLEETWOOD "/>
    <s v="W-HOTEL-LAS-VEGAS"/>
    <x v="43"/>
    <n v="0"/>
    <x v="0"/>
    <s v="NEW"/>
    <s v="8. Shipment"/>
    <d v="2025-10-09T00:00:00"/>
    <m/>
    <m/>
    <s v="25% desposit, 75% period shipment"/>
    <s v="US"/>
    <s v="NV"/>
    <n v="0"/>
    <n v="0"/>
    <m/>
    <m/>
    <x v="35"/>
    <n v="3"/>
    <s v="FOC"/>
    <n v="0"/>
    <x v="8"/>
    <x v="0"/>
    <d v="2026-09-21T00:00:00"/>
    <d v="2026-09-21T00:00:00"/>
    <d v="2026-09-25T00:00:00"/>
    <d v="2026-09-25T00:00:00"/>
    <s v="2026/W39"/>
    <s v="2026/W39"/>
    <s v="Approved"/>
    <m/>
    <m/>
    <s v="Approved"/>
    <m/>
    <m/>
    <s v="Approved"/>
    <m/>
    <m/>
    <s v="Approved"/>
    <m/>
    <m/>
    <s v="N/A"/>
    <m/>
    <m/>
    <s v="N/A"/>
    <m/>
    <m/>
    <s v="COM Received"/>
    <m/>
    <m/>
    <s v="Complete"/>
    <m/>
    <s v="READY"/>
    <m/>
  </r>
  <r>
    <x v="0"/>
    <x v="0"/>
    <s v="TRAN"/>
    <s v="Madison Lay"/>
    <s v="RESTORATION HARDWARE_HS"/>
    <s v="RH"/>
    <s v="RITZ CABO VILLA"/>
    <x v="87"/>
    <n v="1"/>
    <x v="1"/>
    <s v="NEW"/>
    <s v="1. Preliminary Design"/>
    <d v="2026-07-24T00:00:00"/>
    <m/>
    <m/>
    <s v=""/>
    <s v="Mexico"/>
    <s v="Mexico"/>
    <s v="TBC"/>
    <s v="TBC"/>
    <m/>
    <m/>
    <x v="27"/>
    <m/>
    <n v="9809"/>
    <n v="9809"/>
    <x v="12"/>
    <x v="2"/>
    <m/>
    <m/>
    <s v="TBC"/>
    <s v="TBC"/>
    <s v="TBC"/>
    <s v="TBC"/>
    <s v="Not Started"/>
    <m/>
    <m/>
    <s v="Not Started"/>
    <m/>
    <m/>
    <s v="N/A"/>
    <m/>
    <m/>
    <s v="N/A"/>
    <m/>
    <m/>
    <s v="N/A"/>
    <m/>
    <m/>
    <s v="N/A"/>
    <m/>
    <m/>
    <m/>
    <m/>
    <m/>
    <s v="Active"/>
    <s v="Yes"/>
    <s v="NPI: Not started: Drawing, Veneer/Wood for SW TBC"/>
    <m/>
  </r>
  <r>
    <x v="1"/>
    <x v="1"/>
    <s v="THAO"/>
    <s v="Erika"/>
    <s v="FLEETWOOD FURNITURE"/>
    <s v="FLEETWOOD "/>
    <s v="BDNY"/>
    <x v="88"/>
    <n v="1"/>
    <x v="3"/>
    <s v="NEW"/>
    <s v="3. Prototype Readiness (BOM)"/>
    <d v="2026-07-21T00:00:00"/>
    <d v="2026-07-21T00:00:00"/>
    <s v="FOC"/>
    <s v="25% desposit, 75% period shipment"/>
    <s v="US"/>
    <s v="NY"/>
    <n v="0"/>
    <n v="0"/>
    <n v="2"/>
    <m/>
    <x v="35"/>
    <n v="3"/>
    <s v="FOC"/>
    <n v="0"/>
    <x v="8"/>
    <x v="0"/>
    <d v="2026-09-19T00:00:00"/>
    <d v="2026-09-19T00:00:00"/>
    <d v="2026-10-01T00:00:00"/>
    <d v="2026-10-01T00:00:00"/>
    <s v="2026/W40"/>
    <s v="2026/W40"/>
    <s v="Approved"/>
    <m/>
    <d v="2026-07-30T00:00:00"/>
    <s v="Approved"/>
    <m/>
    <d v="2026-09-11T00:00:00"/>
    <s v="Approved"/>
    <m/>
    <d v="2026-09-11T00:00:00"/>
    <s v="Approved"/>
    <m/>
    <d v="2026-09-18T00:00:00"/>
    <s v="N/A"/>
    <m/>
    <m/>
    <s v="N/A"/>
    <m/>
    <m/>
    <s v="N/A"/>
    <m/>
    <m/>
    <s v="Active"/>
    <m/>
    <s v="NPD: All development items approved/closed for SW40"/>
    <m/>
  </r>
  <r>
    <x v="0"/>
    <x v="0"/>
    <s v="BIEN"/>
    <s v="Madison Lay"/>
    <s v="RESTORATION HARDWARE_HS"/>
    <s v="RH"/>
    <s v="AHS ONE CANAL CRESENT"/>
    <x v="89"/>
    <n v="1"/>
    <x v="2"/>
    <s v="NEW"/>
    <s v="5. Production Readiness"/>
    <m/>
    <m/>
    <m/>
    <s v=""/>
    <m/>
    <m/>
    <n v="0"/>
    <n v="0"/>
    <m/>
    <m/>
    <x v="27"/>
    <m/>
    <s v="TBC"/>
    <s v="TBC"/>
    <x v="8"/>
    <x v="0"/>
    <m/>
    <m/>
    <d v="2026-09-12T00:00:00"/>
    <d v="2026-09-12T00:00:00"/>
    <s v="2026/W37"/>
    <s v="2026/W37"/>
    <m/>
    <m/>
    <m/>
    <m/>
    <m/>
    <m/>
    <m/>
    <m/>
    <m/>
    <m/>
    <m/>
    <m/>
    <m/>
    <m/>
    <m/>
    <m/>
    <m/>
    <m/>
    <m/>
    <m/>
    <m/>
    <s v="Complete"/>
    <m/>
    <s v="NPI: All development items approved/closed for SW37"/>
    <s v="Waiting for P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s v="TRINH"/>
    <s v="Sue Bilstad"/>
    <s v="RESTORATION HARDWARE_HS"/>
    <s v="RH"/>
    <s v="GRAND HYATT BAHA MAR "/>
    <x v="0"/>
    <n v="1"/>
    <x v="0"/>
    <s v="NEW"/>
    <s v="8. Shipment"/>
    <d v="2026-01-11T00:00:00"/>
    <d v="2026-03-17T00:00:00"/>
    <m/>
    <s v="BS"/>
    <s v="Bahamas"/>
    <m/>
    <m/>
    <m/>
    <m/>
    <x v="0"/>
    <m/>
    <n v="2454228"/>
    <n v="153379"/>
    <x v="0"/>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
    <x v="1"/>
    <n v="1"/>
    <x v="0"/>
    <s v="NEW"/>
    <s v="8. Shipment"/>
    <d v="2026-01-11T00:00:00"/>
    <d v="2026-03-17T00:00:00"/>
    <m/>
    <s v="BS"/>
    <s v="Bahamas"/>
    <m/>
    <m/>
    <m/>
    <m/>
    <x v="0"/>
    <m/>
    <n v="2454228"/>
    <n v="1004676"/>
    <x v="1"/>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
    <x v="1"/>
    <n v="0"/>
    <x v="0"/>
    <s v="NEW"/>
    <s v="8. Shipment"/>
    <d v="2026-01-11T00:00:00"/>
    <d v="2026-03-17T00:00:00"/>
    <m/>
    <s v="BS"/>
    <s v="Bahamas"/>
    <m/>
    <m/>
    <m/>
    <m/>
    <x v="0"/>
    <m/>
    <n v="2454228"/>
    <n v="969712.83000000007"/>
    <x v="2"/>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
    <x v="1"/>
    <n v="0"/>
    <x v="0"/>
    <s v="NEW"/>
    <s v="8. Shipment"/>
    <d v="2026-01-11T00:00:00"/>
    <d v="2026-03-17T00:00:00"/>
    <m/>
    <s v="BS"/>
    <s v="Bahamas"/>
    <m/>
    <m/>
    <m/>
    <m/>
    <x v="0"/>
    <m/>
    <n v="2454228"/>
    <n v="308393"/>
    <x v="3"/>
    <x v="0"/>
    <d v="2026-05-25T00:00:00"/>
    <d v="2026-06-28T00:00:00"/>
    <d v="2026-05-31T00:00:00"/>
    <d v="2026-08-23T00:00:00"/>
    <s v="2026/W22"/>
    <s v="2026/W34"/>
    <s v="Approved"/>
    <m/>
    <m/>
    <s v="Approved"/>
    <m/>
    <m/>
    <s v="Approved"/>
    <m/>
    <m/>
    <s v="Approved"/>
    <m/>
    <m/>
    <s v="N/A"/>
    <m/>
    <m/>
    <s v="Approved"/>
    <m/>
    <m/>
    <s v="COM Received"/>
    <m/>
    <m/>
    <s v="Complete"/>
    <s v="Yes"/>
    <s v="READY"/>
    <m/>
  </r>
  <r>
    <x v="0"/>
    <x v="0"/>
    <s v="TRINH"/>
    <s v="Sue Bilstad"/>
    <s v="RESTORATION HARDWARE_HS"/>
    <s v="RH"/>
    <s v="GRAND HYATT BAHA MAR"/>
    <x v="1"/>
    <n v="0"/>
    <x v="0"/>
    <s v="NEW"/>
    <s v="8. Shipment"/>
    <d v="2026-01-11T00:00:00"/>
    <d v="2026-03-17T00:00:00"/>
    <m/>
    <s v="BS"/>
    <s v="Bahamas"/>
    <n v="0"/>
    <n v="0"/>
    <m/>
    <m/>
    <x v="0"/>
    <m/>
    <n v="2454228"/>
    <n v="18067"/>
    <x v="3"/>
    <x v="0"/>
    <d v="2026-05-25T00:00:00"/>
    <d v="2026-06-28T00:00:00"/>
    <d v="2026-05-31T00:00:00"/>
    <d v="2026-08-23T00:00:00"/>
    <s v="2026/W22"/>
    <s v="2026/W34"/>
    <s v="Approved"/>
    <m/>
    <m/>
    <s v="Approved"/>
    <m/>
    <m/>
    <s v="Approved"/>
    <m/>
    <m/>
    <s v="Approved"/>
    <m/>
    <m/>
    <s v="N/A"/>
    <m/>
    <m/>
    <s v="Approved"/>
    <m/>
    <m/>
    <s v="COM Received"/>
    <m/>
    <m/>
    <s v="Complete"/>
    <s v="Yes"/>
    <s v="READY"/>
    <m/>
  </r>
  <r>
    <x v="0"/>
    <x v="0"/>
    <s v="BIEN"/>
    <s v="Sue Bilstad"/>
    <s v="RESTORATION HARDWARE_HS"/>
    <s v="RH"/>
    <s v="GRAND HYATT BAHA MAR-PHASE 2"/>
    <x v="2"/>
    <n v="1"/>
    <x v="1"/>
    <s v="NEW"/>
    <s v="1. Preliminary Design"/>
    <m/>
    <m/>
    <m/>
    <s v="BS"/>
    <s v="Bahamas"/>
    <n v="0"/>
    <n v="0"/>
    <m/>
    <m/>
    <x v="1"/>
    <m/>
    <n v="2926353.7800000003"/>
    <n v="1000000"/>
    <x v="4"/>
    <x v="1"/>
    <m/>
    <m/>
    <d v="2027-06-11T00:00:00"/>
    <d v="2027-08-27T00:00:00"/>
    <s v="2027/W24"/>
    <s v="2027/W35"/>
    <s v="Not Started"/>
    <m/>
    <m/>
    <s v="Not Started"/>
    <m/>
    <m/>
    <s v="Not Started"/>
    <m/>
    <m/>
    <s v="Not Started"/>
    <m/>
    <m/>
    <s v="N/A"/>
    <m/>
    <m/>
    <s v="Not Started"/>
    <m/>
    <m/>
    <s v="Not Started"/>
    <m/>
    <m/>
    <s v="Active"/>
    <s v="Yes"/>
    <s v="NPI: Not started: Drawing, Veneer/Wood, Marble, Metal, Electrical, Fabric for SW35"/>
    <m/>
  </r>
  <r>
    <x v="0"/>
    <x v="0"/>
    <s v="BIEN"/>
    <s v="Sue Bilstad"/>
    <s v="RESTORATION HARDWARE_HS"/>
    <s v="RH"/>
    <s v="GRAND HYATT BAHA MAR-PHASE 2"/>
    <x v="2"/>
    <n v="0"/>
    <x v="1"/>
    <s v="NEW"/>
    <s v="1. Preliminary Design"/>
    <m/>
    <m/>
    <m/>
    <s v="BS"/>
    <s v="Bahamas"/>
    <n v="0"/>
    <n v="0"/>
    <m/>
    <m/>
    <x v="1"/>
    <m/>
    <n v="2926353.7800000003"/>
    <n v="1000000"/>
    <x v="5"/>
    <x v="1"/>
    <m/>
    <m/>
    <d v="2027-06-11T00:00:00"/>
    <d v="2027-08-27T00:00:00"/>
    <s v="2027/W24"/>
    <s v="2027/W35"/>
    <s v="Not Started"/>
    <m/>
    <m/>
    <s v="Not Started"/>
    <m/>
    <m/>
    <s v="Not Started"/>
    <m/>
    <m/>
    <s v="Not Started"/>
    <m/>
    <m/>
    <s v="N/A"/>
    <m/>
    <m/>
    <s v="Not Started"/>
    <m/>
    <m/>
    <s v="Not Started"/>
    <m/>
    <m/>
    <s v="Active"/>
    <s v="Yes"/>
    <s v="NPI: Not started: Drawing, Veneer/Wood, Marble, Metal, Electrical, Fabric for SW35"/>
    <m/>
  </r>
  <r>
    <x v="0"/>
    <x v="0"/>
    <s v="BIEN"/>
    <s v="Sue Bilstad"/>
    <s v="RESTORATION HARDWARE_HS"/>
    <s v="RH"/>
    <s v="GRAND HYATT BAHA MAR-PHASE 2"/>
    <x v="2"/>
    <n v="0"/>
    <x v="1"/>
    <s v="NEW"/>
    <s v="1. Preliminary Design"/>
    <m/>
    <m/>
    <m/>
    <s v="BS"/>
    <s v="Bahamas"/>
    <n v="0"/>
    <n v="0"/>
    <m/>
    <m/>
    <x v="1"/>
    <m/>
    <n v="2926353.7800000003"/>
    <n v="926353.78000000026"/>
    <x v="6"/>
    <x v="1"/>
    <m/>
    <m/>
    <d v="2027-06-11T00:00:00"/>
    <d v="2027-08-27T00:00:00"/>
    <s v="2027/W24"/>
    <s v="2027/W35"/>
    <s v="Not Started"/>
    <m/>
    <m/>
    <s v="Not Started"/>
    <m/>
    <m/>
    <s v="Not Started"/>
    <m/>
    <m/>
    <s v="Not Started"/>
    <m/>
    <m/>
    <s v="N/A"/>
    <m/>
    <m/>
    <s v="Not Started"/>
    <m/>
    <m/>
    <s v="Not Started"/>
    <m/>
    <m/>
    <s v="Active"/>
    <s v="Yes"/>
    <s v="NPI: Not started: Drawing, Veneer/Wood, Marble, Metal, Electrical, Fabric for SW35"/>
    <m/>
  </r>
  <r>
    <x v="0"/>
    <x v="0"/>
    <s v="TUYET"/>
    <s v="Sue Bilstad"/>
    <s v="RESTORATION HARDWARE_HS"/>
    <s v="RH"/>
    <s v="FOX HARBOR"/>
    <x v="3"/>
    <n v="1"/>
    <x v="0"/>
    <s v="REO"/>
    <s v="8. Shipment"/>
    <d v="2025-09-17T00:00:00"/>
    <s v="-"/>
    <m/>
    <s v="CA"/>
    <s v="Canada"/>
    <m/>
    <m/>
    <m/>
    <m/>
    <x v="0"/>
    <m/>
    <n v="30383.55"/>
    <n v="30383.55"/>
    <x v="7"/>
    <x v="0"/>
    <s v="-"/>
    <m/>
    <d v="2026-04-04T00:00:00"/>
    <d v="2026-04-04T00:00:00"/>
    <s v="2026/W14"/>
    <s v="2026/W14"/>
    <s v="Approved"/>
    <m/>
    <m/>
    <s v="Approved"/>
    <m/>
    <m/>
    <s v="N/A"/>
    <m/>
    <m/>
    <s v="Approved"/>
    <m/>
    <m/>
    <s v="N/A"/>
    <m/>
    <m/>
    <s v="N/A"/>
    <m/>
    <m/>
    <s v="COM"/>
    <m/>
    <m/>
    <s v="Complete"/>
    <s v="Yes"/>
    <s v="READY"/>
    <m/>
  </r>
  <r>
    <x v="0"/>
    <x v="0"/>
    <s v="TRINH"/>
    <s v="Sue Bilstad"/>
    <s v="RESTORATION HARDWARE_HS"/>
    <s v="RH"/>
    <s v="RH CASSIA CONDO"/>
    <x v="4"/>
    <n v="1"/>
    <x v="0"/>
    <s v="NEW"/>
    <s v="8. Shipment"/>
    <d v="2025-12-29T00:00:00"/>
    <d v="2026-03-20T00:00:00"/>
    <m/>
    <s v="US"/>
    <s v="FL"/>
    <m/>
    <m/>
    <m/>
    <m/>
    <x v="2"/>
    <m/>
    <n v="1161167"/>
    <n v="269518"/>
    <x v="2"/>
    <x v="0"/>
    <d v="2026-07-31T00:00:00"/>
    <d v="2026-08-07T00:00:00"/>
    <d v="2026-07-20T00:00:00"/>
    <d v="2026-09-04T00:00:00"/>
    <s v="2026/W30"/>
    <s v="2026/W36"/>
    <s v="Approved"/>
    <m/>
    <m/>
    <s v="Approved"/>
    <m/>
    <m/>
    <s v="N/A"/>
    <m/>
    <m/>
    <s v="Approved"/>
    <m/>
    <m/>
    <s v="N/A"/>
    <m/>
    <m/>
    <s v="N/A"/>
    <m/>
    <m/>
    <s v="COM"/>
    <m/>
    <s v="13/6/2026"/>
    <s v="Complete"/>
    <s v="Yes"/>
    <s v="READY"/>
    <m/>
  </r>
  <r>
    <x v="0"/>
    <x v="0"/>
    <s v="TRINH"/>
    <s v="Sue Bilstad"/>
    <s v="RESTORATION HARDWARE_HS"/>
    <s v="RH"/>
    <s v="RH CASSIA CONDO"/>
    <x v="4"/>
    <n v="0"/>
    <x v="0"/>
    <s v="NEW"/>
    <s v="8. Shipment"/>
    <d v="2025-12-29T00:00:00"/>
    <d v="2026-03-20T00:00:00"/>
    <m/>
    <s v="US"/>
    <s v="FL"/>
    <m/>
    <m/>
    <m/>
    <m/>
    <x v="2"/>
    <m/>
    <n v="1161167"/>
    <n v="760037"/>
    <x v="3"/>
    <x v="0"/>
    <d v="2026-07-31T00:00:00"/>
    <d v="2026-08-07T00:00:00"/>
    <d v="2026-07-20T00:00:00"/>
    <d v="2026-09-04T00:00:00"/>
    <s v="2026/W30"/>
    <s v="2026/W36"/>
    <s v="Approved"/>
    <m/>
    <m/>
    <s v="Approved"/>
    <m/>
    <m/>
    <s v="N/A"/>
    <m/>
    <m/>
    <s v="Approved"/>
    <m/>
    <m/>
    <s v="N/A"/>
    <m/>
    <m/>
    <s v="N/A"/>
    <m/>
    <m/>
    <s v="COM Received"/>
    <m/>
    <s v="13/6/2026"/>
    <s v="Complete"/>
    <s v="Yes"/>
    <s v="READY"/>
    <m/>
  </r>
  <r>
    <x v="0"/>
    <x v="0"/>
    <s v="TRINH"/>
    <s v="Sue Bilstad"/>
    <s v="RESTORATION HARDWARE_HS"/>
    <s v="RH"/>
    <s v="RH CASSIA CONDO"/>
    <x v="4"/>
    <n v="0"/>
    <x v="0"/>
    <s v="NEW"/>
    <s v="8. Shipment"/>
    <d v="2025-12-29T00:00:00"/>
    <d v="2026-03-20T00:00:00"/>
    <m/>
    <s v="US"/>
    <s v="FL"/>
    <n v="0"/>
    <n v="0"/>
    <m/>
    <m/>
    <x v="2"/>
    <m/>
    <n v="1161167"/>
    <n v="131612"/>
    <x v="8"/>
    <x v="0"/>
    <d v="2026-07-31T00:00:00"/>
    <d v="2026-08-07T00:00:00"/>
    <d v="2026-07-20T00:00:00"/>
    <d v="2026-09-04T00:00:00"/>
    <s v="2026/W30"/>
    <s v="2026/W36"/>
    <s v="Approved"/>
    <m/>
    <m/>
    <s v="Approved"/>
    <m/>
    <m/>
    <s v="N/A"/>
    <m/>
    <m/>
    <s v="Approved"/>
    <m/>
    <m/>
    <s v="N/A"/>
    <m/>
    <m/>
    <s v="N/A"/>
    <m/>
    <m/>
    <s v="COM Received"/>
    <m/>
    <s v="13/6/2026"/>
    <s v="Complete"/>
    <s v="Yes"/>
    <s v="READY"/>
    <m/>
  </r>
  <r>
    <x v="0"/>
    <x v="0"/>
    <s v="DUNG"/>
    <s v="Sue Bilstad"/>
    <s v="RESTORATION HARDWARE_HS"/>
    <s v="RH"/>
    <s v="MAIN STREET BOUTIQUE HOTEL"/>
    <x v="5"/>
    <n v="1"/>
    <x v="0"/>
    <s v="NEW"/>
    <s v="8. Shipment"/>
    <d v="2025-10-23T00:00:00"/>
    <d v="2025-11-03T00:00:00"/>
    <m/>
    <s v="US"/>
    <s v="CA"/>
    <m/>
    <m/>
    <m/>
    <m/>
    <x v="3"/>
    <m/>
    <n v="54061.599999999999"/>
    <n v="54061.599999999999"/>
    <x v="7"/>
    <x v="0"/>
    <s v="-"/>
    <m/>
    <d v="2026-04-04T00:00:00"/>
    <d v="2026-04-04T00:00:00"/>
    <s v="2026/W14"/>
    <s v="2026/W14"/>
    <s v="Approved"/>
    <m/>
    <m/>
    <s v="Approved"/>
    <m/>
    <m/>
    <s v="N/A"/>
    <m/>
    <m/>
    <s v="Approved"/>
    <m/>
    <m/>
    <s v="Approved"/>
    <m/>
    <m/>
    <s v="Approved"/>
    <m/>
    <m/>
    <s v="COM"/>
    <m/>
    <m/>
    <s v="Complete"/>
    <s v="Yes"/>
    <s v="READY"/>
    <m/>
  </r>
  <r>
    <x v="0"/>
    <x v="0"/>
    <s v="DUNG"/>
    <m/>
    <s v="RESTORATION HARDWARE_HS"/>
    <s v="RH"/>
    <s v="CHICAGO PENDRY"/>
    <x v="6"/>
    <n v="1"/>
    <x v="2"/>
    <s v="NEW"/>
    <s v="4. Prototype Build"/>
    <d v="2025-06-20T00:00:00"/>
    <m/>
    <m/>
    <s v="US"/>
    <s v="IL"/>
    <m/>
    <m/>
    <m/>
    <m/>
    <x v="4"/>
    <m/>
    <n v="135705"/>
    <n v="135705"/>
    <x v="9"/>
    <x v="0"/>
    <s v="-"/>
    <m/>
    <d v="2026-04-04T00:00:00"/>
    <d v="2026-04-04T00:00:00"/>
    <s v="2026/W14"/>
    <s v="2026/W14"/>
    <s v="In Progress"/>
    <m/>
    <m/>
    <m/>
    <m/>
    <m/>
    <m/>
    <m/>
    <m/>
    <m/>
    <m/>
    <m/>
    <m/>
    <m/>
    <m/>
    <m/>
    <m/>
    <m/>
    <m/>
    <m/>
    <m/>
    <s v="Complete"/>
    <s v="Yes"/>
    <s v="NPI: In progress: Drawing for SW14"/>
    <m/>
  </r>
  <r>
    <x v="0"/>
    <x v="0"/>
    <s v="DUNG"/>
    <s v="Sue Bilstad"/>
    <s v="RESTORATION HARDWARE_HS"/>
    <s v="RH"/>
    <s v="CIA O&amp;O GUESTROOMS"/>
    <x v="7"/>
    <n v="1"/>
    <x v="1"/>
    <s v="NEW"/>
    <s v="4. Prototype Build"/>
    <m/>
    <m/>
    <m/>
    <s v="US"/>
    <s v="CA"/>
    <n v="0"/>
    <n v="0"/>
    <m/>
    <m/>
    <x v="5"/>
    <m/>
    <n v="143556.08999999997"/>
    <n v="143556.08999999997"/>
    <x v="5"/>
    <x v="1"/>
    <s v="-"/>
    <m/>
    <d v="2026-07-03T00:00:00"/>
    <d v="2026-07-10T00:00:00"/>
    <s v="2026/W27"/>
    <s v="2026/W28"/>
    <s v="Approved"/>
    <m/>
    <m/>
    <s v="Approved"/>
    <m/>
    <m/>
    <s v="Approved"/>
    <m/>
    <m/>
    <s v="Approved"/>
    <m/>
    <m/>
    <s v="Approved"/>
    <m/>
    <m/>
    <s v="N/A"/>
    <m/>
    <m/>
    <s v="COM"/>
    <m/>
    <m/>
    <s v="Active"/>
    <s v="Yes"/>
    <s v="NPI: Fabric is com for SW28"/>
    <s v="Prototype shipped. Awaiting for PO for mass production"/>
  </r>
  <r>
    <x v="0"/>
    <x v="0"/>
    <s v="TU ANH"/>
    <s v="Sue Bilstad"/>
    <s v="RESTORATION HARDWARE_HS"/>
    <s v="RH"/>
    <s v="HA STUDIO PICO/WILKINS"/>
    <x v="8"/>
    <n v="1"/>
    <x v="0"/>
    <s v="NEW"/>
    <s v="1. Preliminary Design"/>
    <d v="2026-01-05T00:00:00"/>
    <d v="2026-01-26T00:00:00"/>
    <m/>
    <s v="US"/>
    <s v="CA"/>
    <m/>
    <m/>
    <m/>
    <m/>
    <x v="6"/>
    <m/>
    <n v="12309"/>
    <n v="12309"/>
    <x v="1"/>
    <x v="0"/>
    <d v="2026-05-29T00:00:00"/>
    <d v="2026-06-16T00:00:00"/>
    <d v="2026-04-04T00:00:00"/>
    <d v="2026-04-04T00:00:00"/>
    <s v="2026/W14"/>
    <s v="2026/W14"/>
    <s v="Approved"/>
    <m/>
    <d v="2026-02-05T00:00:00"/>
    <s v="Approved"/>
    <m/>
    <d v="2026-02-05T00:00:00"/>
    <s v="N/A"/>
    <m/>
    <m/>
    <s v="Approved"/>
    <m/>
    <d v="2026-02-05T00:00:00"/>
    <s v="N/A"/>
    <m/>
    <m/>
    <s v="N/A"/>
    <m/>
    <m/>
    <s v="N/A"/>
    <m/>
    <m/>
    <s v="Complete"/>
    <s v="Yes"/>
    <s v="READY"/>
    <m/>
  </r>
  <r>
    <x v="0"/>
    <x v="0"/>
    <s v="DUY"/>
    <s v="Sue Bilstad"/>
    <s v="RESTORATION HARDWARE_HS"/>
    <s v="RH"/>
    <s v="HA STUDIO PICO/WILKINS-REODER"/>
    <x v="9"/>
    <n v="1"/>
    <x v="3"/>
    <s v="REO"/>
    <s v="7. Mass Production"/>
    <d v="2026-07-24T00:00:00"/>
    <d v="2026-07-27T00:00:00"/>
    <m/>
    <s v="US"/>
    <s v="CA"/>
    <n v="0"/>
    <n v="0"/>
    <m/>
    <m/>
    <x v="6"/>
    <n v="20"/>
    <n v="3454"/>
    <n v="3454"/>
    <x v="10"/>
    <x v="0"/>
    <m/>
    <m/>
    <d v="2026-11-20T00:00:00"/>
    <d v="2026-11-20T00:00:00"/>
    <s v="2026/W47"/>
    <s v="2026/W47"/>
    <s v="Approved"/>
    <m/>
    <d v="2026-02-05T00:00:00"/>
    <s v="Approved"/>
    <m/>
    <d v="2026-02-05T00:00:00"/>
    <s v="N/A"/>
    <m/>
    <m/>
    <s v="Approved"/>
    <m/>
    <d v="2026-02-05T00:00:00"/>
    <s v="N/A"/>
    <m/>
    <m/>
    <s v="N/A"/>
    <m/>
    <m/>
    <s v="N/A"/>
    <m/>
    <m/>
    <s v="Active"/>
    <s v="Yes"/>
    <s v="NPI: All development items approved/closed for SW47"/>
    <m/>
  </r>
  <r>
    <x v="0"/>
    <x v="0"/>
    <s v="DUY"/>
    <s v="Madison Lay"/>
    <s v="RESTORATION HARDWARE_HS"/>
    <s v="RH"/>
    <s v="NAMA LISBON"/>
    <x v="10"/>
    <n v="1"/>
    <x v="0"/>
    <s v="NEW"/>
    <s v="7. Mass Production"/>
    <d v="2026-01-15T00:00:00"/>
    <d v="2026-03-02T00:00:00"/>
    <m/>
    <s v="PT"/>
    <s v="Portugal"/>
    <n v="0"/>
    <n v="0"/>
    <m/>
    <m/>
    <x v="7"/>
    <n v="191"/>
    <n v="202175"/>
    <n v="74720"/>
    <x v="8"/>
    <x v="0"/>
    <d v="2026-05-21T00:00:00"/>
    <d v="2026-05-28T00:00:00"/>
    <d v="2026-09-13T00:00:00"/>
    <d v="2026-09-13T00:00:00"/>
    <s v="2026/W37"/>
    <s v="2026/W37"/>
    <s v="Approved"/>
    <m/>
    <d v="2026-03-02T00:00:00"/>
    <s v="Approved"/>
    <m/>
    <d v="2026-03-02T00:00:00"/>
    <s v="N/A"/>
    <m/>
    <m/>
    <s v="Approved"/>
    <m/>
    <m/>
    <s v="N/A"/>
    <m/>
    <m/>
    <s v="N/A"/>
    <m/>
    <m/>
    <s v="N/A"/>
    <m/>
    <m/>
    <s v="Complete"/>
    <s v="Yes"/>
    <s v="READY"/>
    <m/>
  </r>
  <r>
    <x v="0"/>
    <x v="0"/>
    <s v="DUY"/>
    <s v="Madison Lay"/>
    <s v="RESTORATION HARDWARE_HS"/>
    <s v="RH"/>
    <s v="NAMA LISBON"/>
    <x v="10"/>
    <n v="0"/>
    <x v="3"/>
    <s v="NEW"/>
    <s v="7. Mass Production"/>
    <d v="2026-01-15T00:00:00"/>
    <d v="2026-03-02T00:00:00"/>
    <m/>
    <s v="PT"/>
    <s v="Portugal"/>
    <n v="0"/>
    <n v="0"/>
    <m/>
    <m/>
    <x v="7"/>
    <n v="271"/>
    <n v="202175"/>
    <n v="127455"/>
    <x v="9"/>
    <x v="0"/>
    <d v="2026-05-21T00:00:00"/>
    <d v="2026-05-28T00:00:00"/>
    <d v="2026-10-30T00:00:00"/>
    <d v="2026-10-30T00:00:00"/>
    <s v="2026/W44"/>
    <s v="2026/W44"/>
    <s v="Approved"/>
    <m/>
    <d v="2026-03-02T00:00:00"/>
    <s v="Approved"/>
    <m/>
    <d v="2026-03-02T00:00:00"/>
    <s v="N/A"/>
    <m/>
    <m/>
    <s v="Approved"/>
    <m/>
    <m/>
    <s v="N/A"/>
    <m/>
    <m/>
    <s v="N/A"/>
    <m/>
    <m/>
    <s v="N/A"/>
    <m/>
    <m/>
    <s v="Active"/>
    <s v="Yes"/>
    <s v="NPI: All development items approved/closed for SW44"/>
    <m/>
  </r>
  <r>
    <x v="0"/>
    <x v="0"/>
    <s v="DUY"/>
    <s v="Madison Lay"/>
    <s v="RESTORATION HARDWARE_HS"/>
    <s v="RH"/>
    <s v="NAMA LISBON-PUBLIC SPACE "/>
    <x v="11"/>
    <n v="1"/>
    <x v="4"/>
    <s v="NEW"/>
    <s v="2. Product &amp; Process Dev"/>
    <d v="2026-10-02T00:00:00"/>
    <s v="Pending PO "/>
    <m/>
    <s v="PT"/>
    <s v="Portugal"/>
    <n v="1"/>
    <n v="1"/>
    <m/>
    <m/>
    <x v="6"/>
    <n v="1"/>
    <n v="2190.15"/>
    <n v="2190.15"/>
    <x v="11"/>
    <x v="1"/>
    <d v="2026-05-21T00:00:00"/>
    <d v="2026-05-28T00:00:00"/>
    <d v="2027-01-22T00:00:00"/>
    <d v="2027-01-22T00:00:00"/>
    <s v="2027/W04"/>
    <s v="2027/W04"/>
    <s v="Pending Approval"/>
    <d v="2026-10-16T00:00:00"/>
    <m/>
    <s v="Pending Approval"/>
    <d v="2026-10-16T00:00:00"/>
    <m/>
    <s v="N/A"/>
    <m/>
    <m/>
    <s v="N/A"/>
    <m/>
    <m/>
    <s v="N/A"/>
    <m/>
    <m/>
    <s v="In Progress"/>
    <m/>
    <m/>
    <s v="N/A"/>
    <m/>
    <m/>
    <s v="Active"/>
    <s v="Yes"/>
    <s v="NPI: In progress: Electrical; Pending approval: Drawing, Veneer/Wood; need approval by 16-Oct-26 for SW04"/>
    <s v="Need PO this week WK42"/>
  </r>
  <r>
    <x v="0"/>
    <x v="0"/>
    <s v="TRINH"/>
    <m/>
    <s v="RESTORATION HARDWARE_HS"/>
    <s v="RH"/>
    <s v="RANCHO VALENCIA"/>
    <x v="12"/>
    <n v="1"/>
    <x v="5"/>
    <s v="NEW"/>
    <s v="2. Product &amp; Process Dev"/>
    <d v="2026-01-07T00:00:00"/>
    <s v="-"/>
    <m/>
    <s v="US"/>
    <s v="CA"/>
    <s v="TBC"/>
    <s v="TBC"/>
    <m/>
    <m/>
    <x v="6"/>
    <m/>
    <n v="14520"/>
    <n v="14520"/>
    <x v="12"/>
    <x v="2"/>
    <s v="-"/>
    <m/>
    <s v="TBC"/>
    <s v="TBC"/>
    <s v="TBC"/>
    <s v="TBC"/>
    <s v="Pending Approval"/>
    <m/>
    <m/>
    <s v="Approved"/>
    <m/>
    <m/>
    <s v="N/A"/>
    <m/>
    <m/>
    <s v="N/A"/>
    <m/>
    <m/>
    <s v="N/A"/>
    <m/>
    <m/>
    <s v="N/A"/>
    <m/>
    <m/>
    <s v="COM"/>
    <m/>
    <m/>
    <s v="Active"/>
    <s v="Yes"/>
    <s v="NPI: Pending approval: Drawing; Fabric is com for SW TBC"/>
    <m/>
  </r>
  <r>
    <x v="0"/>
    <x v="0"/>
    <s v="THU"/>
    <s v="Sue Bilstad"/>
    <s v="RESTORATION HARDWARE_HS"/>
    <s v="RH"/>
    <s v="RH CONTRACT (LARA CHAIR 25)"/>
    <x v="13"/>
    <n v="1"/>
    <x v="0"/>
    <s v="REO"/>
    <s v="8. Shipment"/>
    <m/>
    <d v="2026-01-12T00:00:00"/>
    <m/>
    <s v="US"/>
    <s v="CA"/>
    <m/>
    <m/>
    <m/>
    <m/>
    <x v="6"/>
    <m/>
    <n v="4200"/>
    <n v="4200"/>
    <x v="13"/>
    <x v="0"/>
    <s v="2026/W13"/>
    <m/>
    <d v="2026-04-04T00:00:00"/>
    <d v="2026-04-04T00:00:00"/>
    <s v="2026/W14"/>
    <s v="2026/W14"/>
    <s v="Approved"/>
    <m/>
    <m/>
    <s v="Approved"/>
    <m/>
    <m/>
    <s v="N/A"/>
    <m/>
    <m/>
    <s v="N/A"/>
    <m/>
    <m/>
    <s v="N/A"/>
    <m/>
    <m/>
    <s v="N/A"/>
    <m/>
    <m/>
    <s v="COM"/>
    <m/>
    <m/>
    <s v="Complete"/>
    <s v="Yes"/>
    <s v="READY"/>
    <m/>
  </r>
  <r>
    <x v="0"/>
    <x v="1"/>
    <s v="DUONG"/>
    <s v="Sue Bilstad"/>
    <s v="RESTORATION HARDWARE_HS"/>
    <s v="RH"/>
    <s v="RH TRUMP SUITES NYC"/>
    <x v="14"/>
    <n v="1"/>
    <x v="0"/>
    <s v="NEW"/>
    <s v="8. Shipment"/>
    <d v="2025-06-23T00:00:00"/>
    <d v="2026-02-25T00:00:00"/>
    <m/>
    <s v="US"/>
    <s v="NY"/>
    <m/>
    <m/>
    <m/>
    <m/>
    <x v="6"/>
    <m/>
    <n v="1234.8599999999999"/>
    <n v="1234.8599999999999"/>
    <x v="1"/>
    <x v="0"/>
    <d v="2026-06-19T00:00:00"/>
    <d v="2026-06-19T00:00:00"/>
    <d v="2026-04-04T00:00:00"/>
    <d v="2026-04-04T00:00:00"/>
    <s v="2026/W14"/>
    <s v="2026/W14"/>
    <s v="Approved"/>
    <m/>
    <m/>
    <s v="Approved"/>
    <m/>
    <m/>
    <s v="N/A"/>
    <m/>
    <m/>
    <s v="Approved"/>
    <m/>
    <m/>
    <s v="N/A"/>
    <m/>
    <m/>
    <s v="N/A"/>
    <m/>
    <m/>
    <s v="N/A"/>
    <m/>
    <m/>
    <s v="Complete"/>
    <s v="Yes"/>
    <s v="READY"/>
    <m/>
  </r>
  <r>
    <x v="0"/>
    <x v="0"/>
    <s v="TUYET"/>
    <s v="Madison Lay"/>
    <s v="RESTORATION HARDWARE_HS"/>
    <s v="RH"/>
    <s v="TRUMP DORAL"/>
    <x v="15"/>
    <n v="1"/>
    <x v="0"/>
    <s v="REO"/>
    <s v="8. Shipment"/>
    <d v="2024-11-01T00:00:00"/>
    <d v="2026-04-08T00:00:00"/>
    <m/>
    <s v="US"/>
    <s v="FL"/>
    <m/>
    <m/>
    <m/>
    <m/>
    <x v="6"/>
    <m/>
    <n v="1375.5"/>
    <n v="1375.5"/>
    <x v="2"/>
    <x v="0"/>
    <d v="2026-06-19T00:00:00"/>
    <d v="2026-06-19T00:00:00"/>
    <d v="2026-04-04T00:00:00"/>
    <d v="2026-04-04T00:00:00"/>
    <s v="2026/W14"/>
    <s v="2026/W14"/>
    <s v="Approved"/>
    <m/>
    <m/>
    <s v="Approved"/>
    <m/>
    <m/>
    <s v="N/A"/>
    <m/>
    <m/>
    <s v="Approved"/>
    <m/>
    <m/>
    <s v="N/A"/>
    <m/>
    <m/>
    <s v="N/A"/>
    <m/>
    <m/>
    <s v="COM"/>
    <m/>
    <m/>
    <s v="Complete"/>
    <s v="Yes"/>
    <s v="READY"/>
    <m/>
  </r>
  <r>
    <x v="0"/>
    <x v="0"/>
    <s v="TBC"/>
    <s v="Sue Bilstad"/>
    <s v="RESTORATION HARDWARE_HS"/>
    <s v="RH"/>
    <s v="RH TRUMP SUITES NYC"/>
    <x v="16"/>
    <n v="1"/>
    <x v="1"/>
    <s v="NEW"/>
    <s v="3. Prototype Readiness"/>
    <d v="2026-04-24T00:00:00"/>
    <m/>
    <m/>
    <s v="US"/>
    <s v="NY"/>
    <n v="2"/>
    <n v="4"/>
    <m/>
    <m/>
    <x v="8"/>
    <m/>
    <n v="1074318.51"/>
    <n v="537160"/>
    <x v="14"/>
    <x v="1"/>
    <s v="-"/>
    <m/>
    <d v="2027-05-08T00:00:00"/>
    <d v="2027-06-26T00:00:00"/>
    <s v="2027/W19"/>
    <s v="2027/W26"/>
    <s v="Pending Approval"/>
    <m/>
    <m/>
    <s v="Approved"/>
    <m/>
    <m/>
    <s v="N/A"/>
    <m/>
    <m/>
    <s v="Approved"/>
    <m/>
    <m/>
    <s v="N/A"/>
    <m/>
    <m/>
    <s v="In Progress"/>
    <m/>
    <m/>
    <s v="COM"/>
    <m/>
    <m/>
    <s v="Active"/>
    <s v="Yes"/>
    <s v="NPI: In progress: Electrical; Pending approval: Drawing; Fabric is com for SW26"/>
    <m/>
  </r>
  <r>
    <x v="0"/>
    <x v="0"/>
    <s v="TBC"/>
    <s v="Sue Bilstad"/>
    <s v="RESTORATION HARDWARE_HS"/>
    <s v="RH"/>
    <s v="RH TRUMP SUITES NYC"/>
    <x v="16"/>
    <n v="0"/>
    <x v="1"/>
    <s v="NEW"/>
    <s v="3. Prototype Readiness"/>
    <d v="2026-04-24T00:00:00"/>
    <m/>
    <m/>
    <s v="US"/>
    <s v="NY"/>
    <n v="2"/>
    <n v="4"/>
    <m/>
    <m/>
    <x v="8"/>
    <m/>
    <n v="1074318.51"/>
    <n v="537158.51"/>
    <x v="4"/>
    <x v="1"/>
    <s v="-"/>
    <m/>
    <d v="2027-05-08T00:00:00"/>
    <d v="2027-06-26T00:00:00"/>
    <s v="2027/W19"/>
    <s v="2027/W26"/>
    <s v="Pending Approval"/>
    <m/>
    <m/>
    <s v="Approved"/>
    <m/>
    <m/>
    <s v="N/A"/>
    <m/>
    <m/>
    <s v="Approved"/>
    <m/>
    <m/>
    <s v="N/A"/>
    <m/>
    <m/>
    <s v="In Progress"/>
    <m/>
    <m/>
    <s v="COM"/>
    <m/>
    <m/>
    <s v="Active"/>
    <s v="Yes"/>
    <s v="NPI: In progress: Electrical; Pending approval: Drawing; Fabric is com for SW26"/>
    <m/>
  </r>
  <r>
    <x v="0"/>
    <x v="1"/>
    <s v="BIEN"/>
    <s v="Sue Bilstad"/>
    <s v="RESTORATION HARDWARE_HS"/>
    <s v="RH"/>
    <s v="ROSEWOOD CALISTOGA"/>
    <x v="17"/>
    <n v="1"/>
    <x v="0"/>
    <s v="NEW"/>
    <s v="8. Shipment"/>
    <d v="2026-04-24T00:00:00"/>
    <d v="2026-05-05T00:00:00"/>
    <m/>
    <s v="US"/>
    <s v="CA"/>
    <m/>
    <m/>
    <m/>
    <m/>
    <x v="9"/>
    <m/>
    <n v="1046.75"/>
    <n v="1046.75"/>
    <x v="1"/>
    <x v="0"/>
    <d v="2026-06-10T00:00:00"/>
    <d v="2026-06-10T00:00:00"/>
    <d v="2026-04-04T00:00:00"/>
    <d v="2026-04-04T00:00:00"/>
    <s v="2026/W14"/>
    <s v="2026/W14"/>
    <s v="Approved"/>
    <m/>
    <d v="2026-05-22T00:00:00"/>
    <s v="Approved"/>
    <m/>
    <d v="2026-06-26T00:00:00"/>
    <s v="N/A"/>
    <m/>
    <m/>
    <s v="Approved"/>
    <m/>
    <d v="2026-06-18T00:00:00"/>
    <s v="N/A"/>
    <m/>
    <m/>
    <s v="N/A"/>
    <m/>
    <m/>
    <s v="COM"/>
    <m/>
    <d v="2026-06-02T00:00:00"/>
    <s v="Complete"/>
    <s v="Yes"/>
    <s v="READY"/>
    <m/>
  </r>
  <r>
    <x v="0"/>
    <x v="0"/>
    <s v="BIEN"/>
    <s v="Sue Bilstad"/>
    <s v="RESTORATION HARDWARE_HS"/>
    <s v="RH"/>
    <s v="ROSEWOOD CALISTOGA"/>
    <x v="18"/>
    <n v="1"/>
    <x v="3"/>
    <s v="NEW"/>
    <s v="7. Mass Production"/>
    <d v="2025-07-23T00:00:00"/>
    <d v="2026-05-28T00:00:00"/>
    <m/>
    <s v="US"/>
    <s v="CA"/>
    <n v="0"/>
    <n v="0"/>
    <m/>
    <m/>
    <x v="10"/>
    <n v="756"/>
    <n v="311473.76000000007"/>
    <n v="239023"/>
    <x v="10"/>
    <x v="0"/>
    <d v="2026-10-26T00:00:00"/>
    <d v="2026-10-30T00:00:00"/>
    <d v="2026-11-06T00:00:00"/>
    <d v="2026-12-11T00:00:00"/>
    <s v="2026/W45"/>
    <s v="2026/W50"/>
    <s v="Approved"/>
    <m/>
    <d v="2026-06-03T00:00:00"/>
    <s v="Approved"/>
    <m/>
    <d v="2026-07-02T00:00:00"/>
    <s v="Approved"/>
    <m/>
    <d v="2026-05-26T00:00:00"/>
    <s v="Approved"/>
    <m/>
    <d v="2026-06-18T00:00:00"/>
    <s v="N/A"/>
    <m/>
    <m/>
    <s v="N/A"/>
    <m/>
    <m/>
    <s v="COM Received"/>
    <m/>
    <s v="NA"/>
    <s v="Active"/>
    <s v="Yes"/>
    <s v="NPI: Fabric is com received for SW50"/>
    <m/>
  </r>
  <r>
    <x v="0"/>
    <x v="0"/>
    <s v="BIEN"/>
    <s v="Sue Bilstad"/>
    <s v="RESTORATION HARDWARE_HS"/>
    <s v="RH"/>
    <s v="ROSEWOOD CALISTOGA"/>
    <x v="18"/>
    <n v="0"/>
    <x v="3"/>
    <s v="NEW"/>
    <s v="7. Mass Production"/>
    <d v="2025-07-23T00:00:00"/>
    <d v="2026-05-28T00:00:00"/>
    <m/>
    <s v="US"/>
    <s v="CA"/>
    <n v="0"/>
    <n v="0"/>
    <m/>
    <m/>
    <x v="10"/>
    <n v="756"/>
    <n v="311473.76000000007"/>
    <n v="72450.760000000068"/>
    <x v="15"/>
    <x v="0"/>
    <d v="2026-11-02T00:00:00"/>
    <d v="2026-11-13T00:00:00"/>
    <d v="2026-11-06T00:00:00"/>
    <d v="2026-12-11T00:00:00"/>
    <s v="2026/W45"/>
    <s v="2026/W50"/>
    <s v="Approved"/>
    <m/>
    <m/>
    <s v="Approved"/>
    <m/>
    <m/>
    <s v="Approved"/>
    <m/>
    <d v="2026-05-26T00:00:00"/>
    <s v="Approved"/>
    <m/>
    <d v="2026-06-18T00:00:00"/>
    <s v="N/A"/>
    <m/>
    <m/>
    <s v="N/A"/>
    <m/>
    <m/>
    <s v="COM Received"/>
    <m/>
    <s v="NA"/>
    <s v="Active"/>
    <s v="Yes"/>
    <s v="NPI: Fabric is com received for SW50"/>
    <m/>
  </r>
  <r>
    <x v="0"/>
    <x v="0"/>
    <s v="DUY"/>
    <s v="Madison Lay"/>
    <s v="RESTORATION HARDWARE_HS"/>
    <s v="RH"/>
    <s v="SNAKE RIVER LODGE BLUEFLAG"/>
    <x v="19"/>
    <n v="1"/>
    <x v="0"/>
    <s v="NEW"/>
    <s v="8. Shipment"/>
    <d v="2026-05-05T00:00:00"/>
    <d v="2026-04-13T00:00:00"/>
    <m/>
    <s v="US"/>
    <s v="WY"/>
    <m/>
    <m/>
    <m/>
    <m/>
    <x v="5"/>
    <m/>
    <n v="203436.01"/>
    <n v="136716"/>
    <x v="3"/>
    <x v="0"/>
    <d v="2026-08-08T00:00:00"/>
    <d v="2026-08-15T00:00:00"/>
    <d v="2026-08-08T00:00:00"/>
    <d v="2026-08-29T00:00:00"/>
    <s v="2026/W32"/>
    <s v="2026/W35"/>
    <s v="Approved"/>
    <m/>
    <d v="2026-05-21T00:00:00"/>
    <s v="Approved"/>
    <m/>
    <d v="2025-06-05T00:00:00"/>
    <s v="Approved"/>
    <m/>
    <m/>
    <s v="Approved"/>
    <m/>
    <m/>
    <s v="N/A"/>
    <m/>
    <m/>
    <s v="Approved"/>
    <m/>
    <m/>
    <s v="COM Received"/>
    <m/>
    <m/>
    <s v="Complete"/>
    <s v="Yes"/>
    <s v="READY"/>
    <m/>
  </r>
  <r>
    <x v="0"/>
    <x v="0"/>
    <s v="DUY"/>
    <s v="Madison Lay"/>
    <s v="RESTORATION HARDWARE_HS"/>
    <s v="RH"/>
    <s v="SNAKE RIVER LODGE BLUEFLAG"/>
    <x v="19"/>
    <n v="0"/>
    <x v="0"/>
    <s v="NEW"/>
    <s v="8. Shipment"/>
    <d v="2026-05-05T00:00:00"/>
    <d v="2026-04-13T00:00:00"/>
    <m/>
    <s v="US"/>
    <s v="WY"/>
    <n v="0"/>
    <n v="0"/>
    <m/>
    <m/>
    <x v="5"/>
    <m/>
    <n v="203436.01"/>
    <n v="66720.490000000005"/>
    <x v="3"/>
    <x v="0"/>
    <d v="2026-08-08T00:00:00"/>
    <d v="2026-08-15T00:00:00"/>
    <d v="2026-08-08T00:00:00"/>
    <d v="2026-08-29T00:00:00"/>
    <s v="2026/W32"/>
    <s v="2026/W35"/>
    <s v="Approved"/>
    <m/>
    <d v="2026-05-21T00:00:00"/>
    <s v="Approved"/>
    <m/>
    <d v="2025-06-05T00:00:00"/>
    <s v="Approved"/>
    <m/>
    <m/>
    <s v="Approved"/>
    <m/>
    <m/>
    <s v="N/A"/>
    <m/>
    <m/>
    <s v="Approved"/>
    <m/>
    <m/>
    <s v="COM Received"/>
    <m/>
    <m/>
    <s v="Complete"/>
    <s v="Yes"/>
    <s v="READY"/>
    <m/>
  </r>
  <r>
    <x v="0"/>
    <x v="0"/>
    <s v="BIEN"/>
    <s v="Sue Bilstad"/>
    <s v="RESTORATION HARDWARE_HS"/>
    <s v="RH"/>
    <s v="TRUMP LAS VEGAS PENTHOUSES"/>
    <x v="20"/>
    <n v="1"/>
    <x v="3"/>
    <s v="NEW"/>
    <s v="7. Mass Production"/>
    <d v="2025-10-25T00:00:00"/>
    <d v="2026-08-20T00:00:00"/>
    <m/>
    <s v="US"/>
    <s v="NV"/>
    <n v="0"/>
    <n v="0"/>
    <m/>
    <m/>
    <x v="11"/>
    <n v="925"/>
    <n v="535191"/>
    <n v="350863"/>
    <x v="11"/>
    <x v="1"/>
    <s v="-"/>
    <m/>
    <d v="2027-01-08T00:00:00"/>
    <d v="2027-01-29T00:00:00"/>
    <s v="2027/W02"/>
    <s v="2027/W05"/>
    <s v="Approved"/>
    <m/>
    <m/>
    <s v="Approved"/>
    <m/>
    <m/>
    <s v="Approved"/>
    <m/>
    <m/>
    <s v="Approved"/>
    <m/>
    <m/>
    <s v="Approved"/>
    <m/>
    <m/>
    <s v="Approved"/>
    <m/>
    <m/>
    <m/>
    <m/>
    <m/>
    <s v="Active"/>
    <s v="Yes"/>
    <s v="NPI: All development items approved/closed for SW05"/>
    <m/>
  </r>
  <r>
    <x v="0"/>
    <x v="0"/>
    <s v="BIEN"/>
    <s v="Sue Bilstad"/>
    <s v="RESTORATION HARDWARE_HS"/>
    <s v="RH"/>
    <s v="TRUMP LAS VEGAS PENTHOUSES"/>
    <x v="20"/>
    <n v="0"/>
    <x v="3"/>
    <s v="NEW"/>
    <s v="7. Mass Production"/>
    <d v="2025-10-25T00:00:00"/>
    <d v="2026-08-20T00:00:00"/>
    <m/>
    <s v="US"/>
    <s v="NV"/>
    <n v="0"/>
    <n v="0"/>
    <m/>
    <m/>
    <x v="11"/>
    <n v="925"/>
    <n v="535191"/>
    <n v="184328"/>
    <x v="11"/>
    <x v="1"/>
    <s v="-"/>
    <m/>
    <d v="2027-01-08T00:00:00"/>
    <d v="2027-01-29T00:00:00"/>
    <s v="2027/W02"/>
    <s v="2027/W05"/>
    <s v="Approved"/>
    <m/>
    <m/>
    <s v="Approved"/>
    <m/>
    <m/>
    <s v="Approved"/>
    <m/>
    <m/>
    <s v="Approved"/>
    <m/>
    <m/>
    <s v="Approved"/>
    <m/>
    <m/>
    <s v="Approved"/>
    <m/>
    <m/>
    <m/>
    <m/>
    <m/>
    <s v="Active"/>
    <s v="Yes"/>
    <s v="NPI: All development items approved/closed for SW05"/>
    <m/>
  </r>
  <r>
    <x v="0"/>
    <x v="0"/>
    <s v="DUY"/>
    <s v="Madison Lay"/>
    <s v="RESTORATION HARDWARE_HS"/>
    <s v="RH"/>
    <s v="RITZ DOVE MOUNTAIN"/>
    <x v="21"/>
    <n v="1"/>
    <x v="1"/>
    <s v="NEW"/>
    <s v="4. Prototype Build"/>
    <d v="2026-03-03T00:00:00"/>
    <m/>
    <m/>
    <s v="US"/>
    <s v="AZ"/>
    <n v="0"/>
    <n v="0"/>
    <m/>
    <m/>
    <x v="12"/>
    <m/>
    <n v="228581"/>
    <n v="228581"/>
    <x v="16"/>
    <x v="1"/>
    <s v="-"/>
    <m/>
    <d v="2026-04-10T00:00:00"/>
    <d v="2026-04-24T00:00:00"/>
    <s v="2026/W15"/>
    <s v="2026/W17"/>
    <s v="Pending Approval"/>
    <m/>
    <m/>
    <s v="Pending Approval"/>
    <m/>
    <m/>
    <s v="N/A"/>
    <m/>
    <m/>
    <s v="Pending Approval"/>
    <m/>
    <m/>
    <s v="N/A"/>
    <m/>
    <m/>
    <s v="N/A"/>
    <m/>
    <m/>
    <s v="COM"/>
    <m/>
    <m/>
    <s v="Active"/>
    <s v="Yes"/>
    <s v="NPI: Pending approval: Drawing, Veneer/Wood, Metal; Fabric is com for SW17"/>
    <m/>
  </r>
  <r>
    <x v="0"/>
    <x v="0"/>
    <s v="TU ANH"/>
    <s v="Sue Bilstad"/>
    <s v="RESTORATION HARDWARE_HS"/>
    <s v="RH"/>
    <s v="MAYBOURNE_ONE WALL STREET NY"/>
    <x v="22"/>
    <n v="1"/>
    <x v="0"/>
    <s v="REO"/>
    <s v="8. Shipment"/>
    <m/>
    <d v="2026-02-26T00:00:00"/>
    <m/>
    <s v="US"/>
    <s v="NY"/>
    <m/>
    <m/>
    <m/>
    <m/>
    <x v="6"/>
    <m/>
    <n v="1672"/>
    <n v="1672"/>
    <x v="7"/>
    <x v="0"/>
    <d v="2026-04-01T00:00:00"/>
    <d v="2026-04-08T00:00:00"/>
    <d v="2026-04-04T00:00:00"/>
    <d v="2026-04-04T00:00:00"/>
    <s v="2026/W14"/>
    <s v="2026/W14"/>
    <s v="Approved"/>
    <m/>
    <d v="2026-03-23T00:00:00"/>
    <s v="Approved"/>
    <m/>
    <d v="2026-03-23T00:00:00"/>
    <s v="N/A"/>
    <m/>
    <m/>
    <s v="N/A"/>
    <m/>
    <m/>
    <s v="N/A"/>
    <m/>
    <m/>
    <s v="N/A"/>
    <m/>
    <m/>
    <s v="COM"/>
    <m/>
    <d v="2026-03-09T00:00:00"/>
    <s v="Complete"/>
    <s v="Yes"/>
    <s v="READY"/>
    <m/>
  </r>
  <r>
    <x v="0"/>
    <x v="0"/>
    <s v="TRINH"/>
    <s v="Sue Bilstad"/>
    <s v="RESTORATION HARDWARE_HS"/>
    <s v="RH"/>
    <s v="ST. REGIS KANAI"/>
    <x v="23"/>
    <n v="1"/>
    <x v="0"/>
    <s v="NEW"/>
    <s v="8. Shipment"/>
    <d v="2024-10-10T00:00:00"/>
    <d v="2026-03-20T00:00:00"/>
    <m/>
    <s v="MX"/>
    <s v="Mexico"/>
    <m/>
    <m/>
    <m/>
    <m/>
    <x v="13"/>
    <m/>
    <n v="164002.01999999999"/>
    <n v="110307"/>
    <x v="2"/>
    <x v="0"/>
    <d v="2026-07-31T00:00:00"/>
    <d v="2026-07-31T00:00:00"/>
    <d v="2026-07-31T00:00:00"/>
    <d v="2026-08-07T00:00:00"/>
    <s v="2026/W31"/>
    <s v="2026/W32"/>
    <s v="Approved"/>
    <m/>
    <m/>
    <s v="Approved"/>
    <m/>
    <m/>
    <s v="Approved"/>
    <m/>
    <m/>
    <s v="N/A"/>
    <m/>
    <m/>
    <s v="N/A"/>
    <m/>
    <m/>
    <s v="N/A"/>
    <m/>
    <m/>
    <s v="COM Received"/>
    <m/>
    <m/>
    <s v="Complete"/>
    <s v="Yes"/>
    <s v="READY"/>
    <m/>
  </r>
  <r>
    <x v="0"/>
    <x v="0"/>
    <s v="TRINH"/>
    <s v="Sue Bilstad"/>
    <s v="RESTORATION HARDWARE_HS"/>
    <s v="RH"/>
    <s v="ST. REGIS KANAI"/>
    <x v="23"/>
    <n v="0"/>
    <x v="0"/>
    <s v="NEW"/>
    <s v="8. Shipment"/>
    <d v="2024-10-10T00:00:00"/>
    <d v="2026-03-20T00:00:00"/>
    <m/>
    <s v="MX"/>
    <s v="Mexico"/>
    <m/>
    <m/>
    <m/>
    <m/>
    <x v="13"/>
    <m/>
    <n v="164002.01999999999"/>
    <n v="53695.14"/>
    <x v="3"/>
    <x v="0"/>
    <d v="2026-07-31T00:00:00"/>
    <d v="2026-07-31T00:00:00"/>
    <d v="2026-07-31T00:00:00"/>
    <d v="2026-08-07T00:00:00"/>
    <s v="2026/W31"/>
    <s v="2026/W32"/>
    <s v="Approved"/>
    <m/>
    <m/>
    <s v="Approved"/>
    <m/>
    <m/>
    <s v="Approved"/>
    <m/>
    <m/>
    <s v="N/A"/>
    <m/>
    <m/>
    <s v="N/A"/>
    <m/>
    <m/>
    <s v="N/A"/>
    <m/>
    <m/>
    <s v="COM Received"/>
    <m/>
    <m/>
    <s v="Complete"/>
    <s v="Yes"/>
    <s v="READY"/>
    <m/>
  </r>
  <r>
    <x v="0"/>
    <x v="1"/>
    <s v="DUNG"/>
    <s v="Sue Bilstad"/>
    <s v="RESTORATION HARDWARE_HS"/>
    <s v="RH"/>
    <s v="CIA O&amp;O GUESTROOMS"/>
    <x v="7"/>
    <n v="1"/>
    <x v="0"/>
    <s v="NEW"/>
    <s v="8. Shipment"/>
    <d v="2026-02-19T00:00:00"/>
    <d v="2025-12-01T00:00:00"/>
    <m/>
    <s v="US"/>
    <s v="CA"/>
    <m/>
    <m/>
    <m/>
    <m/>
    <x v="5"/>
    <m/>
    <n v="12000.06"/>
    <n v="12000.06"/>
    <x v="1"/>
    <x v="0"/>
    <d v="2026-06-09T00:00:00"/>
    <d v="2026-06-12T00:00:00"/>
    <d v="2026-04-04T00:00:00"/>
    <d v="2026-04-04T00:00:00"/>
    <s v="2026/W14"/>
    <s v="2026/W14"/>
    <s v="Approved"/>
    <m/>
    <m/>
    <s v="Approved"/>
    <m/>
    <m/>
    <s v="Approved"/>
    <m/>
    <m/>
    <s v="Approved"/>
    <m/>
    <m/>
    <s v="Approved"/>
    <m/>
    <m/>
    <s v="N/A"/>
    <m/>
    <m/>
    <s v="COM Received"/>
    <m/>
    <m/>
    <s v="Complete"/>
    <s v="Yes"/>
    <s v="READY"/>
    <m/>
  </r>
  <r>
    <x v="1"/>
    <x v="0"/>
    <s v="THU"/>
    <m/>
    <s v="COSMIC REALTY PARTNERS LLC"/>
    <s v="COSMIC REALTY"/>
    <s v="250 FIFTH AVENUE HOTEL"/>
    <x v="24"/>
    <n v="1"/>
    <x v="0"/>
    <s v="NEW"/>
    <s v="8. Shipment"/>
    <m/>
    <s v="-"/>
    <m/>
    <s v="US"/>
    <s v="NY"/>
    <m/>
    <m/>
    <m/>
    <m/>
    <x v="14"/>
    <m/>
    <n v="1908.8"/>
    <n v="1908.8"/>
    <x v="7"/>
    <x v="0"/>
    <d v="2026-04-04T00:00:00"/>
    <m/>
    <d v="2026-04-04T00:00:00"/>
    <d v="2026-04-04T00:00:00"/>
    <s v="2026/W14"/>
    <s v="2026/W14"/>
    <s v="Approved"/>
    <m/>
    <m/>
    <s v="Approved"/>
    <m/>
    <m/>
    <s v="Approved"/>
    <m/>
    <m/>
    <s v="Approved"/>
    <m/>
    <m/>
    <s v="Approved"/>
    <m/>
    <m/>
    <s v="Approved"/>
    <m/>
    <m/>
    <s v="COM"/>
    <m/>
    <m/>
    <s v="Complete"/>
    <m/>
    <s v="READY"/>
    <m/>
  </r>
  <r>
    <x v="1"/>
    <x v="0"/>
    <s v="THAO"/>
    <m/>
    <s v="LANG &amp; SCHWANDER LLC"/>
    <s v="L&amp;S"/>
    <s v="ELYSEE HOTEL"/>
    <x v="25"/>
    <n v="1"/>
    <x v="0"/>
    <s v="NEW"/>
    <s v="8. Shipment"/>
    <d v="2026-01-05T00:00:00"/>
    <d v="2025-12-18T00:00:00"/>
    <m/>
    <s v="US"/>
    <s v="NY"/>
    <m/>
    <m/>
    <m/>
    <m/>
    <x v="15"/>
    <m/>
    <n v="169946"/>
    <n v="89785.840000000011"/>
    <x v="3"/>
    <x v="0"/>
    <d v="2026-09-04T00:00:00"/>
    <d v="2026-09-11T00:00:00"/>
    <d v="2026-08-08T00:00:00"/>
    <d v="2026-09-12T00:00:00"/>
    <s v="2026/W32"/>
    <s v="2026/W37"/>
    <s v="Approved"/>
    <m/>
    <m/>
    <s v="Approved"/>
    <m/>
    <m/>
    <s v="Approved"/>
    <m/>
    <m/>
    <s v="Approved"/>
    <m/>
    <m/>
    <s v="Approved"/>
    <m/>
    <m/>
    <s v="N/A"/>
    <m/>
    <m/>
    <s v="COM Pending"/>
    <m/>
    <m/>
    <s v="Complete"/>
    <m/>
    <s v="READY"/>
    <m/>
  </r>
  <r>
    <x v="1"/>
    <x v="0"/>
    <s v="THAO"/>
    <m/>
    <s v="LANG &amp; SCHWANDER LLC"/>
    <s v="L&amp;S"/>
    <s v="ELYSEE HOTEL"/>
    <x v="25"/>
    <n v="0"/>
    <x v="0"/>
    <s v="NEW"/>
    <s v="7. Mass Production"/>
    <d v="2026-01-05T00:00:00"/>
    <d v="2025-12-18T00:00:00"/>
    <m/>
    <s v="US"/>
    <s v="NY"/>
    <n v="0"/>
    <n v="0"/>
    <m/>
    <m/>
    <x v="15"/>
    <m/>
    <n v="169946"/>
    <n v="28382"/>
    <x v="8"/>
    <x v="0"/>
    <d v="2026-09-04T00:00:00"/>
    <d v="2026-09-11T00:00:00"/>
    <d v="2026-08-08T00:00:00"/>
    <d v="2026-09-12T00:00:00"/>
    <s v="2026/W32"/>
    <s v="2026/W37"/>
    <s v="Approved"/>
    <m/>
    <m/>
    <s v="Approved"/>
    <m/>
    <m/>
    <s v="Approved"/>
    <m/>
    <m/>
    <s v="Approved"/>
    <m/>
    <m/>
    <s v="Approved"/>
    <m/>
    <m/>
    <s v="N/A"/>
    <m/>
    <m/>
    <s v="COM Pending"/>
    <m/>
    <m/>
    <s v="Complete"/>
    <m/>
    <s v="READY"/>
    <m/>
  </r>
  <r>
    <x v="1"/>
    <x v="0"/>
    <s v="THAO"/>
    <m/>
    <s v="LANG &amp; SCHWANDER LLC"/>
    <s v="L&amp;S"/>
    <s v="ELYSEE HOTEL"/>
    <x v="25"/>
    <n v="0"/>
    <x v="0"/>
    <s v="NEW"/>
    <s v="7. Mass Production"/>
    <d v="2026-01-05T00:00:00"/>
    <d v="2025-12-18T00:00:00"/>
    <m/>
    <s v="US"/>
    <s v="NY"/>
    <n v="0"/>
    <n v="0"/>
    <m/>
    <m/>
    <x v="15"/>
    <m/>
    <n v="169946"/>
    <n v="51777"/>
    <x v="8"/>
    <x v="0"/>
    <d v="2026-09-04T00:00:00"/>
    <d v="2026-09-11T00:00:00"/>
    <d v="2026-08-08T00:00:00"/>
    <d v="2026-09-18T00:00:00"/>
    <s v="2026/W32"/>
    <s v="2026/W38"/>
    <s v="Approved"/>
    <m/>
    <m/>
    <s v="Approved"/>
    <m/>
    <m/>
    <s v="Approved"/>
    <m/>
    <m/>
    <s v="Approved"/>
    <m/>
    <m/>
    <s v="Approved"/>
    <m/>
    <m/>
    <s v="N/A"/>
    <m/>
    <m/>
    <s v="COM Pending"/>
    <m/>
    <m/>
    <s v="Complete"/>
    <m/>
    <s v="READY"/>
    <m/>
  </r>
  <r>
    <x v="1"/>
    <x v="0"/>
    <s v="TBC"/>
    <m/>
    <s v="LANG &amp; SCHWANDER LLC"/>
    <s v="L&amp;S"/>
    <s v="FAENA TULLUM (FTMX)"/>
    <x v="26"/>
    <n v="1"/>
    <x v="1"/>
    <s v="NEW"/>
    <s v="1. Preliminary Design"/>
    <m/>
    <s v="-"/>
    <m/>
    <s v="MX"/>
    <s v="Mexico"/>
    <n v="0"/>
    <n v="0"/>
    <m/>
    <m/>
    <x v="16"/>
    <m/>
    <n v="1160820"/>
    <n v="580410"/>
    <x v="17"/>
    <x v="1"/>
    <s v="-"/>
    <m/>
    <s v="TBC"/>
    <s v="TBC"/>
    <s v="TBC"/>
    <s v="TBC"/>
    <s v="Not Started "/>
    <m/>
    <m/>
    <s v="Not Started"/>
    <m/>
    <m/>
    <m/>
    <m/>
    <m/>
    <m/>
    <m/>
    <m/>
    <m/>
    <m/>
    <m/>
    <m/>
    <m/>
    <m/>
    <m/>
    <m/>
    <m/>
    <s v="Active"/>
    <m/>
    <s v="NPI: Not started: Veneer/Wood for SW TBC"/>
    <m/>
  </r>
  <r>
    <x v="1"/>
    <x v="0"/>
    <s v="TBC"/>
    <m/>
    <s v="LANG &amp; SCHWANDER LLC"/>
    <s v="L&amp;S"/>
    <s v="FAENA TULLUM (FTMX)"/>
    <x v="26"/>
    <n v="0"/>
    <x v="1"/>
    <s v="NEW"/>
    <s v="1. Preliminary Design"/>
    <m/>
    <s v="-"/>
    <m/>
    <s v="MX"/>
    <s v="Mexico"/>
    <n v="0"/>
    <n v="0"/>
    <m/>
    <m/>
    <x v="16"/>
    <m/>
    <n v="1160820"/>
    <n v="580410"/>
    <x v="17"/>
    <x v="1"/>
    <s v="-"/>
    <m/>
    <s v="TBC"/>
    <s v="TBC"/>
    <s v="TBC"/>
    <s v="TBC"/>
    <s v="Not Started "/>
    <m/>
    <m/>
    <s v="Not Started"/>
    <m/>
    <m/>
    <m/>
    <m/>
    <m/>
    <m/>
    <m/>
    <m/>
    <m/>
    <m/>
    <m/>
    <m/>
    <m/>
    <m/>
    <m/>
    <m/>
    <m/>
    <s v="Active"/>
    <m/>
    <s v="NPI: Not started: Veneer/Wood for SW TBC"/>
    <m/>
  </r>
  <r>
    <x v="1"/>
    <x v="0"/>
    <s v="TU ANH"/>
    <m/>
    <s v="FLEETWOOD FURNITURE"/>
    <s v="FLEETWOOD "/>
    <s v="FOUR SEASON JACKSONVILLE"/>
    <x v="27"/>
    <n v="1"/>
    <x v="0"/>
    <s v="NEW"/>
    <s v="8. Shipment"/>
    <d v="2025-11-26T00:00:00"/>
    <d v="2026-01-31T00:00:00"/>
    <m/>
    <s v="US"/>
    <s v="FL"/>
    <m/>
    <m/>
    <m/>
    <m/>
    <x v="17"/>
    <m/>
    <n v="198023"/>
    <n v="56748.11"/>
    <x v="7"/>
    <x v="0"/>
    <d v="2026-04-09T00:00:00"/>
    <d v="2026-06-13T00:00:00"/>
    <d v="2026-04-04T00:00:00"/>
    <d v="2026-04-04T00:00:00"/>
    <s v="2026/W14"/>
    <s v="2026/W14"/>
    <s v="Approved"/>
    <m/>
    <d v="2026-02-05T00:00:00"/>
    <s v="Approved"/>
    <m/>
    <d v="2026-02-05T00:00:00"/>
    <s v="N/A"/>
    <m/>
    <m/>
    <s v="Approved"/>
    <m/>
    <d v="2026-02-05T00:00:00"/>
    <s v="N/A"/>
    <m/>
    <m/>
    <s v="Approved"/>
    <m/>
    <m/>
    <s v="N/A"/>
    <m/>
    <m/>
    <s v="Complete"/>
    <s v="Yes"/>
    <s v="READY"/>
    <m/>
  </r>
  <r>
    <x v="1"/>
    <x v="0"/>
    <s v="TU ANH"/>
    <m/>
    <s v="FLEETWOOD FURNITURE"/>
    <s v="FLEETWOOD "/>
    <s v="FOUR SEASON JACKSONVILLE"/>
    <x v="27"/>
    <n v="0"/>
    <x v="0"/>
    <s v="NEW"/>
    <s v="8. Shipment"/>
    <d v="2025-11-26T00:00:00"/>
    <d v="2026-01-31T00:00:00"/>
    <m/>
    <s v="US"/>
    <s v="FL"/>
    <m/>
    <m/>
    <m/>
    <m/>
    <x v="17"/>
    <m/>
    <n v="198023"/>
    <n v="87190"/>
    <x v="0"/>
    <x v="0"/>
    <d v="2026-04-09T00:00:00"/>
    <d v="2026-06-13T00:00:00"/>
    <d v="2026-04-04T00:00:00"/>
    <d v="2026-04-04T00:00:00"/>
    <s v="2026/W14"/>
    <s v="2026/W14"/>
    <s v="Approved"/>
    <m/>
    <d v="2026-02-05T00:00:00"/>
    <s v="Approved"/>
    <m/>
    <d v="2026-02-05T00:00:00"/>
    <s v="N/A"/>
    <m/>
    <m/>
    <s v="Approved"/>
    <m/>
    <d v="2026-02-05T00:00:00"/>
    <s v="N/A"/>
    <m/>
    <m/>
    <s v="Approved"/>
    <m/>
    <m/>
    <s v="N/A"/>
    <m/>
    <m/>
    <s v="Complete"/>
    <m/>
    <s v="READY"/>
    <m/>
  </r>
  <r>
    <x v="1"/>
    <x v="0"/>
    <s v="TU ANH"/>
    <m/>
    <s v="FLEETWOOD FURNITURE"/>
    <s v="FLEETWOOD "/>
    <s v="FOUR SEASON JACKSONVILLE"/>
    <x v="27"/>
    <n v="0"/>
    <x v="0"/>
    <s v="NEW"/>
    <s v="8. Shipment"/>
    <d v="2025-11-26T00:00:00"/>
    <d v="2026-01-31T00:00:00"/>
    <m/>
    <s v="US"/>
    <s v="FL"/>
    <m/>
    <m/>
    <m/>
    <m/>
    <x v="17"/>
    <m/>
    <n v="198023"/>
    <n v="25075"/>
    <x v="1"/>
    <x v="0"/>
    <d v="2026-04-09T00:00:00"/>
    <d v="2026-06-13T00:00:00"/>
    <d v="2026-04-04T00:00:00"/>
    <d v="2026-04-04T00:00:00"/>
    <s v="2026/W14"/>
    <s v="2026/W14"/>
    <s v="Approved"/>
    <m/>
    <d v="2026-02-05T00:00:00"/>
    <s v="Approved"/>
    <m/>
    <d v="2026-02-05T00:00:00"/>
    <s v="N/A"/>
    <m/>
    <m/>
    <s v="Approved"/>
    <m/>
    <d v="2026-02-05T00:00:00"/>
    <s v="N/A"/>
    <m/>
    <m/>
    <s v="Approved"/>
    <m/>
    <m/>
    <s v="N/A"/>
    <m/>
    <m/>
    <s v="Complete"/>
    <m/>
    <s v="READY"/>
    <m/>
  </r>
  <r>
    <x v="1"/>
    <x v="0"/>
    <s v="TU ANH"/>
    <m/>
    <s v="FLEETWOOD FURNITURE"/>
    <s v="FLEETWOOD "/>
    <s v="FOUR SEASON JACKSONVILLE"/>
    <x v="27"/>
    <n v="0"/>
    <x v="0"/>
    <s v="NEW"/>
    <s v="8. Shipment"/>
    <d v="2025-11-26T00:00:00"/>
    <d v="2026-01-31T00:00:00"/>
    <m/>
    <s v="US"/>
    <s v="FL"/>
    <m/>
    <m/>
    <m/>
    <m/>
    <x v="17"/>
    <m/>
    <n v="198023"/>
    <n v="29009"/>
    <x v="1"/>
    <x v="0"/>
    <d v="2026-04-09T00:00:00"/>
    <d v="2026-06-13T00:00:00"/>
    <d v="2026-04-04T00:00:00"/>
    <d v="2026-04-04T00:00:00"/>
    <s v="2026/W14"/>
    <s v="2026/W14"/>
    <s v="Approved"/>
    <m/>
    <d v="2026-02-05T00:00:00"/>
    <s v="Approved"/>
    <m/>
    <d v="2026-02-05T00:00:00"/>
    <s v="N/A"/>
    <m/>
    <m/>
    <s v="Approved"/>
    <m/>
    <d v="2026-02-05T00:00:00"/>
    <s v="N/A"/>
    <m/>
    <m/>
    <s v="Approved"/>
    <m/>
    <m/>
    <s v="N/A"/>
    <m/>
    <m/>
    <s v="Complete"/>
    <m/>
    <s v="READY"/>
    <m/>
  </r>
  <r>
    <x v="1"/>
    <x v="0"/>
    <s v="THAO"/>
    <s v="Lori"/>
    <s v="FLEETWOOD FURNITURE"/>
    <s v="FLEETWOOD "/>
    <s v="HARD ROCK LAS VEGAS WEST TOWER"/>
    <x v="28"/>
    <n v="1"/>
    <x v="6"/>
    <s v="NEW"/>
    <s v="3. Prototype Readiness"/>
    <d v="2026-04-18T00:00:00"/>
    <s v="-"/>
    <m/>
    <s v="US"/>
    <s v="NV"/>
    <m/>
    <m/>
    <m/>
    <m/>
    <x v="18"/>
    <m/>
    <n v="3218808.59"/>
    <n v="1072936"/>
    <x v="11"/>
    <x v="1"/>
    <m/>
    <m/>
    <s v="TBC"/>
    <s v="TBC"/>
    <s v="TBC"/>
    <s v="TBC"/>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s v="THAO"/>
    <s v="Lori"/>
    <s v="FLEETWOOD FURNITURE"/>
    <s v="FLEETWOOD "/>
    <s v="HARD ROCK LAS VEGAS WEST TOWER"/>
    <x v="28"/>
    <n v="0"/>
    <x v="6"/>
    <s v="NEW"/>
    <s v="3. Prototype Readiness"/>
    <d v="2026-04-18T00:00:00"/>
    <s v="-"/>
    <m/>
    <s v="US"/>
    <s v="NV"/>
    <m/>
    <m/>
    <m/>
    <m/>
    <x v="18"/>
    <m/>
    <n v="3218808.59"/>
    <n v="500000"/>
    <x v="18"/>
    <x v="1"/>
    <m/>
    <m/>
    <s v="TBC"/>
    <s v="TBC"/>
    <s v="TBC"/>
    <s v="TBC"/>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s v="THAO"/>
    <s v="Lori"/>
    <s v="FLEETWOOD FURNITURE"/>
    <s v="FLEETWOOD "/>
    <s v="HARD ROCK LAS VEGAS WEST TOWER"/>
    <x v="28"/>
    <n v="0"/>
    <x v="6"/>
    <s v="NEW"/>
    <s v="3. Prototype Readiness"/>
    <d v="2026-04-18T00:00:00"/>
    <s v="-"/>
    <m/>
    <s v="US"/>
    <s v="NV"/>
    <m/>
    <m/>
    <m/>
    <m/>
    <x v="18"/>
    <m/>
    <n v="3218808.59"/>
    <n v="1072936"/>
    <x v="19"/>
    <x v="1"/>
    <m/>
    <m/>
    <s v="TBC"/>
    <s v="TBC"/>
    <s v="TBC"/>
    <s v="TBC"/>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s v="THAO"/>
    <s v="Lori"/>
    <s v="FLEETWOOD FURNITURE"/>
    <s v="FLEETWOOD "/>
    <s v="HARD ROCK LAS VEGAS WEST TOWER"/>
    <x v="28"/>
    <n v="0"/>
    <x v="6"/>
    <s v="NEW"/>
    <s v="3. Prototype Readiness"/>
    <d v="2026-04-18T00:00:00"/>
    <s v="-"/>
    <m/>
    <s v="US"/>
    <s v="NV"/>
    <m/>
    <m/>
    <m/>
    <m/>
    <x v="18"/>
    <m/>
    <n v="3218808.59"/>
    <n v="572936"/>
    <x v="16"/>
    <x v="1"/>
    <m/>
    <m/>
    <s v="TBC"/>
    <s v="TBC"/>
    <s v="TBC"/>
    <s v="TBC"/>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s v="DUNG"/>
    <m/>
    <s v="FLEETWOOD FURNITURE"/>
    <s v="FLEETWOOD "/>
    <s v="HWVP PHASE 2"/>
    <x v="29"/>
    <n v="1"/>
    <x v="0"/>
    <s v="REO"/>
    <s v="8. Shipment"/>
    <d v="2025-12-04T00:00:00"/>
    <d v="2026-01-02T00:00:00"/>
    <m/>
    <s v="US"/>
    <s v="HI"/>
    <m/>
    <m/>
    <m/>
    <m/>
    <x v="19"/>
    <m/>
    <n v="7015.5"/>
    <n v="7015.5"/>
    <x v="7"/>
    <x v="0"/>
    <s v="Apr"/>
    <m/>
    <d v="2026-04-04T00:00:00"/>
    <d v="2026-04-04T00:00:00"/>
    <s v="2026/W14"/>
    <s v="2026/W14"/>
    <s v="Approved"/>
    <m/>
    <m/>
    <s v="Approved"/>
    <m/>
    <m/>
    <m/>
    <m/>
    <m/>
    <m/>
    <m/>
    <m/>
    <m/>
    <m/>
    <m/>
    <m/>
    <m/>
    <m/>
    <m/>
    <m/>
    <m/>
    <s v="Complete"/>
    <m/>
    <s v="READY"/>
    <m/>
  </r>
  <r>
    <x v="1"/>
    <x v="0"/>
    <s v="SANG"/>
    <m/>
    <s v="THE PARKER COMPANY"/>
    <s v="THE PARKER"/>
    <s v="JAMES NY NOMAD"/>
    <x v="30"/>
    <n v="1"/>
    <x v="7"/>
    <s v="REO"/>
    <s v="8. Shipment"/>
    <d v="2026-01-09T00:00:00"/>
    <d v="2026-01-09T00:00:00"/>
    <m/>
    <s v="US"/>
    <s v="NY"/>
    <m/>
    <m/>
    <m/>
    <m/>
    <x v="6"/>
    <m/>
    <n v="3167.51"/>
    <n v="3167.51"/>
    <x v="0"/>
    <x v="0"/>
    <d v="2026-05-10T00:00:00"/>
    <m/>
    <d v="2026-04-04T00:00:00"/>
    <d v="2026-04-04T00:00:00"/>
    <s v="2026/W14"/>
    <s v="2026/W14"/>
    <s v="Approved"/>
    <m/>
    <m/>
    <s v="Approved"/>
    <m/>
    <m/>
    <s v="N/A"/>
    <m/>
    <m/>
    <s v="Approved"/>
    <m/>
    <m/>
    <s v="N/A"/>
    <m/>
    <m/>
    <s v="Approved"/>
    <m/>
    <m/>
    <s v="COM"/>
    <m/>
    <m/>
    <s v="Complete"/>
    <m/>
    <s v="NPI: Fabric is com for SW14"/>
    <m/>
  </r>
  <r>
    <x v="1"/>
    <x v="0"/>
    <s v="DUONG"/>
    <m/>
    <s v="KD TRAVIS BLOCK HOLDCO, LLC"/>
    <s v="KD"/>
    <s v="KNOX DALLAS"/>
    <x v="31"/>
    <n v="1"/>
    <x v="0"/>
    <s v="NEW"/>
    <s v="8. Shipment"/>
    <d v="2025-04-01T00:00:00"/>
    <d v="2026-04-01T00:00:00"/>
    <m/>
    <s v="US"/>
    <s v="TX"/>
    <m/>
    <m/>
    <m/>
    <m/>
    <x v="20"/>
    <m/>
    <n v="103174.91"/>
    <n v="22782.880000000001"/>
    <x v="13"/>
    <x v="0"/>
    <d v="2025-08-22T00:00:00"/>
    <d v="2026-03-27T00:00:00"/>
    <d v="2026-04-04T00:00:00"/>
    <d v="2026-04-04T00:00:00"/>
    <s v="2026/W14"/>
    <s v="2026/W14"/>
    <s v="Approved"/>
    <m/>
    <d v="2025-06-05T00:00:00"/>
    <s v="Approved"/>
    <m/>
    <m/>
    <s v="Approved"/>
    <m/>
    <m/>
    <s v="Approved"/>
    <m/>
    <m/>
    <s v="Approved"/>
    <m/>
    <m/>
    <s v="Approved"/>
    <m/>
    <m/>
    <s v="COM"/>
    <m/>
    <m/>
    <s v="Complete"/>
    <m/>
    <s v="READY"/>
    <m/>
  </r>
  <r>
    <x v="1"/>
    <x v="0"/>
    <s v="DUONG"/>
    <m/>
    <s v="KD TRAVIS BLOCK HOLDCO, LLC"/>
    <s v="KD"/>
    <s v="KNOX DALLAS"/>
    <x v="31"/>
    <n v="0"/>
    <x v="0"/>
    <s v="NEW"/>
    <s v="8. Shipment"/>
    <d v="2025-04-01T00:00:00"/>
    <d v="2026-04-01T00:00:00"/>
    <m/>
    <s v="US"/>
    <s v="TX"/>
    <m/>
    <m/>
    <m/>
    <m/>
    <x v="20"/>
    <m/>
    <n v="103174.91"/>
    <n v="45565.760000000002"/>
    <x v="7"/>
    <x v="0"/>
    <d v="2025-08-22T00:00:00"/>
    <d v="2026-03-27T00:00:00"/>
    <d v="2026-04-04T00:00:00"/>
    <d v="2026-04-04T00:00:00"/>
    <s v="2026/W14"/>
    <s v="2026/W14"/>
    <s v="Approved"/>
    <m/>
    <d v="2025-06-05T00:00:00"/>
    <s v="Approved"/>
    <m/>
    <m/>
    <s v="Approved"/>
    <m/>
    <m/>
    <s v="Approved"/>
    <m/>
    <m/>
    <s v="Approved"/>
    <m/>
    <m/>
    <s v="Approved"/>
    <m/>
    <m/>
    <s v="COM"/>
    <m/>
    <m/>
    <s v="Complete"/>
    <m/>
    <s v="READY"/>
    <m/>
  </r>
  <r>
    <x v="1"/>
    <x v="0"/>
    <s v="DUONG"/>
    <m/>
    <s v="KD TRAVIS BLOCK HOLDCO, LLC"/>
    <s v="KD"/>
    <s v="KNOX DALLAS"/>
    <x v="31"/>
    <n v="0"/>
    <x v="0"/>
    <s v="NEW"/>
    <s v="8. Shipment"/>
    <d v="2025-04-01T00:00:00"/>
    <d v="2026-04-01T00:00:00"/>
    <m/>
    <s v="US"/>
    <s v="TX"/>
    <m/>
    <m/>
    <m/>
    <m/>
    <x v="20"/>
    <m/>
    <n v="103174.91"/>
    <n v="22783"/>
    <x v="7"/>
    <x v="0"/>
    <d v="2025-08-22T00:00:00"/>
    <d v="2026-03-27T00:00:00"/>
    <d v="2026-04-04T00:00:00"/>
    <d v="2026-04-04T00:00:00"/>
    <s v="2026/W14"/>
    <s v="2026/W14"/>
    <s v="Approved"/>
    <m/>
    <d v="2025-06-05T00:00:00"/>
    <s v="Approved"/>
    <m/>
    <m/>
    <s v="Approved"/>
    <m/>
    <m/>
    <s v="Approved"/>
    <m/>
    <m/>
    <s v="Approved"/>
    <m/>
    <m/>
    <s v="Approved"/>
    <m/>
    <m/>
    <s v="COM"/>
    <m/>
    <m/>
    <s v="Complete"/>
    <m/>
    <s v="READY"/>
    <m/>
  </r>
  <r>
    <x v="1"/>
    <x v="0"/>
    <s v="PHONG"/>
    <m/>
    <s v="KD TRAVIS BLOCK HOLDCO, LLC"/>
    <s v="KD"/>
    <s v="KNOX DALLAS"/>
    <x v="31"/>
    <n v="0"/>
    <x v="0"/>
    <s v="NEW"/>
    <s v="8. Shipment"/>
    <d v="2025-04-01T00:00:00"/>
    <d v="2026-04-01T00:00:00"/>
    <m/>
    <s v="US"/>
    <s v="TX"/>
    <n v="0"/>
    <n v="0"/>
    <m/>
    <m/>
    <x v="20"/>
    <m/>
    <n v="103174.91"/>
    <n v="96242"/>
    <x v="8"/>
    <x v="0"/>
    <d v="2025-08-22T00:00:00"/>
    <d v="2026-08-21T00:00:00"/>
    <d v="2026-09-25T00:00:00"/>
    <d v="2026-12-27T00:00:00"/>
    <s v="2026/W39"/>
    <s v="2026/W52"/>
    <s v="Approved"/>
    <m/>
    <d v="2025-06-05T00:00:00"/>
    <s v="Approved"/>
    <m/>
    <m/>
    <s v="Approved"/>
    <m/>
    <m/>
    <s v="Approved"/>
    <m/>
    <m/>
    <s v="Approved"/>
    <m/>
    <m/>
    <s v="Approved"/>
    <m/>
    <m/>
    <s v="COM"/>
    <m/>
    <s v="COM Pending"/>
    <s v="Complete"/>
    <m/>
    <s v="READY"/>
    <m/>
  </r>
  <r>
    <x v="1"/>
    <x v="0"/>
    <s v="PHONG"/>
    <m/>
    <s v="KD TRAVIS BLOCK HOLDCO, LLC"/>
    <s v="KD"/>
    <s v="KNOX DALLAS SUITE"/>
    <x v="32"/>
    <n v="1"/>
    <x v="3"/>
    <s v="REO"/>
    <s v="7. Mass Production"/>
    <d v="2026-03-19T00:00:00"/>
    <d v="2026-01-31T00:00:00"/>
    <m/>
    <s v="US"/>
    <s v="TX"/>
    <n v="29"/>
    <n v="48"/>
    <m/>
    <m/>
    <x v="2"/>
    <m/>
    <n v="388861"/>
    <n v="97273"/>
    <x v="9"/>
    <x v="0"/>
    <d v="2026-05-15T00:00:00"/>
    <d v="2026-11-13T00:00:00"/>
    <d v="2026-09-25T00:00:00"/>
    <d v="2026-12-27T00:00:00"/>
    <s v="2026/W39"/>
    <s v="2026/W52"/>
    <s v="Approved"/>
    <m/>
    <d v="2025-10-03T00:00:00"/>
    <s v="Approved"/>
    <m/>
    <m/>
    <s v="Approved"/>
    <m/>
    <m/>
    <s v="Approved"/>
    <m/>
    <m/>
    <s v="Approved"/>
    <m/>
    <m/>
    <s v="N/A"/>
    <m/>
    <m/>
    <s v="COM"/>
    <m/>
    <s v="COM Pending"/>
    <s v="Active"/>
    <m/>
    <s v="NPI: Fabric is com for SW52"/>
    <m/>
  </r>
  <r>
    <x v="1"/>
    <x v="0"/>
    <s v="PHONG"/>
    <m/>
    <s v="KD TRAVIS BLOCK HOLDCO, LLC"/>
    <s v="KD"/>
    <s v="KNOX DALLAS SUITE"/>
    <x v="33"/>
    <n v="1"/>
    <x v="3"/>
    <s v="REO"/>
    <s v="7. Mass Production"/>
    <d v="2025-12-10T00:00:00"/>
    <d v="2026-01-31T00:00:00"/>
    <m/>
    <s v="US"/>
    <s v="TX"/>
    <n v="29"/>
    <n v="48"/>
    <m/>
    <m/>
    <x v="2"/>
    <m/>
    <n v="388861"/>
    <n v="109813"/>
    <x v="10"/>
    <x v="0"/>
    <d v="2026-05-15T00:00:00"/>
    <d v="2026-11-13T00:00:00"/>
    <d v="2026-09-25T00:00:00"/>
    <d v="2026-12-27T00:00:00"/>
    <s v="2026/W39"/>
    <s v="2026/W52"/>
    <s v="Approved"/>
    <m/>
    <d v="2025-10-03T00:00:00"/>
    <s v="Approved"/>
    <m/>
    <m/>
    <s v="Approved"/>
    <m/>
    <m/>
    <s v="Approved"/>
    <m/>
    <m/>
    <s v="Approved"/>
    <m/>
    <m/>
    <s v="N/A"/>
    <m/>
    <m/>
    <s v="COM"/>
    <m/>
    <s v="COM Pending"/>
    <s v="Active"/>
    <m/>
    <s v="NPI: Fabric is com for SW52"/>
    <m/>
  </r>
  <r>
    <x v="1"/>
    <x v="0"/>
    <s v="PHONG"/>
    <m/>
    <s v="KD TRAVIS BLOCK HOLDCO, LLC"/>
    <s v="KD"/>
    <s v="KNOX DALLAS SUITE"/>
    <x v="33"/>
    <n v="0"/>
    <x v="3"/>
    <s v="REO"/>
    <s v="7. Mass Production"/>
    <d v="2025-12-10T00:00:00"/>
    <d v="2026-01-31T00:00:00"/>
    <m/>
    <s v="US"/>
    <s v="TX"/>
    <n v="29"/>
    <n v="48"/>
    <m/>
    <m/>
    <x v="2"/>
    <m/>
    <n v="388861"/>
    <n v="40348"/>
    <x v="10"/>
    <x v="0"/>
    <d v="2026-05-15T00:00:00"/>
    <d v="2026-11-13T00:00:00"/>
    <d v="2026-09-25T00:00:00"/>
    <d v="2026-12-27T00:00:00"/>
    <s v="2026/W39"/>
    <s v="2026/W52"/>
    <s v="Approved"/>
    <m/>
    <d v="2025-10-03T00:00:00"/>
    <s v="Approved"/>
    <m/>
    <m/>
    <s v="Approved"/>
    <m/>
    <m/>
    <s v="Approved"/>
    <m/>
    <m/>
    <s v="Approved"/>
    <m/>
    <m/>
    <s v="N/A"/>
    <m/>
    <m/>
    <s v="COM"/>
    <m/>
    <s v="COM Pending"/>
    <s v="Active"/>
    <m/>
    <s v="NPI: Fabric is com for SW52"/>
    <m/>
  </r>
  <r>
    <x v="1"/>
    <x v="0"/>
    <s v="PHONG"/>
    <m/>
    <s v="KD TRAVIS BLOCK HOLDCO, LLC"/>
    <s v="KD"/>
    <s v="KNOX DALLAS SUITE"/>
    <x v="33"/>
    <n v="0"/>
    <x v="3"/>
    <s v="REO"/>
    <s v="7. Mass Production"/>
    <d v="2025-12-10T00:00:00"/>
    <d v="2026-01-31T00:00:00"/>
    <m/>
    <s v="US"/>
    <s v="TX"/>
    <n v="29"/>
    <n v="48"/>
    <m/>
    <m/>
    <x v="2"/>
    <m/>
    <n v="388861"/>
    <n v="57229"/>
    <x v="15"/>
    <x v="0"/>
    <d v="2026-05-15T00:00:00"/>
    <d v="2026-11-13T00:00:00"/>
    <d v="2026-09-25T00:00:00"/>
    <d v="2026-12-27T00:00:00"/>
    <s v="2026/W39"/>
    <s v="2026/W52"/>
    <s v="Approved"/>
    <m/>
    <d v="2025-10-03T00:00:00"/>
    <s v="Approved"/>
    <m/>
    <m/>
    <s v="Approved"/>
    <m/>
    <m/>
    <s v="Approved"/>
    <m/>
    <m/>
    <s v="Approved"/>
    <m/>
    <m/>
    <s v="N/A"/>
    <m/>
    <m/>
    <s v="COM"/>
    <m/>
    <s v="COM Pending"/>
    <s v="Active"/>
    <m/>
    <s v="NPI: Fabric is com for SW52"/>
    <m/>
  </r>
  <r>
    <x v="1"/>
    <x v="0"/>
    <s v="PHONG"/>
    <m/>
    <s v="KD TRAVIS BLOCK HOLDCO, LLC"/>
    <s v="KD"/>
    <s v="KNOX DALLAS INSPECTION COVERS"/>
    <x v="34"/>
    <n v="1"/>
    <x v="4"/>
    <s v="NEW"/>
    <s v="5. Production Readiness"/>
    <d v="2026-10-07T00:00:00"/>
    <d v="2026-10-08T00:00:00"/>
    <m/>
    <s v="US"/>
    <s v="TX"/>
    <m/>
    <m/>
    <m/>
    <m/>
    <x v="21"/>
    <n v="268"/>
    <n v="2680"/>
    <n v="2680"/>
    <x v="15"/>
    <x v="0"/>
    <m/>
    <m/>
    <s v="TBC"/>
    <s v="TBC"/>
    <s v="TBC"/>
    <s v="TBC"/>
    <s v="In Progress"/>
    <m/>
    <m/>
    <s v="In Progress"/>
    <m/>
    <m/>
    <s v="N/A"/>
    <m/>
    <m/>
    <s v="N/A"/>
    <m/>
    <m/>
    <s v="N/A"/>
    <m/>
    <m/>
    <s v="N/A"/>
    <m/>
    <m/>
    <s v="N/A"/>
    <m/>
    <m/>
    <s v="Active"/>
    <m/>
    <s v="NPI: In progress: Drawing, Veneer/Wood for SW TBC"/>
    <m/>
  </r>
  <r>
    <x v="1"/>
    <x v="0"/>
    <s v="THU"/>
    <m/>
    <s v="AHMADIAH CONTRACTING &amp; TRADING CO.-BRANCH KSA"/>
    <s v="AHMADIAH"/>
    <s v="MARRIOTT KHOBAR"/>
    <x v="35"/>
    <n v="1"/>
    <x v="2"/>
    <s v="NEW"/>
    <m/>
    <m/>
    <s v="-"/>
    <m/>
    <s v="SA"/>
    <s v="Saudi Arabia"/>
    <m/>
    <m/>
    <m/>
    <m/>
    <x v="22"/>
    <m/>
    <m/>
    <m/>
    <x v="20"/>
    <x v="3"/>
    <s v="-"/>
    <m/>
    <d v="2026-04-04T00:00:00"/>
    <d v="2026-04-04T00:00:00"/>
    <s v="2026/W14"/>
    <s v="2026/W14"/>
    <m/>
    <m/>
    <m/>
    <m/>
    <m/>
    <m/>
    <m/>
    <m/>
    <m/>
    <m/>
    <m/>
    <m/>
    <m/>
    <m/>
    <m/>
    <m/>
    <m/>
    <m/>
    <m/>
    <m/>
    <m/>
    <s v="Complete"/>
    <m/>
    <s v="NPI: All development items approved/closed for SW14"/>
    <m/>
  </r>
  <r>
    <x v="2"/>
    <x v="0"/>
    <s v="THAO"/>
    <m/>
    <s v="MODERN HISTORY"/>
    <s v="MH"/>
    <s v="MH HOTEL PROJECT"/>
    <x v="36"/>
    <n v="1"/>
    <x v="0"/>
    <s v="NEW"/>
    <s v="8. Shipment"/>
    <d v="2026-02-26T00:00:00"/>
    <d v="2026-02-13T00:00:00"/>
    <m/>
    <s v="US"/>
    <s v="NC"/>
    <m/>
    <m/>
    <m/>
    <m/>
    <x v="9"/>
    <m/>
    <n v="48755"/>
    <n v="48755"/>
    <x v="1"/>
    <x v="0"/>
    <d v="2026-06-10T00:00:00"/>
    <m/>
    <d v="2026-04-04T00:00:00"/>
    <d v="2026-04-04T00:00:00"/>
    <s v="2026/W14"/>
    <s v="2026/W14"/>
    <s v="Approved"/>
    <m/>
    <m/>
    <s v="Approved"/>
    <m/>
    <m/>
    <s v="N/A"/>
    <m/>
    <m/>
    <s v="Approved"/>
    <m/>
    <m/>
    <s v="N/A"/>
    <m/>
    <m/>
    <s v="N/A"/>
    <m/>
    <m/>
    <s v="N/A"/>
    <m/>
    <m/>
    <s v="Complete"/>
    <m/>
    <s v="READY"/>
    <m/>
  </r>
  <r>
    <x v="1"/>
    <x v="0"/>
    <s v="TUYET"/>
    <m/>
    <s v="HOTEL MOHI C/O ABSOLUTE PROCUREMENT"/>
    <s v="MOHI"/>
    <s v="MOHI APPELLATION"/>
    <x v="37"/>
    <n v="1"/>
    <x v="0"/>
    <s v="NEW"/>
    <s v="8. Shipment"/>
    <d v="2025-09-05T00:00:00"/>
    <d v="2025-09-13T00:00:00"/>
    <d v="2025-12-09T00:00:00"/>
    <s v="US"/>
    <s v="CA"/>
    <m/>
    <m/>
    <m/>
    <m/>
    <x v="23"/>
    <m/>
    <n v="357775"/>
    <n v="178386"/>
    <x v="0"/>
    <x v="0"/>
    <s v="-"/>
    <m/>
    <d v="2026-04-04T00:00:00"/>
    <d v="2026-04-04T00:00:00"/>
    <s v="2026/W14"/>
    <s v="2026/W14"/>
    <s v="Approved"/>
    <m/>
    <m/>
    <s v="Approved"/>
    <m/>
    <m/>
    <s v="Approved"/>
    <m/>
    <m/>
    <s v="Approved"/>
    <m/>
    <m/>
    <s v="Approved"/>
    <m/>
    <m/>
    <s v="N/A"/>
    <m/>
    <m/>
    <s v="In Progress"/>
    <m/>
    <m/>
    <s v="Complete"/>
    <m/>
    <s v="READY"/>
    <m/>
  </r>
  <r>
    <x v="1"/>
    <x v="0"/>
    <s v="TUYET"/>
    <m/>
    <s v="HOTEL MOHI C/O ABSOLUTE PROCUREMENT"/>
    <s v="MOHI"/>
    <s v="MOHI APPELLATION"/>
    <x v="37"/>
    <n v="0"/>
    <x v="0"/>
    <s v="NEW"/>
    <s v="8. Shipment"/>
    <d v="2025-09-05T00:00:00"/>
    <d v="2025-09-13T00:00:00"/>
    <d v="2025-12-09T00:00:00"/>
    <s v="US"/>
    <s v="CA"/>
    <m/>
    <m/>
    <m/>
    <m/>
    <x v="23"/>
    <m/>
    <n v="357775"/>
    <n v="179389"/>
    <x v="1"/>
    <x v="0"/>
    <s v="-"/>
    <m/>
    <d v="2026-04-04T00:00:00"/>
    <d v="2026-04-04T00:00:00"/>
    <s v="2026/W14"/>
    <s v="2026/W14"/>
    <s v="Approved"/>
    <m/>
    <m/>
    <s v="Approved"/>
    <m/>
    <m/>
    <s v="Approved"/>
    <m/>
    <m/>
    <s v="Approved"/>
    <m/>
    <m/>
    <s v="Approved"/>
    <m/>
    <m/>
    <s v="N/A"/>
    <m/>
    <m/>
    <s v="In Progress"/>
    <m/>
    <m/>
    <s v="Complete"/>
    <m/>
    <s v="READY"/>
    <m/>
  </r>
  <r>
    <x v="1"/>
    <x v="0"/>
    <s v="DUY"/>
    <s v="Aaron Newell"/>
    <s v="HOTEL MOHI C/O ABSOLUTE PROCUREMENT"/>
    <s v="MOHI"/>
    <s v="MOHI APPELLATION"/>
    <x v="38"/>
    <n v="1"/>
    <x v="3"/>
    <s v="NEW"/>
    <s v="7. Mass Production"/>
    <d v="2026-05-02T00:00:00"/>
    <d v="2026-05-02T00:00:00"/>
    <m/>
    <s v="US"/>
    <s v="CA"/>
    <n v="0"/>
    <n v="0"/>
    <m/>
    <m/>
    <x v="24"/>
    <m/>
    <n v="100242"/>
    <n v="49464"/>
    <x v="9"/>
    <x v="0"/>
    <s v="-"/>
    <m/>
    <d v="2026-09-25T00:00:00"/>
    <d v="2026-10-09T00:00:00"/>
    <s v="2026/W39"/>
    <s v="2026/W41"/>
    <s v="Approved"/>
    <m/>
    <d v="2026-06-18T00:00:00"/>
    <s v="Approved"/>
    <m/>
    <m/>
    <s v="Approved"/>
    <m/>
    <m/>
    <s v="Approved"/>
    <m/>
    <m/>
    <s v="N/A"/>
    <m/>
    <m/>
    <s v="N/A"/>
    <m/>
    <m/>
    <s v="Approved"/>
    <m/>
    <m/>
    <s v="Active"/>
    <m/>
    <s v="NPI: All development items approved/closed for SW41"/>
    <s v="Waiting boooking"/>
  </r>
  <r>
    <x v="1"/>
    <x v="0"/>
    <s v="DUY"/>
    <s v="Aaron Newell"/>
    <s v="HOTEL MOHI C/O ABSOLUTE PROCUREMENT"/>
    <s v="MOHI"/>
    <s v="MOHI APPELLATION"/>
    <x v="38"/>
    <n v="0"/>
    <x v="3"/>
    <s v="NEW"/>
    <s v="7. Mass Production"/>
    <d v="2026-05-02T00:00:00"/>
    <d v="2026-05-02T00:00:00"/>
    <m/>
    <s v="US"/>
    <s v="CA"/>
    <n v="0"/>
    <n v="0"/>
    <m/>
    <m/>
    <x v="24"/>
    <m/>
    <n v="100242"/>
    <n v="50779"/>
    <x v="9"/>
    <x v="0"/>
    <s v="-"/>
    <m/>
    <d v="2026-09-25T00:00:00"/>
    <d v="2026-10-09T00:00:00"/>
    <s v="2026/W39"/>
    <s v="2026/W41"/>
    <s v="Approved"/>
    <m/>
    <d v="2026-06-18T00:00:00"/>
    <s v="Approved"/>
    <m/>
    <m/>
    <s v="Approved"/>
    <m/>
    <m/>
    <s v="Approved"/>
    <m/>
    <m/>
    <s v="N/A"/>
    <m/>
    <m/>
    <s v="N/A"/>
    <m/>
    <m/>
    <s v="Approved"/>
    <m/>
    <m/>
    <s v="Active"/>
    <m/>
    <s v="NPI: All development items approved/closed for SW41"/>
    <s v="Waiting boooking"/>
  </r>
  <r>
    <x v="1"/>
    <x v="0"/>
    <s v="TBC"/>
    <m/>
    <s v="LANG &amp; SCHWANDER LLC"/>
    <s v="L&amp;S"/>
    <s v="RITZ CARLTON COTTON BAY"/>
    <x v="39"/>
    <n v="1"/>
    <x v="1"/>
    <s v="NEW"/>
    <s v="3. Prototype Readiness"/>
    <d v="2025-04-11T00:00:00"/>
    <s v="-"/>
    <m/>
    <s v="BS"/>
    <s v="Bahamas"/>
    <n v="0"/>
    <n v="0"/>
    <m/>
    <m/>
    <x v="25"/>
    <m/>
    <n v="3134000"/>
    <n v="1044666.66666667"/>
    <x v="17"/>
    <x v="1"/>
    <s v="-"/>
    <m/>
    <d v="2026-04-04T00:00:00"/>
    <d v="2026-04-04T00:00:00"/>
    <s v="2026/W14"/>
    <s v="2026/W14"/>
    <s v="Approved"/>
    <m/>
    <m/>
    <s v="Approved"/>
    <m/>
    <m/>
    <m/>
    <m/>
    <m/>
    <m/>
    <m/>
    <m/>
    <m/>
    <m/>
    <m/>
    <m/>
    <m/>
    <m/>
    <m/>
    <m/>
    <m/>
    <s v="Active"/>
    <m/>
    <s v="NPI: All development items approved/closed for SW14"/>
    <m/>
  </r>
  <r>
    <x v="1"/>
    <x v="0"/>
    <s v="TBC"/>
    <m/>
    <s v="LANG &amp; SCHWANDER LLC"/>
    <s v="L&amp;S"/>
    <s v="RITZ CARLTON COTTON BAY"/>
    <x v="39"/>
    <n v="0"/>
    <x v="1"/>
    <s v="NEW"/>
    <s v="3. Prototype Readiness"/>
    <d v="2025-04-11T00:00:00"/>
    <s v="-"/>
    <m/>
    <s v="BS"/>
    <s v="Bahamas"/>
    <n v="0"/>
    <n v="0"/>
    <m/>
    <m/>
    <x v="25"/>
    <m/>
    <n v="3134000"/>
    <n v="1044666.66666667"/>
    <x v="21"/>
    <x v="1"/>
    <s v="-"/>
    <m/>
    <d v="2026-04-04T00:00:00"/>
    <d v="2026-04-04T00:00:00"/>
    <s v="2026/W14"/>
    <s v="2026/W14"/>
    <s v="Approved"/>
    <m/>
    <m/>
    <s v="Approved"/>
    <m/>
    <m/>
    <m/>
    <m/>
    <m/>
    <m/>
    <m/>
    <m/>
    <m/>
    <m/>
    <m/>
    <m/>
    <m/>
    <m/>
    <m/>
    <m/>
    <m/>
    <s v="Active"/>
    <m/>
    <s v="NPI: All development items approved/closed for SW14"/>
    <m/>
  </r>
  <r>
    <x v="1"/>
    <x v="0"/>
    <s v="TBC"/>
    <m/>
    <s v="LANG &amp; SCHWANDER LLC"/>
    <s v="L&amp;S"/>
    <s v="RITZ CARLTON COTTON BAY"/>
    <x v="39"/>
    <n v="0"/>
    <x v="1"/>
    <s v="NEW"/>
    <s v="3. Prototype Readiness"/>
    <d v="2025-04-11T00:00:00"/>
    <s v="-"/>
    <m/>
    <s v="BS"/>
    <s v="Bahamas"/>
    <n v="0"/>
    <n v="0"/>
    <m/>
    <m/>
    <x v="25"/>
    <m/>
    <n v="3134000"/>
    <n v="1044666.66666667"/>
    <x v="22"/>
    <x v="1"/>
    <s v="-"/>
    <m/>
    <d v="2026-04-04T00:00:00"/>
    <d v="2026-04-04T00:00:00"/>
    <s v="2026/W14"/>
    <s v="2026/W14"/>
    <s v="Approved"/>
    <m/>
    <m/>
    <s v="Approved"/>
    <m/>
    <m/>
    <m/>
    <m/>
    <m/>
    <m/>
    <m/>
    <m/>
    <m/>
    <m/>
    <m/>
    <m/>
    <m/>
    <m/>
    <m/>
    <m/>
    <m/>
    <s v="Active"/>
    <m/>
    <s v="NPI: All development items approved/closed for SW14"/>
    <m/>
  </r>
  <r>
    <x v="1"/>
    <x v="0"/>
    <s v="THAO"/>
    <m/>
    <s v="PLUS CORPORATION"/>
    <s v="PLUS CORPORATION"/>
    <s v="SOHO HOUSE TOKYO"/>
    <x v="40"/>
    <n v="1"/>
    <x v="0"/>
    <s v="NEW"/>
    <s v="8. Shipment"/>
    <d v="2025-10-18T00:00:00"/>
    <d v="2026-03-06T00:00:00"/>
    <m/>
    <s v="JP"/>
    <s v="Japan"/>
    <m/>
    <m/>
    <m/>
    <m/>
    <x v="26"/>
    <m/>
    <n v="24012"/>
    <n v="21344"/>
    <x v="13"/>
    <x v="0"/>
    <d v="2026-04-18T00:00:00"/>
    <m/>
    <d v="2026-04-04T00:00:00"/>
    <d v="2026-04-04T00:00:00"/>
    <s v="2026/W14"/>
    <s v="2026/W14"/>
    <s v="Approved"/>
    <m/>
    <d v="2025-10-31T00:00:00"/>
    <s v="Approved"/>
    <m/>
    <d v="2025-11-25T00:00:00"/>
    <s v="Approved"/>
    <m/>
    <d v="2025-11-25T00:00:00"/>
    <s v="Approved"/>
    <m/>
    <d v="2025-11-25T00:00:00"/>
    <s v="N/A"/>
    <m/>
    <m/>
    <s v="N/A"/>
    <m/>
    <m/>
    <s v="COM Received "/>
    <m/>
    <m/>
    <s v="Complete"/>
    <m/>
    <s v="READY"/>
    <m/>
  </r>
  <r>
    <x v="1"/>
    <x v="0"/>
    <s v="THAO"/>
    <m/>
    <s v="PLUS CORPORATION"/>
    <s v="PLUS CORPORATION"/>
    <s v="SOHO HOUSE TOKYO"/>
    <x v="40"/>
    <n v="0"/>
    <x v="0"/>
    <s v="REO"/>
    <s v="8. Shipment"/>
    <d v="2025-03-03T00:00:00"/>
    <d v="2026-03-06T00:00:00"/>
    <m/>
    <s v="JP"/>
    <s v="Japan"/>
    <m/>
    <m/>
    <m/>
    <m/>
    <x v="26"/>
    <m/>
    <n v="24012"/>
    <n v="2668"/>
    <x v="0"/>
    <x v="0"/>
    <d v="2026-04-18T00:00:00"/>
    <m/>
    <d v="2026-04-04T00:00:00"/>
    <d v="2026-04-04T00:00:00"/>
    <s v="2026/W14"/>
    <s v="2026/W14"/>
    <s v="Approved"/>
    <m/>
    <d v="2025-10-31T00:00:00"/>
    <s v="N/A"/>
    <m/>
    <d v="2025-11-25T00:00:00"/>
    <s v="Approved"/>
    <m/>
    <d v="2025-11-25T00:00:00"/>
    <s v="Approved"/>
    <m/>
    <d v="2025-11-25T00:00:00"/>
    <s v="N/A"/>
    <m/>
    <m/>
    <s v="N/A"/>
    <m/>
    <m/>
    <s v="COM Received "/>
    <m/>
    <m/>
    <s v="Complete"/>
    <m/>
    <s v="READY"/>
    <m/>
  </r>
  <r>
    <x v="1"/>
    <x v="0"/>
    <s v="THAO"/>
    <m/>
    <s v="SPECTRUM KITCHENS "/>
    <s v="SPECTRUM"/>
    <s v="1122 MADISON "/>
    <x v="41"/>
    <n v="1"/>
    <x v="0"/>
    <s v="NEW"/>
    <s v="8. Shipment"/>
    <d v="2026-03-11T00:00:00"/>
    <d v="2026-03-13T00:00:00"/>
    <d v="2026-04-02T00:00:00"/>
    <s v="US"/>
    <s v="NY"/>
    <m/>
    <m/>
    <m/>
    <m/>
    <x v="27"/>
    <m/>
    <n v="93065.64"/>
    <n v="80755"/>
    <x v="2"/>
    <x v="0"/>
    <d v="2026-06-26T00:00:00"/>
    <m/>
    <d v="2026-04-04T00:00:00"/>
    <d v="2026-04-04T00:00:00"/>
    <s v="2026/W14"/>
    <s v="2026/W14"/>
    <s v="Approved"/>
    <m/>
    <d v="2026-04-04T00:00:00"/>
    <s v="Approved"/>
    <m/>
    <d v="2026-06-08T00:00:00"/>
    <s v="N/A"/>
    <m/>
    <m/>
    <s v="Approved"/>
    <m/>
    <d v="2026-05-27T00:00:00"/>
    <s v="Approved"/>
    <m/>
    <d v="2026-03-13T00:00:00"/>
    <s v="N/A"/>
    <m/>
    <m/>
    <s v="N/A"/>
    <m/>
    <m/>
    <s v="Complete"/>
    <m/>
    <s v="READY"/>
    <m/>
  </r>
  <r>
    <x v="1"/>
    <x v="0"/>
    <s v="THAO"/>
    <m/>
    <s v="SPECTRUM KITCHENS "/>
    <s v="SPECTRUM"/>
    <s v="1122 MADISON "/>
    <x v="41"/>
    <n v="0"/>
    <x v="0"/>
    <s v="NEW"/>
    <s v="8. Shipment"/>
    <d v="2026-03-11T00:00:00"/>
    <d v="2026-03-13T00:00:00"/>
    <d v="2026-04-02T00:00:00"/>
    <s v="US"/>
    <s v="NY"/>
    <m/>
    <m/>
    <m/>
    <m/>
    <x v="27"/>
    <m/>
    <n v="93065.64"/>
    <n v="12310"/>
    <x v="2"/>
    <x v="0"/>
    <d v="2026-06-26T00:00:00"/>
    <m/>
    <d v="2026-04-04T00:00:00"/>
    <d v="2026-04-04T00:00:00"/>
    <s v="2026/W14"/>
    <s v="2026/W14"/>
    <s v="Approved"/>
    <m/>
    <d v="2026-04-04T00:00:00"/>
    <s v="Approved"/>
    <m/>
    <d v="2026-06-08T00:00:00"/>
    <s v="N/A"/>
    <m/>
    <m/>
    <s v="Approved"/>
    <m/>
    <d v="2026-05-27T00:00:00"/>
    <s v="Approved"/>
    <m/>
    <d v="2026-03-13T00:00:00"/>
    <s v="N/A"/>
    <m/>
    <m/>
    <s v="N/A"/>
    <m/>
    <m/>
    <s v="Complete"/>
    <m/>
    <s v="READY"/>
    <m/>
  </r>
  <r>
    <x v="3"/>
    <x v="0"/>
    <s v="THAO"/>
    <m/>
    <s v="ROCHDALE SPEARS CO LTD."/>
    <s v="RSC"/>
    <s v="THẢO ĐIỀN OFFICE"/>
    <x v="42"/>
    <n v="1"/>
    <x v="0"/>
    <s v="NEW"/>
    <s v="8. Shipment"/>
    <m/>
    <s v="-"/>
    <m/>
    <s v="VN"/>
    <s v="Vietnam"/>
    <m/>
    <m/>
    <m/>
    <m/>
    <x v="19"/>
    <m/>
    <n v="10003.5"/>
    <n v="10003.5"/>
    <x v="13"/>
    <x v="0"/>
    <d v="2026-04-03T00:00:00"/>
    <m/>
    <d v="2026-04-04T00:00:00"/>
    <d v="2026-04-04T00:00:00"/>
    <s v="2026/W14"/>
    <s v="2026/W14"/>
    <s v="Approved"/>
    <m/>
    <d v="2026-01-15T00:00:00"/>
    <s v="Approved"/>
    <m/>
    <d v="2026-01-15T00:00:00"/>
    <m/>
    <m/>
    <s v="Approved"/>
    <n v="46037"/>
    <m/>
    <s v="Approved"/>
    <n v="46037"/>
    <m/>
    <m/>
    <s v="N/A"/>
    <m/>
    <m/>
    <s v="N/A"/>
    <m/>
    <m/>
    <s v="Complete"/>
    <m/>
    <s v="READY"/>
    <m/>
  </r>
  <r>
    <x v="1"/>
    <x v="0"/>
    <s v="DUONG"/>
    <m/>
    <s v="TRIMA  KASI LIMITED"/>
    <s v="TRIMA"/>
    <s v="JRH"/>
    <x v="43"/>
    <n v="1"/>
    <x v="0"/>
    <s v="NEW"/>
    <s v="8. Shipment"/>
    <d v="2026-03-03T00:00:00"/>
    <d v="2026-03-09T00:00:00"/>
    <m/>
    <s v="JM"/>
    <s v="Jamaica"/>
    <m/>
    <m/>
    <m/>
    <m/>
    <x v="28"/>
    <m/>
    <n v="1022211"/>
    <n v="525145.19999999995"/>
    <x v="2"/>
    <x v="0"/>
    <d v="2026-07-31T00:00:00"/>
    <d v="2026-08-31T00:00:00"/>
    <d v="2026-07-13T00:00:00"/>
    <d v="2026-09-04T00:00:00"/>
    <s v="2026/W29"/>
    <s v="2026/W36"/>
    <s v="Approved"/>
    <m/>
    <d v="2026-05-22T00:00:00"/>
    <s v="Approved"/>
    <m/>
    <m/>
    <s v="N/A"/>
    <m/>
    <m/>
    <s v="Approved"/>
    <m/>
    <m/>
    <s v="N/A"/>
    <m/>
    <m/>
    <s v="N/A"/>
    <m/>
    <m/>
    <s v="COM Pending"/>
    <m/>
    <d v="2026-06-05T00:00:00"/>
    <s v="Complete"/>
    <m/>
    <s v="READY"/>
    <m/>
  </r>
  <r>
    <x v="1"/>
    <x v="0"/>
    <s v="DUONG"/>
    <m/>
    <s v="TRIMA  KASI LIMITED"/>
    <s v="TRIMA"/>
    <s v="JRH"/>
    <x v="43"/>
    <n v="0"/>
    <x v="0"/>
    <s v="NEW"/>
    <s v="8. Shipment"/>
    <d v="2026-03-03T00:00:00"/>
    <d v="2026-03-09T00:00:00"/>
    <m/>
    <s v="JM"/>
    <s v="Jamaica"/>
    <m/>
    <m/>
    <m/>
    <m/>
    <x v="28"/>
    <m/>
    <n v="1022211"/>
    <n v="471952.96"/>
    <x v="3"/>
    <x v="0"/>
    <d v="2026-07-31T00:00:00"/>
    <d v="2026-08-31T00:00:00"/>
    <d v="2026-07-13T00:00:00"/>
    <d v="2026-09-04T00:00:00"/>
    <s v="2026/W29"/>
    <s v="2026/W36"/>
    <s v="Approved"/>
    <m/>
    <d v="2026-05-22T00:00:00"/>
    <s v="Approved"/>
    <m/>
    <m/>
    <s v="N/A"/>
    <m/>
    <m/>
    <s v="Approved"/>
    <m/>
    <m/>
    <s v="N/A"/>
    <m/>
    <m/>
    <s v="N/A"/>
    <m/>
    <m/>
    <s v="COM Pending"/>
    <m/>
    <d v="2026-06-05T00:00:00"/>
    <s v="Complete"/>
    <m/>
    <s v="READY"/>
    <m/>
  </r>
  <r>
    <x v="1"/>
    <x v="0"/>
    <s v="DUONG"/>
    <m/>
    <s v="TRIMA  KASI LIMITED"/>
    <s v="TRIMA"/>
    <s v="JRH"/>
    <x v="43"/>
    <n v="0"/>
    <x v="0"/>
    <s v="NEW"/>
    <s v="6. Pilot Run"/>
    <d v="2026-03-03T00:00:00"/>
    <d v="2026-03-09T00:00:00"/>
    <m/>
    <s v="JM"/>
    <s v="Jamaica"/>
    <n v="0"/>
    <n v="0"/>
    <m/>
    <m/>
    <x v="28"/>
    <m/>
    <n v="1022211"/>
    <n v="38212.51"/>
    <x v="8"/>
    <x v="0"/>
    <d v="2026-07-31T00:00:00"/>
    <d v="2026-08-31T00:00:00"/>
    <d v="2026-07-13T00:00:00"/>
    <d v="2026-09-11T00:00:00"/>
    <s v="2026/W29"/>
    <s v="2026/W37"/>
    <s v="Approved"/>
    <m/>
    <d v="2026-05-22T00:00:00"/>
    <s v="Approved"/>
    <m/>
    <m/>
    <s v="N/A"/>
    <m/>
    <m/>
    <s v="Approved"/>
    <m/>
    <m/>
    <s v="N/A"/>
    <m/>
    <m/>
    <s v="N/A"/>
    <m/>
    <m/>
    <s v="COM Pending"/>
    <m/>
    <d v="2026-06-05T00:00:00"/>
    <s v="Complete"/>
    <m/>
    <s v="READY"/>
    <m/>
  </r>
  <r>
    <x v="1"/>
    <x v="1"/>
    <s v="THAO"/>
    <m/>
    <s v="LANG &amp; SCHWANDER LLC"/>
    <s v="L&amp;S"/>
    <s v="ELYSEE HOTEL"/>
    <x v="25"/>
    <n v="1"/>
    <x v="0"/>
    <s v="NEW"/>
    <s v="8. Shipment"/>
    <d v="2026-01-05T00:00:00"/>
    <d v="2025-12-18T00:00:00"/>
    <m/>
    <s v="US"/>
    <s v="NY"/>
    <n v="0"/>
    <n v="0"/>
    <m/>
    <m/>
    <x v="29"/>
    <m/>
    <n v="3015.9900000000002"/>
    <n v="3015.9900000000002"/>
    <x v="8"/>
    <x v="0"/>
    <s v="-"/>
    <m/>
    <d v="2026-08-08T00:00:00"/>
    <d v="2026-09-12T00:00:00"/>
    <s v="2026/W32"/>
    <s v="2026/W37"/>
    <s v="Approved"/>
    <m/>
    <m/>
    <s v="Approved"/>
    <m/>
    <m/>
    <s v="Approved"/>
    <m/>
    <m/>
    <s v="Approved"/>
    <m/>
    <m/>
    <s v="Approved"/>
    <m/>
    <m/>
    <s v="N/A"/>
    <m/>
    <m/>
    <s v="COM Received"/>
    <m/>
    <m/>
    <s v="Complete"/>
    <m/>
    <s v="READY"/>
    <s v="Completed, waiting to load cont"/>
  </r>
  <r>
    <x v="1"/>
    <x v="1"/>
    <s v="DUNG"/>
    <m/>
    <s v="BROOKFIELD PROPERTIES"/>
    <s v="BROOKFIELD"/>
    <s v="PARK HYATT VANCOUVER"/>
    <x v="44"/>
    <n v="1"/>
    <x v="0"/>
    <s v="NEW"/>
    <s v="8. Shipment"/>
    <d v="2026-01-15T00:00:00"/>
    <d v="2026-02-02T00:00:00"/>
    <m/>
    <s v="CA"/>
    <s v="Canada"/>
    <m/>
    <m/>
    <m/>
    <m/>
    <x v="3"/>
    <m/>
    <n v="14470.66"/>
    <n v="14470.66"/>
    <x v="0"/>
    <x v="0"/>
    <d v="2026-05-08T00:00:00"/>
    <m/>
    <d v="2026-04-04T00:00:00"/>
    <d v="2026-04-04T00:00:00"/>
    <s v="2026/W14"/>
    <s v="2026/W14"/>
    <s v="Approved"/>
    <m/>
    <m/>
    <s v="Approved"/>
    <m/>
    <m/>
    <s v="In Progress"/>
    <m/>
    <m/>
    <s v="In Progress"/>
    <m/>
    <m/>
    <s v="In Progress"/>
    <m/>
    <m/>
    <s v="In Progress"/>
    <m/>
    <m/>
    <s v="COM"/>
    <m/>
    <m/>
    <s v="Complete"/>
    <m/>
    <s v="READY"/>
    <m/>
  </r>
  <r>
    <x v="1"/>
    <x v="0"/>
    <s v="DUNG"/>
    <m/>
    <s v="BROOKFIELD PROPERTIES"/>
    <s v="BROOKFIELD"/>
    <s v="PARK HYATT VANCOUVER"/>
    <x v="44"/>
    <n v="1"/>
    <x v="1"/>
    <s v="NEW"/>
    <s v="4. Prototype Build"/>
    <m/>
    <m/>
    <m/>
    <s v="CA"/>
    <s v="Canada"/>
    <s v="TBC"/>
    <s v="TBC"/>
    <m/>
    <m/>
    <x v="3"/>
    <m/>
    <n v="802234"/>
    <n v="401117"/>
    <x v="14"/>
    <x v="1"/>
    <s v="-"/>
    <m/>
    <s v="TBC"/>
    <s v="TBC"/>
    <s v="TBC"/>
    <s v="TBC"/>
    <s v="Not Started "/>
    <m/>
    <m/>
    <s v="Not Started"/>
    <m/>
    <m/>
    <s v="Not Started "/>
    <m/>
    <m/>
    <s v="Not Started "/>
    <m/>
    <m/>
    <s v="Not Started "/>
    <m/>
    <m/>
    <s v="Not Started "/>
    <m/>
    <m/>
    <s v="Not Started "/>
    <m/>
    <m/>
    <s v="Active"/>
    <m/>
    <s v="NPI: Not started: Veneer/Wood for SW TBC"/>
    <m/>
  </r>
  <r>
    <x v="1"/>
    <x v="0"/>
    <s v="DUNG"/>
    <m/>
    <s v="BROOKFIELD PROPERTIES"/>
    <s v="BROOKFIELD"/>
    <s v="PARK HYATT VANCOUVER"/>
    <x v="44"/>
    <n v="0"/>
    <x v="1"/>
    <s v="NEW"/>
    <s v="4. Prototype Build"/>
    <m/>
    <m/>
    <m/>
    <s v="CA"/>
    <s v="Canada"/>
    <s v="TBC"/>
    <s v="TBC"/>
    <m/>
    <m/>
    <x v="3"/>
    <m/>
    <n v="802234"/>
    <n v="401117"/>
    <x v="4"/>
    <x v="1"/>
    <s v="-"/>
    <m/>
    <s v="TBC"/>
    <s v="TBC"/>
    <s v="TBC"/>
    <s v="TBC"/>
    <s v="Not Started "/>
    <m/>
    <m/>
    <s v="Not Started"/>
    <m/>
    <m/>
    <s v="Not Started "/>
    <m/>
    <m/>
    <s v="Not Started "/>
    <m/>
    <m/>
    <s v="Not Started "/>
    <m/>
    <m/>
    <s v="Not Started "/>
    <m/>
    <m/>
    <s v="Not Started "/>
    <m/>
    <m/>
    <s v="Active"/>
    <m/>
    <s v="NPI: Not started: Veneer/Wood for SW TBC"/>
    <m/>
  </r>
  <r>
    <x v="1"/>
    <x v="1"/>
    <s v="NHI"/>
    <m/>
    <s v="FLEETWOOD FURNITURE"/>
    <s v="FLEETWOOD "/>
    <s v="W-HOTEL-LAS-VEGAS"/>
    <x v="45"/>
    <n v="1"/>
    <x v="0"/>
    <s v="NEW"/>
    <s v="8. Shipment"/>
    <d v="2025-10-09T00:00:00"/>
    <d v="2025-11-12T00:00:00"/>
    <m/>
    <s v="US"/>
    <s v="NV"/>
    <m/>
    <m/>
    <m/>
    <m/>
    <x v="5"/>
    <m/>
    <n v="15271.3"/>
    <n v="15271.3"/>
    <x v="13"/>
    <x v="0"/>
    <s v="-"/>
    <m/>
    <d v="2026-04-04T00:00:00"/>
    <d v="2026-04-04T00:00:00"/>
    <s v="2026/W14"/>
    <s v="2026/W14"/>
    <s v="Approved"/>
    <m/>
    <m/>
    <s v="Approved"/>
    <m/>
    <m/>
    <s v="Approved"/>
    <m/>
    <m/>
    <s v="Approved"/>
    <m/>
    <m/>
    <s v="Approved"/>
    <m/>
    <m/>
    <s v="In Progress"/>
    <m/>
    <m/>
    <s v="COM"/>
    <m/>
    <m/>
    <s v="Complete"/>
    <m/>
    <s v="READY"/>
    <m/>
  </r>
  <r>
    <x v="1"/>
    <x v="0"/>
    <s v="BIEN"/>
    <s v="Elaine"/>
    <s v="FLEETWOOD FURNITURE"/>
    <s v="FLEETWOOD "/>
    <s v="W-HOTEL-LAS-VEGAS"/>
    <x v="45"/>
    <n v="1"/>
    <x v="1"/>
    <s v="NEW"/>
    <s v="4. Prototype Build"/>
    <d v="2025-10-09T00:00:00"/>
    <s v="PENDING"/>
    <s v="PENDING"/>
    <s v="US"/>
    <s v="NV"/>
    <n v="0"/>
    <n v="0"/>
    <m/>
    <m/>
    <x v="5"/>
    <m/>
    <n v="3466407"/>
    <n v="1155469"/>
    <x v="14"/>
    <x v="1"/>
    <s v="-"/>
    <m/>
    <s v="TBC"/>
    <s v="TBC"/>
    <s v="TBC"/>
    <s v="TBC"/>
    <s v="Not Started "/>
    <m/>
    <m/>
    <s v="Not Started"/>
    <m/>
    <m/>
    <m/>
    <m/>
    <m/>
    <m/>
    <m/>
    <m/>
    <m/>
    <m/>
    <m/>
    <m/>
    <m/>
    <m/>
    <m/>
    <m/>
    <m/>
    <s v="Active"/>
    <m/>
    <s v="NPI: Not started: Veneer/Wood for SW TBC"/>
    <m/>
  </r>
  <r>
    <x v="1"/>
    <x v="0"/>
    <s v="BIEN"/>
    <s v="Elaine"/>
    <s v="FLEETWOOD FURNITURE"/>
    <s v="FLEETWOOD "/>
    <s v="W-HOTEL-LAS-VEGAS"/>
    <x v="45"/>
    <n v="0"/>
    <x v="1"/>
    <s v="NEW"/>
    <s v="4. Prototype Build"/>
    <d v="2025-10-09T00:00:00"/>
    <s v="PENDING"/>
    <s v="PENDING"/>
    <s v="US"/>
    <s v="NV"/>
    <n v="0"/>
    <n v="0"/>
    <m/>
    <m/>
    <x v="5"/>
    <m/>
    <n v="3466407"/>
    <n v="1155469"/>
    <x v="4"/>
    <x v="1"/>
    <s v="-"/>
    <m/>
    <s v="TBC"/>
    <s v="TBC"/>
    <s v="TBC"/>
    <s v="TBC"/>
    <s v="Not Started "/>
    <m/>
    <m/>
    <s v="Not Started"/>
    <m/>
    <m/>
    <m/>
    <m/>
    <m/>
    <m/>
    <m/>
    <m/>
    <m/>
    <m/>
    <m/>
    <m/>
    <m/>
    <m/>
    <m/>
    <m/>
    <m/>
    <s v="Active"/>
    <m/>
    <s v="NPI: Not started: Veneer/Wood for SW TBC"/>
    <m/>
  </r>
  <r>
    <x v="1"/>
    <x v="0"/>
    <s v="BIEN"/>
    <s v="Elaine"/>
    <s v="FLEETWOOD FURNITURE"/>
    <s v="FLEETWOOD "/>
    <s v="W-HOTEL-LAS-VEGAS"/>
    <x v="45"/>
    <n v="0"/>
    <x v="1"/>
    <s v="NEW"/>
    <s v="4. Prototype Build"/>
    <d v="2025-10-09T00:00:00"/>
    <s v="PENDING"/>
    <s v="PENDING"/>
    <s v="US"/>
    <s v="NV"/>
    <n v="0"/>
    <n v="0"/>
    <m/>
    <m/>
    <x v="5"/>
    <m/>
    <n v="3466407"/>
    <n v="1155469"/>
    <x v="5"/>
    <x v="1"/>
    <s v="-"/>
    <m/>
    <s v="TBC"/>
    <s v="TBC"/>
    <s v="TBC"/>
    <s v="TBC"/>
    <s v="Not Started "/>
    <m/>
    <m/>
    <s v="Not Started"/>
    <m/>
    <m/>
    <m/>
    <m/>
    <m/>
    <m/>
    <m/>
    <m/>
    <m/>
    <m/>
    <m/>
    <m/>
    <m/>
    <m/>
    <m/>
    <m/>
    <m/>
    <s v="Active"/>
    <m/>
    <s v="NPI: Not started: Veneer/Wood for SW TBC"/>
    <m/>
  </r>
  <r>
    <x v="1"/>
    <x v="1"/>
    <s v="THAO"/>
    <m/>
    <s v="LANG &amp; SCHWANDER LLC"/>
    <s v="L&amp;S"/>
    <s v="HARD ROCK SAN JUAN"/>
    <x v="46"/>
    <n v="1"/>
    <x v="8"/>
    <s v="NEW"/>
    <s v="5. Production Readiness"/>
    <d v="2026-04-29T00:00:00"/>
    <d v="2026-06-02T00:00:00"/>
    <d v="2026-03-19T00:00:00"/>
    <s v="US"/>
    <s v="PR"/>
    <n v="0"/>
    <n v="0"/>
    <m/>
    <m/>
    <x v="16"/>
    <n v="20"/>
    <n v="6614.04"/>
    <n v="6614.04"/>
    <x v="8"/>
    <x v="0"/>
    <d v="2026-07-31T00:00:00"/>
    <m/>
    <d v="2026-10-16T00:00:00"/>
    <d v="2026-10-30T00:00:00"/>
    <s v="2026/W42"/>
    <s v="2026/W44"/>
    <s v="In Progress"/>
    <m/>
    <m/>
    <s v="Pending Approval"/>
    <m/>
    <m/>
    <s v="In Progress"/>
    <m/>
    <m/>
    <s v="Pending Approval"/>
    <m/>
    <m/>
    <s v="Pending approval"/>
    <m/>
    <m/>
    <s v="In Progress"/>
    <m/>
    <m/>
    <s v="N/A"/>
    <m/>
    <m/>
    <s v="Complete"/>
    <m/>
    <s v="NPD: In progress: Drawing, Marble, Electrical; Pending approval: Veneer/Wood, Metal, Mirror for SW44"/>
    <m/>
  </r>
  <r>
    <x v="1"/>
    <x v="0"/>
    <s v="THAO"/>
    <m/>
    <s v="LANG &amp; SCHWANDER LLC"/>
    <s v="L&amp;S"/>
    <s v="HARD ROCK SAN JUAN"/>
    <x v="46"/>
    <n v="1"/>
    <x v="1"/>
    <s v="NEW"/>
    <s v="2. Product &amp; Process Dev"/>
    <m/>
    <m/>
    <m/>
    <s v="US"/>
    <s v="PR"/>
    <n v="20"/>
    <n v="34"/>
    <m/>
    <m/>
    <x v="30"/>
    <m/>
    <n v="1500000"/>
    <n v="750000"/>
    <x v="23"/>
    <x v="1"/>
    <m/>
    <m/>
    <s v="TBC"/>
    <s v="TBC"/>
    <s v="TBC"/>
    <s v="TBC"/>
    <s v="In Progress"/>
    <m/>
    <m/>
    <s v="In Progress"/>
    <m/>
    <m/>
    <m/>
    <m/>
    <m/>
    <m/>
    <m/>
    <m/>
    <m/>
    <m/>
    <m/>
    <m/>
    <m/>
    <m/>
    <m/>
    <m/>
    <m/>
    <s v="Active"/>
    <m/>
    <s v="NPI: In progress: Drawing, Veneer/Wood for SW TBC"/>
    <m/>
  </r>
  <r>
    <x v="1"/>
    <x v="0"/>
    <s v="THAO"/>
    <m/>
    <s v="LANG &amp; SCHWANDER LLC"/>
    <s v="L&amp;S"/>
    <s v="HARD ROCK SAN JUAN"/>
    <x v="46"/>
    <n v="0"/>
    <x v="1"/>
    <s v="NEW"/>
    <s v="2. Product &amp; Process Dev"/>
    <m/>
    <m/>
    <m/>
    <s v="US"/>
    <s v="PR"/>
    <n v="20"/>
    <n v="34"/>
    <m/>
    <m/>
    <x v="30"/>
    <m/>
    <n v="1500000"/>
    <n v="750000"/>
    <x v="17"/>
    <x v="1"/>
    <m/>
    <m/>
    <s v="TBC"/>
    <s v="TBC"/>
    <s v="TBC"/>
    <s v="TBC"/>
    <s v="In Progress"/>
    <m/>
    <m/>
    <s v="In Progress"/>
    <m/>
    <m/>
    <m/>
    <m/>
    <m/>
    <m/>
    <m/>
    <m/>
    <m/>
    <m/>
    <m/>
    <m/>
    <m/>
    <m/>
    <m/>
    <m/>
    <m/>
    <s v="Active"/>
    <m/>
    <s v="NPI: In progress: Drawing, Veneer/Wood for SW TBC"/>
    <m/>
  </r>
  <r>
    <x v="1"/>
    <x v="1"/>
    <s v="DUNG"/>
    <m/>
    <s v="SPECTRUM KITCHENS "/>
    <s v="SPECTRUM"/>
    <s v="OTMB VANITY"/>
    <x v="47"/>
    <n v="1"/>
    <x v="3"/>
    <s v="NEW"/>
    <s v="7. Mass Production"/>
    <d v="2026-03-10T00:00:00"/>
    <d v="2026-03-18T00:00:00"/>
    <m/>
    <s v="US"/>
    <s v="NY"/>
    <n v="0"/>
    <n v="0"/>
    <m/>
    <m/>
    <x v="28"/>
    <n v="4"/>
    <n v="4027.44"/>
    <n v="3273"/>
    <x v="3"/>
    <x v="0"/>
    <s v="-"/>
    <m/>
    <d v="2026-09-11T00:00:00"/>
    <d v="2026-10-02T00:00:00"/>
    <s v="2026/W37"/>
    <s v="2026/W40"/>
    <s v="Approved"/>
    <m/>
    <m/>
    <s v="Approved"/>
    <m/>
    <m/>
    <s v="N/A"/>
    <m/>
    <m/>
    <s v="Approved"/>
    <m/>
    <m/>
    <s v="Approved"/>
    <m/>
    <m/>
    <s v="N/A"/>
    <m/>
    <m/>
    <s v="N/A"/>
    <m/>
    <m/>
    <s v="Active"/>
    <m/>
    <s v="NPD: All development items approved/closed for SW40"/>
    <m/>
  </r>
  <r>
    <x v="1"/>
    <x v="0"/>
    <s v="DUNG"/>
    <m/>
    <s v="SPECTRUM KITCHENS "/>
    <s v="SPECTRUM"/>
    <s v="OTMB VANITY"/>
    <x v="47"/>
    <n v="1"/>
    <x v="1"/>
    <s v="NEW"/>
    <s v="4. Prototype Build"/>
    <m/>
    <s v="-"/>
    <m/>
    <s v="US"/>
    <s v="NY"/>
    <n v="0"/>
    <n v="0"/>
    <m/>
    <m/>
    <x v="28"/>
    <m/>
    <n v="179782"/>
    <n v="179782"/>
    <x v="19"/>
    <x v="1"/>
    <s v="-"/>
    <m/>
    <s v="TBC"/>
    <s v="TBC"/>
    <s v="TBC"/>
    <s v="TBC"/>
    <s v="Not Started "/>
    <m/>
    <m/>
    <s v="Not Started"/>
    <m/>
    <m/>
    <s v="N/A"/>
    <m/>
    <m/>
    <s v="Not Started "/>
    <m/>
    <m/>
    <s v="Not Started "/>
    <m/>
    <m/>
    <s v="Not Started "/>
    <m/>
    <m/>
    <s v="Not Started "/>
    <m/>
    <m/>
    <s v="Active"/>
    <m/>
    <s v="NPI: Not started: Veneer/Wood for SW TBC"/>
    <m/>
  </r>
  <r>
    <x v="1"/>
    <x v="1"/>
    <s v="BIEN"/>
    <m/>
    <s v="AYALA INTERNATIONAL"/>
    <s v="AYALA"/>
    <s v="KHOBAR HILTON CANOPY HOTEL"/>
    <x v="48"/>
    <n v="1"/>
    <x v="0"/>
    <s v="NEW"/>
    <s v="8. Shipment"/>
    <d v="2026-05-14T00:00:00"/>
    <d v="2026-06-04T00:00:00"/>
    <d v="2026-06-24T00:00:00"/>
    <s v="SA"/>
    <s v="Saudi Arabia"/>
    <n v="0"/>
    <n v="0"/>
    <m/>
    <m/>
    <x v="3"/>
    <n v="9"/>
    <n v="7901.24"/>
    <n v="7901.24"/>
    <x v="3"/>
    <x v="0"/>
    <d v="2026-08-03T00:00:00"/>
    <d v="2026-08-07T00:00:00"/>
    <d v="2026-08-28T00:00:00"/>
    <d v="2026-08-28T00:00:00"/>
    <s v="2026/W35"/>
    <s v="2026/W35"/>
    <s v="In Progress"/>
    <m/>
    <m/>
    <s v="In Progress"/>
    <m/>
    <m/>
    <s v="Approved"/>
    <m/>
    <d v="2026-06-23T00:00:00"/>
    <s v="Pending Approval"/>
    <m/>
    <m/>
    <s v="N/A"/>
    <m/>
    <m/>
    <s v="N/A"/>
    <m/>
    <m/>
    <s v="COM"/>
    <m/>
    <d v="2026-07-07T00:00:00"/>
    <s v="Complete"/>
    <m/>
    <s v="READY"/>
    <m/>
  </r>
  <r>
    <x v="1"/>
    <x v="1"/>
    <s v="BIEN"/>
    <m/>
    <s v="BENJAMIN WEST"/>
    <s v="BENJAMIN"/>
    <s v="HACIENDA HOTEL LISBON PORTUGAL "/>
    <x v="49"/>
    <n v="1"/>
    <x v="3"/>
    <s v="NEW"/>
    <s v="3. Prototype Readiness (BOM)"/>
    <d v="2026-06-29T00:00:00"/>
    <d v="2026-07-30T00:00:00"/>
    <m/>
    <s v="PT"/>
    <s v="Portugal"/>
    <n v="0"/>
    <n v="0"/>
    <m/>
    <m/>
    <x v="31"/>
    <n v="23"/>
    <n v="32000"/>
    <n v="32000"/>
    <x v="15"/>
    <x v="0"/>
    <m/>
    <m/>
    <d v="2026-11-13T00:00:00"/>
    <d v="2026-12-04T00:00:00"/>
    <s v="2026/W46"/>
    <s v="2026/W49"/>
    <s v="In Progress"/>
    <d v="2026-09-26T00:00:00"/>
    <m/>
    <s v="In Progress"/>
    <d v="2026-09-26T00:00:00"/>
    <m/>
    <s v="In Progress"/>
    <d v="2026-09-26T00:00:00"/>
    <m/>
    <s v="In Progress"/>
    <d v="2026-09-26T00:00:00"/>
    <m/>
    <s v="N/A"/>
    <m/>
    <m/>
    <s v="N/A"/>
    <m/>
    <m/>
    <s v="COM Pending"/>
    <m/>
    <m/>
    <s v="Active"/>
    <m/>
    <s v="NPD: In progress: Drawing, Veneer/Wood, Marble, Metal; Fabric is com pending; need approval by 26-Sep-26 for SW49"/>
    <m/>
  </r>
  <r>
    <x v="1"/>
    <x v="0"/>
    <s v="BIEN"/>
    <m/>
    <s v="BENJAMIN WEST"/>
    <s v="BENJAMIN"/>
    <s v="HACIENDA HOTEL LISBON PORTUGAL "/>
    <x v="49"/>
    <n v="1"/>
    <x v="1"/>
    <s v="NEW"/>
    <s v="2. Product &amp; Process Dev"/>
    <m/>
    <m/>
    <m/>
    <s v="PT"/>
    <s v="Portugal"/>
    <n v="64"/>
    <n v="137"/>
    <m/>
    <m/>
    <x v="32"/>
    <m/>
    <n v="596794"/>
    <n v="596794"/>
    <x v="4"/>
    <x v="1"/>
    <m/>
    <m/>
    <s v="TBC"/>
    <s v="TBC"/>
    <s v="TBC"/>
    <s v="TBC"/>
    <s v="Not Started"/>
    <m/>
    <m/>
    <s v="Not Started"/>
    <m/>
    <m/>
    <m/>
    <m/>
    <m/>
    <m/>
    <m/>
    <m/>
    <m/>
    <m/>
    <m/>
    <m/>
    <m/>
    <m/>
    <m/>
    <m/>
    <m/>
    <s v="Active"/>
    <m/>
    <s v="NPI: Not started: Drawing, Veneer/Wood for SW TBC"/>
    <m/>
  </r>
  <r>
    <x v="0"/>
    <x v="0"/>
    <s v="SHIPPED"/>
    <s v="Sue Bilstad"/>
    <s v="RESTORATION HARDWARE_HS"/>
    <s v="RH"/>
    <s v="FOX HARBOR"/>
    <x v="3"/>
    <n v="0"/>
    <x v="0"/>
    <s v="NEW"/>
    <s v="8. Shipment"/>
    <d v="2025-09-17T00:00:00"/>
    <m/>
    <m/>
    <s v="CA"/>
    <s v="CA"/>
    <m/>
    <m/>
    <m/>
    <m/>
    <x v="0"/>
    <m/>
    <n v="71837"/>
    <n v="71837"/>
    <x v="24"/>
    <x v="0"/>
    <m/>
    <m/>
    <d v="2025-01-17T00:00:00"/>
    <d v="2025-01-17T00:00:00"/>
    <s v="2025/W03"/>
    <s v="2025/W03"/>
    <s v="Approved"/>
    <m/>
    <m/>
    <s v="Approved"/>
    <m/>
    <m/>
    <s v="N/A"/>
    <m/>
    <m/>
    <s v="Approved"/>
    <m/>
    <m/>
    <s v="N/A"/>
    <m/>
    <m/>
    <s v="N/A"/>
    <m/>
    <m/>
    <s v="COM"/>
    <m/>
    <m/>
    <s v="Complete"/>
    <s v="Yes"/>
    <s v="READY"/>
    <m/>
  </r>
  <r>
    <x v="1"/>
    <x v="0"/>
    <s v="DUY"/>
    <m/>
    <s v="WOODHAUS"/>
    <s v="WOODHAUS"/>
    <s v="KNOX HENDERSON"/>
    <x v="50"/>
    <n v="1"/>
    <x v="0"/>
    <s v="NEW"/>
    <s v="8. Shipment"/>
    <d v="2026-04-16T00:00:00"/>
    <d v="2026-05-16T00:00:00"/>
    <m/>
    <s v="US"/>
    <s v="TX"/>
    <m/>
    <m/>
    <m/>
    <m/>
    <x v="5"/>
    <m/>
    <n v="22198"/>
    <n v="22198"/>
    <x v="3"/>
    <x v="0"/>
    <d v="2026-07-15T00:00:00"/>
    <d v="2026-07-31T00:00:00"/>
    <d v="2026-08-04T00:00:00"/>
    <d v="2026-08-04T00:00:00"/>
    <s v="2026/W32"/>
    <s v="2026/W32"/>
    <s v="Approved"/>
    <m/>
    <d v="2026-05-14T00:00:00"/>
    <s v="Approved"/>
    <m/>
    <m/>
    <s v="N/A"/>
    <m/>
    <m/>
    <s v="N/A"/>
    <m/>
    <m/>
    <s v="N/A"/>
    <m/>
    <m/>
    <s v="N/A"/>
    <m/>
    <m/>
    <s v="N/A"/>
    <m/>
    <m/>
    <s v="Complete"/>
    <m/>
    <s v="READY"/>
    <m/>
  </r>
  <r>
    <x v="1"/>
    <x v="0"/>
    <s v="THAO"/>
    <m/>
    <s v="TRIMA  KASI LIMITED"/>
    <s v="TRIMA"/>
    <s v="JOIA TIERRA DEL SOL"/>
    <x v="51"/>
    <n v="1"/>
    <x v="5"/>
    <s v="NEW"/>
    <s v="1. Preliminary Design"/>
    <m/>
    <m/>
    <m/>
    <s v="AR"/>
    <s v="Aruba"/>
    <n v="0"/>
    <n v="0"/>
    <m/>
    <m/>
    <x v="33"/>
    <m/>
    <n v="1131814"/>
    <n v="1131814"/>
    <x v="5"/>
    <x v="1"/>
    <m/>
    <m/>
    <s v="TBC"/>
    <s v="TBC"/>
    <s v="TBC"/>
    <s v="TBC"/>
    <s v="Not Started "/>
    <m/>
    <m/>
    <m/>
    <m/>
    <m/>
    <m/>
    <m/>
    <m/>
    <m/>
    <m/>
    <m/>
    <m/>
    <m/>
    <m/>
    <m/>
    <m/>
    <m/>
    <m/>
    <m/>
    <m/>
    <s v="Active"/>
    <m/>
    <s v="NPI: All development items approved/closed for SW TBC"/>
    <m/>
  </r>
  <r>
    <x v="1"/>
    <x v="0"/>
    <s v="THAO"/>
    <m/>
    <s v="TRIMA  KASI LIMITED"/>
    <s v="TRIMA"/>
    <s v="JOIA TIERRA DEL SOL"/>
    <x v="51"/>
    <n v="0"/>
    <x v="5"/>
    <s v="NEW"/>
    <s v="1. Preliminary Design"/>
    <m/>
    <m/>
    <m/>
    <s v="AR"/>
    <s v="Aruba"/>
    <n v="0"/>
    <n v="0"/>
    <m/>
    <m/>
    <x v="33"/>
    <m/>
    <n v="1131814"/>
    <n v="1131814"/>
    <x v="6"/>
    <x v="1"/>
    <m/>
    <m/>
    <s v="TBC"/>
    <s v="TBC"/>
    <s v="TBC"/>
    <s v="TBC"/>
    <s v="Not Started "/>
    <m/>
    <m/>
    <m/>
    <m/>
    <m/>
    <m/>
    <m/>
    <m/>
    <m/>
    <m/>
    <m/>
    <m/>
    <m/>
    <m/>
    <m/>
    <m/>
    <m/>
    <m/>
    <m/>
    <m/>
    <s v="Active"/>
    <m/>
    <s v="NPI: All development items approved/closed for SW TBC"/>
    <m/>
  </r>
  <r>
    <x v="0"/>
    <x v="0"/>
    <s v="TBC"/>
    <s v="Madison Lay"/>
    <s v="RESTORATION HARDWARE_HS"/>
    <s v="RH"/>
    <s v="RED SEA"/>
    <x v="52"/>
    <n v="1"/>
    <x v="1"/>
    <s v="NEW"/>
    <s v="1. Preliminary Design"/>
    <m/>
    <m/>
    <m/>
    <s v="SA"/>
    <s v="SA"/>
    <n v="0"/>
    <n v="0"/>
    <m/>
    <m/>
    <x v="33"/>
    <m/>
    <n v="1000000"/>
    <n v="1000000"/>
    <x v="23"/>
    <x v="1"/>
    <m/>
    <m/>
    <d v="2026-09-11T00:00:00"/>
    <d v="2026-09-25T00:00:00"/>
    <s v="2026/W37"/>
    <s v="2026/W39"/>
    <s v="Not Started "/>
    <m/>
    <m/>
    <m/>
    <m/>
    <m/>
    <m/>
    <m/>
    <m/>
    <m/>
    <m/>
    <m/>
    <m/>
    <m/>
    <m/>
    <m/>
    <m/>
    <m/>
    <m/>
    <m/>
    <m/>
    <s v="Active"/>
    <s v="Yes"/>
    <s v="NPI: All development items approved/closed for SW39"/>
    <m/>
  </r>
  <r>
    <x v="0"/>
    <x v="0"/>
    <s v="BIEN"/>
    <s v="Madison Lay"/>
    <s v="RESTORATION HARDWARE_HS"/>
    <s v="RH"/>
    <s v="VICEROY SUGAR BEACH - ASH WOOD VERSION"/>
    <x v="53"/>
    <n v="1"/>
    <x v="0"/>
    <s v="NEW"/>
    <s v="7. Mass Production"/>
    <d v="2026-03-23T00:00:00"/>
    <d v="2026-04-06T00:00:00"/>
    <m/>
    <s v="LC"/>
    <s v="Saint Lucia"/>
    <n v="0"/>
    <n v="0"/>
    <m/>
    <m/>
    <x v="13"/>
    <m/>
    <n v="149029"/>
    <n v="74514.5"/>
    <x v="8"/>
    <x v="0"/>
    <d v="2026-08-07T00:00:00"/>
    <d v="2026-08-07T00:00:00"/>
    <d v="2026-09-26T00:00:00"/>
    <d v="2026-09-26T00:00:00"/>
    <s v="2026/W39"/>
    <s v="2026/W39"/>
    <s v="Approved"/>
    <m/>
    <m/>
    <s v="Approved"/>
    <m/>
    <m/>
    <s v="Approved"/>
    <m/>
    <m/>
    <s v="Approved"/>
    <m/>
    <m/>
    <s v="Approved"/>
    <m/>
    <m/>
    <s v="Approved"/>
    <m/>
    <m/>
    <s v="COM Received"/>
    <m/>
    <m/>
    <s v="Complete"/>
    <s v="Yes"/>
    <s v="READY"/>
    <m/>
  </r>
  <r>
    <x v="0"/>
    <x v="0"/>
    <s v="BIEN"/>
    <s v="Madison Lay"/>
    <s v="RESTORATION HARDWARE_HS"/>
    <s v="RH"/>
    <s v="VICEROY SUGAR BEACH - ASH WOOD VERSION"/>
    <x v="53"/>
    <n v="0"/>
    <x v="0"/>
    <s v="NEW"/>
    <s v="7. Mass Production"/>
    <d v="2026-03-23T00:00:00"/>
    <d v="2026-04-06T00:00:00"/>
    <m/>
    <s v="LC"/>
    <s v="Saint Lucia"/>
    <n v="0"/>
    <n v="0"/>
    <m/>
    <m/>
    <x v="13"/>
    <m/>
    <n v="149029"/>
    <n v="74514.5"/>
    <x v="8"/>
    <x v="0"/>
    <d v="2026-08-07T00:00:00"/>
    <d v="2026-08-07T00:00:00"/>
    <d v="2026-09-26T00:00:00"/>
    <d v="2026-09-26T00:00:00"/>
    <s v="2026/W39"/>
    <s v="2026/W39"/>
    <s v="Approved"/>
    <m/>
    <m/>
    <s v="Approved"/>
    <m/>
    <m/>
    <s v="Approved"/>
    <m/>
    <m/>
    <s v="Approved"/>
    <m/>
    <m/>
    <s v="Approved"/>
    <m/>
    <m/>
    <s v="Approved"/>
    <m/>
    <m/>
    <s v="COM Received"/>
    <m/>
    <m/>
    <s v="Complete"/>
    <s v="Yes"/>
    <s v="READY"/>
    <m/>
  </r>
  <r>
    <x v="1"/>
    <x v="0"/>
    <s v="THAO"/>
    <m/>
    <s v="LANG &amp; SCHWANDER LLC"/>
    <s v="L&amp;S"/>
    <s v="SILVERSANDS GRAND ANSE"/>
    <x v="54"/>
    <n v="1"/>
    <x v="9"/>
    <s v="NEW"/>
    <s v="1. Preliminary Design"/>
    <m/>
    <m/>
    <m/>
    <s v="Grenada (Caribbean)"/>
    <s v="St. George's:"/>
    <m/>
    <m/>
    <m/>
    <m/>
    <x v="34"/>
    <m/>
    <n v="371262"/>
    <n v="371262"/>
    <x v="12"/>
    <x v="2"/>
    <m/>
    <m/>
    <m/>
    <m/>
    <s v=""/>
    <s v=""/>
    <m/>
    <m/>
    <m/>
    <m/>
    <m/>
    <m/>
    <m/>
    <m/>
    <m/>
    <m/>
    <m/>
    <m/>
    <m/>
    <m/>
    <m/>
    <m/>
    <m/>
    <m/>
    <m/>
    <m/>
    <m/>
    <s v="Complete"/>
    <m/>
    <s v="NPI: All development items approved/closed"/>
    <m/>
  </r>
  <r>
    <x v="1"/>
    <x v="1"/>
    <s v="DUNG"/>
    <m/>
    <s v="SPECTRUM KITCHENS "/>
    <s v="SPECTRUM"/>
    <s v="PROJECT 550"/>
    <x v="55"/>
    <n v="1"/>
    <x v="3"/>
    <s v="NEW"/>
    <s v="7. Mass Production"/>
    <d v="2026-03-26T00:00:00"/>
    <m/>
    <m/>
    <s v="US"/>
    <s v="TBD"/>
    <n v="0"/>
    <n v="0"/>
    <m/>
    <m/>
    <x v="28"/>
    <n v="4"/>
    <n v="6938.58"/>
    <n v="6938.58"/>
    <x v="3"/>
    <x v="0"/>
    <m/>
    <m/>
    <d v="2026-09-11T00:00:00"/>
    <d v="2026-10-02T00:00:00"/>
    <s v="2026/W37"/>
    <s v="2026/W40"/>
    <s v="Approved"/>
    <m/>
    <m/>
    <s v="Approved"/>
    <m/>
    <m/>
    <s v="In Progress"/>
    <m/>
    <m/>
    <s v="In Progress"/>
    <m/>
    <m/>
    <s v="In Progress"/>
    <m/>
    <m/>
    <s v="In Progress"/>
    <m/>
    <m/>
    <m/>
    <m/>
    <m/>
    <s v="Active"/>
    <m/>
    <s v="NPD: In progress: Marble, Metal, Mirror, Electrical for SW40"/>
    <m/>
  </r>
  <r>
    <x v="1"/>
    <x v="0"/>
    <s v="DUNG"/>
    <m/>
    <s v="SPECTRUM KITCHENS "/>
    <s v="SPECTRUM"/>
    <s v="PROJECT 550"/>
    <x v="55"/>
    <n v="1"/>
    <x v="1"/>
    <s v="NEW"/>
    <s v="2. Product &amp; Process Dev"/>
    <d v="2026-03-26T00:00:00"/>
    <m/>
    <m/>
    <s v="US"/>
    <s v="TBD"/>
    <n v="0"/>
    <n v="0"/>
    <m/>
    <m/>
    <x v="20"/>
    <m/>
    <n v="361028.77"/>
    <n v="361028.77"/>
    <x v="16"/>
    <x v="1"/>
    <m/>
    <m/>
    <s v="TBC"/>
    <s v="TBC"/>
    <s v="TBC"/>
    <s v="TBC"/>
    <s v="In Progress"/>
    <m/>
    <m/>
    <s v="In Progress"/>
    <m/>
    <m/>
    <s v="In Progress"/>
    <m/>
    <m/>
    <s v="In Progress"/>
    <m/>
    <m/>
    <s v="In Progress"/>
    <m/>
    <m/>
    <s v="In Progress"/>
    <m/>
    <m/>
    <m/>
    <m/>
    <m/>
    <s v="Active"/>
    <m/>
    <s v="NPI: In progress: Drawing, Veneer/Wood, Marble, Metal, Mirror, Electrical for SW TBC"/>
    <m/>
  </r>
  <r>
    <x v="1"/>
    <x v="1"/>
    <s v="DUNG"/>
    <s v="Erika"/>
    <s v="FLEETWOOD FURNITURE"/>
    <s v="FLEETWOOD "/>
    <s v="AUBERGE HOUSTON MR"/>
    <x v="56"/>
    <n v="1"/>
    <x v="7"/>
    <s v="NEW"/>
    <s v="7. Mass Production"/>
    <d v="2026-03-31T00:00:00"/>
    <d v="2026-05-08T00:00:00"/>
    <d v="2026-05-29T00:00:00"/>
    <s v="US"/>
    <s v="TX"/>
    <n v="0"/>
    <n v="0"/>
    <m/>
    <m/>
    <x v="28"/>
    <n v="4"/>
    <n v="12609.46"/>
    <n v="15040.19"/>
    <x v="8"/>
    <x v="0"/>
    <s v="ON HOLD"/>
    <s v="ON HOLD"/>
    <s v="ON HOLD"/>
    <s v="ON HOLD"/>
    <s v="ON HOLD"/>
    <s v="ON HOLD"/>
    <s v="Pending Approval"/>
    <m/>
    <m/>
    <s v="Approved"/>
    <m/>
    <d v="2026-08-26T00:00:00"/>
    <s v="Approved"/>
    <m/>
    <d v="2026-08-26T00:00:00"/>
    <s v="In Progress"/>
    <m/>
    <m/>
    <s v="Approved"/>
    <m/>
    <d v="2026-08-26T00:00:00"/>
    <s v="Pending Approval"/>
    <m/>
    <m/>
    <s v="COM Pending"/>
    <m/>
    <m/>
    <s v="Complete"/>
    <m/>
    <s v="NPD: In progress: Metal; Pending approval: Drawing, Electrical; Fabric is com pending for SW ON HOLD"/>
    <m/>
  </r>
  <r>
    <x v="1"/>
    <x v="0"/>
    <s v="DUNG"/>
    <s v="Erika"/>
    <s v="FLEETWOOD FURNITURE"/>
    <s v="FLEETWOOD "/>
    <s v="AUBERGE HOUSTON MR"/>
    <x v="56"/>
    <n v="1"/>
    <x v="7"/>
    <s v="NEW"/>
    <s v="1. Preliminary Design"/>
    <d v="2026-05-16T00:00:00"/>
    <m/>
    <m/>
    <s v="US"/>
    <s v="TX"/>
    <s v="TBC"/>
    <s v="TBC"/>
    <m/>
    <m/>
    <x v="35"/>
    <m/>
    <n v="707023.48"/>
    <n v="707023.48"/>
    <x v="12"/>
    <x v="2"/>
    <m/>
    <m/>
    <s v="TBC"/>
    <s v="TBC"/>
    <s v="TBC"/>
    <s v="TBC"/>
    <s v="Not Started "/>
    <m/>
    <m/>
    <s v="Not Started "/>
    <m/>
    <m/>
    <s v="Not Started "/>
    <m/>
    <m/>
    <s v="Not Started "/>
    <m/>
    <m/>
    <s v="Not Started "/>
    <m/>
    <m/>
    <s v="Not Started "/>
    <m/>
    <m/>
    <s v="Not Started "/>
    <m/>
    <m/>
    <s v="Complete"/>
    <m/>
    <s v="NPI: All development items approved/closed for SW TBC"/>
    <m/>
  </r>
  <r>
    <x v="0"/>
    <x v="1"/>
    <s v="DUY"/>
    <s v="Madison Lay"/>
    <s v="RESTORATION HARDWARE_HS"/>
    <s v="RH"/>
    <s v="AWH TOPNOTCH"/>
    <x v="57"/>
    <n v="1"/>
    <x v="8"/>
    <s v="NEW"/>
    <s v="2. Product &amp; Process Dev"/>
    <d v="2026-04-08T00:00:00"/>
    <m/>
    <m/>
    <s v="US"/>
    <s v="Vermont"/>
    <n v="0"/>
    <n v="0"/>
    <m/>
    <m/>
    <x v="14"/>
    <n v="17"/>
    <n v="31219.1"/>
    <n v="31219.1"/>
    <x v="15"/>
    <x v="0"/>
    <m/>
    <m/>
    <d v="2026-12-11T00:00:00"/>
    <d v="2026-12-25T00:00:00"/>
    <s v="2026/W50"/>
    <s v="2026/W52"/>
    <s v="Pending Approval"/>
    <m/>
    <m/>
    <s v="Pending Approval"/>
    <m/>
    <m/>
    <s v="Not Started"/>
    <m/>
    <m/>
    <s v="Pending Approval"/>
    <m/>
    <m/>
    <s v="N/A"/>
    <m/>
    <m/>
    <s v="In Progress"/>
    <m/>
    <m/>
    <s v="COM"/>
    <m/>
    <m/>
    <s v="Complete"/>
    <s v="Yes"/>
    <s v="NPD: In progress: Electrical; Pending approval: Drawing, Veneer/Wood, Metal; Not started: Marble; Fabric is com for SW52"/>
    <m/>
  </r>
  <r>
    <x v="0"/>
    <x v="0"/>
    <s v="DUY"/>
    <s v="Madison Lay"/>
    <s v="RESTORATION HARDWARE_HS"/>
    <s v="RH"/>
    <s v="AWH TOPNOTCH"/>
    <x v="57"/>
    <n v="1"/>
    <x v="8"/>
    <s v="NEW"/>
    <s v="1. Preliminary Design"/>
    <d v="2026-04-08T00:00:00"/>
    <m/>
    <m/>
    <s v="US"/>
    <s v="Vermont"/>
    <n v="0"/>
    <n v="0"/>
    <m/>
    <m/>
    <x v="14"/>
    <m/>
    <n v="532175"/>
    <n v="532175"/>
    <x v="14"/>
    <x v="1"/>
    <m/>
    <m/>
    <d v="2026-03-13T00:00:00"/>
    <d v="2026-03-27T00:00:00"/>
    <s v="2026/W11"/>
    <s v="2026/W13"/>
    <s v="In Progress"/>
    <m/>
    <m/>
    <s v="Pending Approval"/>
    <m/>
    <m/>
    <s v="Not Started"/>
    <m/>
    <m/>
    <s v="Pending Approval"/>
    <m/>
    <m/>
    <s v="N/A"/>
    <m/>
    <m/>
    <s v="In Progress"/>
    <m/>
    <m/>
    <s v="COM"/>
    <m/>
    <m/>
    <s v="Complete"/>
    <s v="Yes"/>
    <s v="NPI: In progress: Drawing, Electrical; Pending approval: Veneer/Wood, Metal; Not started: Marble; Fabric is com for SW13"/>
    <m/>
  </r>
  <r>
    <x v="1"/>
    <x v="0"/>
    <s v="THAO"/>
    <s v="Erika"/>
    <s v="FLEETWOOD FURNITURE"/>
    <s v="FLEETWOOD "/>
    <s v="SPANISH BAY CLUB "/>
    <x v="58"/>
    <n v="1"/>
    <x v="3"/>
    <s v="NEW"/>
    <s v="7. Mass Production"/>
    <d v="2026-04-24T00:00:00"/>
    <d v="2026-04-29T00:00:00"/>
    <d v="2026-05-17T00:00:00"/>
    <s v="US"/>
    <s v="CA"/>
    <n v="7"/>
    <n v="17"/>
    <n v="74"/>
    <m/>
    <x v="35"/>
    <n v="74"/>
    <n v="64112.41"/>
    <n v="64112.41"/>
    <x v="10"/>
    <x v="0"/>
    <d v="2026-11-02T00:00:00"/>
    <d v="2026-11-23T00:00:00"/>
    <d v="2026-11-06T00:00:00"/>
    <d v="2026-11-27T00:00:00"/>
    <s v="2026/W45"/>
    <s v="2026/W48"/>
    <s v="Approved"/>
    <m/>
    <d v="2026-09-05T00:00:00"/>
    <s v="Approved"/>
    <m/>
    <d v="2026-07-20T00:00:00"/>
    <s v="Approved"/>
    <m/>
    <d v="2026-08-18T00:00:00"/>
    <s v="Approved"/>
    <m/>
    <d v="2026-07-20T00:00:00"/>
    <s v="N/A"/>
    <m/>
    <m/>
    <s v="Approved"/>
    <m/>
    <d v="2026-09-05T00:00:00"/>
    <s v="N/A"/>
    <m/>
    <m/>
    <s v="Active"/>
    <m/>
    <s v="NPI: All development items approved/closed for SW48"/>
    <m/>
  </r>
  <r>
    <x v="1"/>
    <x v="0"/>
    <s v="THU"/>
    <m/>
    <s v="COSMIC REALTY PARTNERS LLC"/>
    <s v="COSMIC REALTY"/>
    <s v="250 FIFTH AVENUE HOTEL"/>
    <x v="24"/>
    <n v="0"/>
    <x v="0"/>
    <s v="NEW"/>
    <s v="8. Shipment"/>
    <m/>
    <m/>
    <m/>
    <s v="US"/>
    <s v="NY"/>
    <m/>
    <m/>
    <m/>
    <m/>
    <x v="14"/>
    <m/>
    <n v="51127"/>
    <n v="51127"/>
    <x v="25"/>
    <x v="0"/>
    <m/>
    <m/>
    <m/>
    <m/>
    <s v=""/>
    <s v=""/>
    <s v="Approved"/>
    <m/>
    <m/>
    <s v="Approved"/>
    <m/>
    <m/>
    <s v="Approved"/>
    <m/>
    <m/>
    <s v="Approved"/>
    <m/>
    <m/>
    <s v="Approved"/>
    <m/>
    <m/>
    <s v="Approved"/>
    <m/>
    <m/>
    <s v="COM"/>
    <m/>
    <m/>
    <s v="Complete"/>
    <m/>
    <s v="READY"/>
    <m/>
  </r>
  <r>
    <x v="1"/>
    <x v="0"/>
    <s v="SHIPPED"/>
    <m/>
    <s v="FLEETWOOD FURNITURE"/>
    <s v="FLEETWOOD "/>
    <s v="HWVP PHASE 2"/>
    <x v="59"/>
    <n v="1"/>
    <x v="0"/>
    <s v="NEW"/>
    <s v="8. Shipment"/>
    <m/>
    <m/>
    <m/>
    <s v="US"/>
    <m/>
    <m/>
    <m/>
    <m/>
    <m/>
    <x v="19"/>
    <m/>
    <n v="1601"/>
    <n v="1601"/>
    <x v="24"/>
    <x v="0"/>
    <m/>
    <m/>
    <m/>
    <m/>
    <s v=""/>
    <s v=""/>
    <s v="Approved"/>
    <m/>
    <m/>
    <m/>
    <m/>
    <m/>
    <m/>
    <m/>
    <m/>
    <m/>
    <m/>
    <m/>
    <m/>
    <m/>
    <m/>
    <m/>
    <m/>
    <m/>
    <m/>
    <m/>
    <m/>
    <s v="Complete"/>
    <m/>
    <s v="READY"/>
    <m/>
  </r>
  <r>
    <x v="1"/>
    <x v="0"/>
    <s v="SHIPPED"/>
    <m/>
    <s v="KD TRAVIS BLOCK HOLDCO, LLC"/>
    <s v="KD"/>
    <s v="KNOX DALLAS"/>
    <x v="60"/>
    <n v="1"/>
    <x v="0"/>
    <s v="NEW"/>
    <s v="8. Shipment"/>
    <m/>
    <m/>
    <m/>
    <s v="US"/>
    <m/>
    <m/>
    <m/>
    <m/>
    <m/>
    <x v="20"/>
    <m/>
    <n v="362480.94"/>
    <n v="362480.94"/>
    <x v="24"/>
    <x v="0"/>
    <m/>
    <m/>
    <m/>
    <m/>
    <s v=""/>
    <s v=""/>
    <s v="Approved"/>
    <m/>
    <m/>
    <s v="Approved"/>
    <m/>
    <m/>
    <s v="Approved"/>
    <m/>
    <m/>
    <s v="Approved"/>
    <m/>
    <m/>
    <s v="Approved"/>
    <m/>
    <m/>
    <s v="Approved"/>
    <m/>
    <m/>
    <s v="COM"/>
    <m/>
    <m/>
    <s v="Complete"/>
    <m/>
    <s v="READY"/>
    <m/>
  </r>
  <r>
    <x v="1"/>
    <x v="0"/>
    <s v="SHIPPED"/>
    <m/>
    <s v="KD TRAVIS BLOCK HOLDCO, LLC"/>
    <s v="KD"/>
    <s v="KNOX DALLAS"/>
    <x v="60"/>
    <n v="0"/>
    <x v="0"/>
    <s v="NEW"/>
    <s v="8. Shipment"/>
    <m/>
    <m/>
    <m/>
    <s v="US"/>
    <m/>
    <m/>
    <m/>
    <m/>
    <m/>
    <x v="20"/>
    <m/>
    <n v="33400"/>
    <n v="33400"/>
    <x v="25"/>
    <x v="0"/>
    <m/>
    <m/>
    <m/>
    <m/>
    <s v=""/>
    <s v=""/>
    <s v="Approved"/>
    <m/>
    <m/>
    <s v="Approved"/>
    <m/>
    <m/>
    <s v="Approved"/>
    <m/>
    <m/>
    <s v="Approved"/>
    <m/>
    <m/>
    <s v="Approved"/>
    <m/>
    <m/>
    <s v="Approved"/>
    <m/>
    <m/>
    <s v="COM"/>
    <m/>
    <m/>
    <s v="Complete"/>
    <m/>
    <s v="READY"/>
    <m/>
  </r>
  <r>
    <x v="1"/>
    <x v="0"/>
    <s v="SHIPPED"/>
    <m/>
    <s v="PLUS CORPORATION"/>
    <s v="PLUS CORPORATION"/>
    <s v="SOHO HOUSE TOKYO"/>
    <x v="61"/>
    <n v="1"/>
    <x v="0"/>
    <s v="NEW"/>
    <s v="8. Shipment"/>
    <m/>
    <m/>
    <m/>
    <s v="Japan"/>
    <s v="Japan"/>
    <m/>
    <m/>
    <m/>
    <m/>
    <x v="26"/>
    <m/>
    <n v="24407"/>
    <n v="24407"/>
    <x v="24"/>
    <x v="0"/>
    <m/>
    <m/>
    <m/>
    <m/>
    <s v=""/>
    <s v=""/>
    <s v="Approved"/>
    <m/>
    <m/>
    <m/>
    <m/>
    <m/>
    <m/>
    <m/>
    <m/>
    <m/>
    <m/>
    <m/>
    <m/>
    <m/>
    <m/>
    <m/>
    <m/>
    <m/>
    <m/>
    <m/>
    <m/>
    <s v="Complete"/>
    <m/>
    <s v="READY"/>
    <m/>
  </r>
  <r>
    <x v="1"/>
    <x v="0"/>
    <s v="SHIPPED"/>
    <m/>
    <s v="PLUS CORPORATION"/>
    <s v="PLUS CORPORATION"/>
    <s v="SOHO HOUSE TOKYO"/>
    <x v="61"/>
    <n v="0"/>
    <x v="0"/>
    <s v="NEW"/>
    <s v="8. Shipment"/>
    <m/>
    <m/>
    <m/>
    <s v="Japan"/>
    <s v="Japan"/>
    <m/>
    <m/>
    <m/>
    <m/>
    <x v="26"/>
    <m/>
    <n v="80520"/>
    <n v="80520"/>
    <x v="25"/>
    <x v="0"/>
    <m/>
    <m/>
    <m/>
    <m/>
    <s v=""/>
    <s v=""/>
    <s v="Approved"/>
    <m/>
    <m/>
    <m/>
    <m/>
    <m/>
    <m/>
    <m/>
    <m/>
    <m/>
    <m/>
    <m/>
    <m/>
    <m/>
    <m/>
    <m/>
    <m/>
    <m/>
    <m/>
    <m/>
    <m/>
    <s v="Complete"/>
    <m/>
    <s v="READY"/>
    <m/>
  </r>
  <r>
    <x v="0"/>
    <x v="0"/>
    <s v="SHIPPED"/>
    <s v="Sue Bilstad"/>
    <s v="RESTORATION HARDWARE_HS"/>
    <s v="RH"/>
    <s v="RH BRANDYWINE"/>
    <x v="62"/>
    <n v="1"/>
    <x v="0"/>
    <s v="NEW"/>
    <s v="8. Shipment"/>
    <m/>
    <m/>
    <m/>
    <s v="US"/>
    <m/>
    <m/>
    <m/>
    <m/>
    <m/>
    <x v="4"/>
    <m/>
    <n v="5432.2"/>
    <n v="5432.2"/>
    <x v="24"/>
    <x v="0"/>
    <m/>
    <m/>
    <m/>
    <m/>
    <s v=""/>
    <s v=""/>
    <s v="Approved"/>
    <m/>
    <m/>
    <s v="Approved"/>
    <m/>
    <m/>
    <s v="N/A"/>
    <m/>
    <m/>
    <s v="N/A"/>
    <m/>
    <m/>
    <s v="N/A"/>
    <m/>
    <m/>
    <s v="N/A"/>
    <m/>
    <m/>
    <s v="N/A"/>
    <m/>
    <m/>
    <s v="Complete"/>
    <s v="Yes"/>
    <s v="READY"/>
    <m/>
  </r>
  <r>
    <x v="1"/>
    <x v="1"/>
    <s v="DUNG"/>
    <m/>
    <s v="BROOKFIELD PROPERTIES"/>
    <s v="BROOKFIELD"/>
    <s v="RITZ CARLTON PHILADELPHIA"/>
    <x v="63"/>
    <n v="1"/>
    <x v="0"/>
    <s v="NEW"/>
    <s v="8. Shipment"/>
    <d v="2026-05-02T00:00:00"/>
    <d v="2026-05-07T00:00:00"/>
    <m/>
    <s v="US"/>
    <s v="PA"/>
    <m/>
    <m/>
    <m/>
    <m/>
    <x v="9"/>
    <m/>
    <n v="11414.99"/>
    <n v="13583.73"/>
    <x v="2"/>
    <x v="0"/>
    <d v="2026-07-17T00:00:00"/>
    <m/>
    <d v="2026-07-17T00:00:00"/>
    <d v="2026-07-17T00:00:00"/>
    <s v="2026/W29"/>
    <s v="2026/W29"/>
    <s v="Approved"/>
    <m/>
    <m/>
    <s v="Approved"/>
    <m/>
    <m/>
    <s v="Approved"/>
    <m/>
    <m/>
    <s v="Approved"/>
    <m/>
    <m/>
    <s v="N/A"/>
    <m/>
    <m/>
    <s v="Approved"/>
    <m/>
    <m/>
    <s v="COM Received"/>
    <m/>
    <m/>
    <s v="Complete"/>
    <m/>
    <s v="READY"/>
    <m/>
  </r>
  <r>
    <x v="0"/>
    <x v="1"/>
    <s v="BIEN"/>
    <s v="Caroline Dillard"/>
    <s v="RESTORATION HARDWARE_HS"/>
    <s v="RH"/>
    <s v="CUSTOM MIYU TABLES"/>
    <x v="64"/>
    <n v="1"/>
    <x v="0"/>
    <s v="NEW"/>
    <s v="8. Shipment"/>
    <d v="2026-04-16T00:00:00"/>
    <d v="2026-05-26T00:00:00"/>
    <m/>
    <s v="US"/>
    <s v="US"/>
    <m/>
    <m/>
    <m/>
    <m/>
    <x v="30"/>
    <m/>
    <n v="5617.6"/>
    <n v="5617.6"/>
    <x v="2"/>
    <x v="0"/>
    <d v="2026-09-12T00:00:00"/>
    <d v="2026-09-19T00:00:00"/>
    <d v="2026-07-15T00:00:00"/>
    <d v="2026-07-15T00:00:00"/>
    <s v="2026/W29"/>
    <s v="2026/W29"/>
    <s v="Approved"/>
    <m/>
    <d v="2026-05-25T00:00:00"/>
    <s v="Approved"/>
    <m/>
    <d v="2026-06-04T00:00:00"/>
    <s v="N/A"/>
    <m/>
    <m/>
    <s v="N/A"/>
    <m/>
    <m/>
    <s v="Approved"/>
    <m/>
    <m/>
    <s v="N/A"/>
    <m/>
    <m/>
    <s v="N/A"/>
    <m/>
    <m/>
    <s v="Complete"/>
    <s v="Yes"/>
    <s v="READY"/>
    <m/>
  </r>
  <r>
    <x v="0"/>
    <x v="1"/>
    <s v="DUY"/>
    <s v="Sue Bilstad"/>
    <s v="RESTORATION HARDWARE_HS"/>
    <s v="RH"/>
    <s v="GRAND HYATT DENVER"/>
    <x v="65"/>
    <n v="1"/>
    <x v="3"/>
    <s v="NEW"/>
    <s v="4. Prototype Build"/>
    <d v="2026-04-24T00:00:00"/>
    <d v="2026-07-03T00:00:00"/>
    <m/>
    <s v="US"/>
    <s v="CO"/>
    <n v="0"/>
    <n v="0"/>
    <m/>
    <m/>
    <x v="4"/>
    <n v="2"/>
    <n v="5542.32"/>
    <n v="5542.32"/>
    <x v="9"/>
    <x v="0"/>
    <m/>
    <m/>
    <d v="2026-10-29T00:00:00"/>
    <d v="2026-10-29T00:00:00"/>
    <s v="2026/W44"/>
    <s v="2026/W44"/>
    <s v="Approved"/>
    <m/>
    <d v="2026-09-07T00:00:00"/>
    <s v="Approved"/>
    <m/>
    <d v="2026-07-24T00:00:00"/>
    <s v="N/A"/>
    <m/>
    <m/>
    <s v="N/A"/>
    <m/>
    <m/>
    <s v="N/A"/>
    <m/>
    <m/>
    <s v="Approved"/>
    <m/>
    <d v="2026-09-07T00:00:00"/>
    <s v="COM Received"/>
    <m/>
    <d v="2026-08-21T00:00:00"/>
    <s v="Active"/>
    <s v="Yes"/>
    <s v="NPD: Fabric is com received for SW44"/>
    <m/>
  </r>
  <r>
    <x v="0"/>
    <x v="0"/>
    <s v="TBC"/>
    <s v="Caroline Dillard"/>
    <s v="RESTORATION HARDWARE_HS"/>
    <s v="RH"/>
    <s v="COMPETITIVE EDGE "/>
    <x v="66"/>
    <n v="1"/>
    <x v="5"/>
    <s v="NEW"/>
    <s v="2. Product &amp; Process Dev"/>
    <d v="2026-04-29T00:00:00"/>
    <m/>
    <m/>
    <s v="US"/>
    <m/>
    <n v="0"/>
    <n v="0"/>
    <m/>
    <m/>
    <x v="21"/>
    <m/>
    <n v="847691"/>
    <n v="847691"/>
    <x v="12"/>
    <x v="2"/>
    <m/>
    <m/>
    <s v="TBC"/>
    <s v="TBC"/>
    <s v="TBC"/>
    <s v="TBC"/>
    <s v="Not Started"/>
    <m/>
    <m/>
    <s v="Not Started"/>
    <m/>
    <m/>
    <m/>
    <m/>
    <m/>
    <m/>
    <m/>
    <m/>
    <m/>
    <m/>
    <m/>
    <m/>
    <m/>
    <m/>
    <m/>
    <m/>
    <m/>
    <s v="Active"/>
    <s v="Yes"/>
    <s v="NPI: Not started: Drawing, Veneer/Wood for SW TBC"/>
    <m/>
  </r>
  <r>
    <x v="1"/>
    <x v="0"/>
    <s v="THAO"/>
    <m/>
    <s v="FLEETWOOD FURNITURE"/>
    <s v="FLEETWOOD "/>
    <s v="WALDORF ASTORIA DEER VALLEY"/>
    <x v="67"/>
    <n v="1"/>
    <x v="5"/>
    <s v="NEW"/>
    <s v="1. Preliminary Design"/>
    <d v="2026-05-02T00:00:00"/>
    <m/>
    <m/>
    <s v="US"/>
    <m/>
    <n v="0"/>
    <n v="0"/>
    <m/>
    <m/>
    <x v="24"/>
    <m/>
    <n v="5665882.9800000004"/>
    <n v="1133176.5960000001"/>
    <x v="4"/>
    <x v="1"/>
    <m/>
    <m/>
    <m/>
    <m/>
    <s v=""/>
    <s v=""/>
    <m/>
    <m/>
    <m/>
    <m/>
    <m/>
    <m/>
    <m/>
    <m/>
    <m/>
    <m/>
    <m/>
    <m/>
    <m/>
    <m/>
    <m/>
    <m/>
    <m/>
    <m/>
    <m/>
    <m/>
    <m/>
    <s v="Active"/>
    <m/>
    <s v="NPI: All development items approved/closed"/>
    <m/>
  </r>
  <r>
    <x v="1"/>
    <x v="0"/>
    <s v="THAO"/>
    <m/>
    <s v="FLEETWOOD FURNITURE"/>
    <s v="FLEETWOOD "/>
    <s v="WALDORF ASTORIA DEER VALLEY"/>
    <x v="67"/>
    <n v="0"/>
    <x v="5"/>
    <s v="NEW"/>
    <s v="1. Preliminary Design"/>
    <d v="2026-05-02T00:00:00"/>
    <m/>
    <m/>
    <s v="US"/>
    <m/>
    <n v="0"/>
    <n v="0"/>
    <m/>
    <m/>
    <x v="24"/>
    <m/>
    <n v="5665882.9800000004"/>
    <n v="1133176.5960000001"/>
    <x v="5"/>
    <x v="1"/>
    <m/>
    <m/>
    <m/>
    <m/>
    <s v=""/>
    <s v=""/>
    <m/>
    <m/>
    <m/>
    <m/>
    <m/>
    <m/>
    <m/>
    <m/>
    <m/>
    <m/>
    <m/>
    <m/>
    <m/>
    <m/>
    <m/>
    <m/>
    <m/>
    <m/>
    <m/>
    <m/>
    <m/>
    <s v="Active"/>
    <m/>
    <s v="NPI: All development items approved/closed"/>
    <m/>
  </r>
  <r>
    <x v="1"/>
    <x v="0"/>
    <s v="THAO"/>
    <m/>
    <s v="FLEETWOOD FURNITURE"/>
    <s v="FLEETWOOD "/>
    <s v="WALDORF ASTORIA DEER VALLEY"/>
    <x v="67"/>
    <n v="0"/>
    <x v="5"/>
    <s v="NEW"/>
    <s v="1. Preliminary Design"/>
    <d v="2026-05-02T00:00:00"/>
    <m/>
    <m/>
    <s v="US"/>
    <m/>
    <n v="0"/>
    <n v="0"/>
    <m/>
    <m/>
    <x v="24"/>
    <m/>
    <n v="5665882.9800000004"/>
    <n v="1133176.5960000001"/>
    <x v="6"/>
    <x v="1"/>
    <m/>
    <m/>
    <m/>
    <m/>
    <s v=""/>
    <s v=""/>
    <m/>
    <m/>
    <m/>
    <m/>
    <m/>
    <m/>
    <m/>
    <m/>
    <m/>
    <m/>
    <m/>
    <m/>
    <m/>
    <m/>
    <m/>
    <m/>
    <m/>
    <m/>
    <m/>
    <m/>
    <m/>
    <s v="Active"/>
    <m/>
    <s v="NPI: All development items approved/closed"/>
    <m/>
  </r>
  <r>
    <x v="1"/>
    <x v="0"/>
    <s v="THAO"/>
    <m/>
    <s v="FLEETWOOD FURNITURE"/>
    <s v="FLEETWOOD "/>
    <s v="WALDORF ASTORIA DEER VALLEY"/>
    <x v="67"/>
    <n v="0"/>
    <x v="5"/>
    <s v="NEW"/>
    <s v="1. Preliminary Design"/>
    <d v="2026-05-02T00:00:00"/>
    <m/>
    <m/>
    <s v="US"/>
    <m/>
    <n v="0"/>
    <n v="0"/>
    <m/>
    <m/>
    <x v="24"/>
    <m/>
    <n v="5665882.9800000004"/>
    <n v="1133176.5960000001"/>
    <x v="23"/>
    <x v="1"/>
    <m/>
    <m/>
    <m/>
    <m/>
    <s v=""/>
    <s v=""/>
    <m/>
    <m/>
    <m/>
    <m/>
    <m/>
    <m/>
    <m/>
    <m/>
    <m/>
    <m/>
    <m/>
    <m/>
    <m/>
    <m/>
    <m/>
    <m/>
    <m/>
    <m/>
    <m/>
    <m/>
    <m/>
    <s v="Active"/>
    <m/>
    <s v="NPI: All development items approved/closed"/>
    <m/>
  </r>
  <r>
    <x v="1"/>
    <x v="0"/>
    <s v="THAO"/>
    <m/>
    <s v="FLEETWOOD FURNITURE"/>
    <s v="FLEETWOOD "/>
    <s v="WALDORF ASTORIA DEER VALLEY"/>
    <x v="67"/>
    <n v="0"/>
    <x v="5"/>
    <s v="NEW"/>
    <s v="1. Preliminary Design"/>
    <d v="2026-05-02T00:00:00"/>
    <m/>
    <m/>
    <s v="US"/>
    <m/>
    <n v="0"/>
    <n v="0"/>
    <m/>
    <m/>
    <x v="24"/>
    <m/>
    <n v="5665882.9800000004"/>
    <n v="1133176.5960000001"/>
    <x v="17"/>
    <x v="1"/>
    <m/>
    <m/>
    <m/>
    <m/>
    <s v=""/>
    <s v=""/>
    <m/>
    <m/>
    <m/>
    <m/>
    <m/>
    <m/>
    <m/>
    <m/>
    <m/>
    <m/>
    <m/>
    <m/>
    <m/>
    <m/>
    <m/>
    <m/>
    <m/>
    <m/>
    <m/>
    <m/>
    <m/>
    <s v="Active"/>
    <m/>
    <s v="NPI: All development items approved/closed"/>
    <m/>
  </r>
  <r>
    <x v="1"/>
    <x v="0"/>
    <s v="THAO"/>
    <s v="Erika"/>
    <s v="FLEETWOOD FURNITURE"/>
    <s v="FLEETWOOD "/>
    <s v="PEBBLE BEACH CASA PALMERO"/>
    <x v="68"/>
    <n v="1"/>
    <x v="0"/>
    <s v="NEW"/>
    <s v="7. Mass Production"/>
    <d v="2026-05-02T00:00:00"/>
    <d v="2026-05-13T00:00:00"/>
    <d v="2026-06-05T00:00:00"/>
    <s v="US"/>
    <s v="CA"/>
    <n v="0"/>
    <n v="0"/>
    <n v="25"/>
    <m/>
    <x v="4"/>
    <n v="25"/>
    <n v="13541.25"/>
    <n v="13541.25"/>
    <x v="9"/>
    <x v="0"/>
    <d v="2026-09-05T00:00:00"/>
    <d v="2026-09-05T00:00:00"/>
    <d v="2026-10-09T00:00:00"/>
    <d v="2026-10-09T00:00:00"/>
    <s v="2026/W41"/>
    <s v="2026/W41"/>
    <s v="Approved"/>
    <m/>
    <d v="2026-06-27T00:00:00"/>
    <s v="Approved"/>
    <m/>
    <d v="2026-07-10T00:00:00"/>
    <s v="N/A"/>
    <m/>
    <m/>
    <s v="Approved"/>
    <m/>
    <d v="2026-07-10T00:00:00"/>
    <s v="Approved"/>
    <m/>
    <d v="2026-07-24T00:00:00"/>
    <s v="N/A"/>
    <m/>
    <m/>
    <s v="N/A"/>
    <m/>
    <m/>
    <s v="Complete"/>
    <m/>
    <s v="READY"/>
    <s v="James Le will come for final inspection before packing 10-Oct"/>
  </r>
  <r>
    <x v="0"/>
    <x v="1"/>
    <s v="BIEN"/>
    <s v="Monica Cuevas"/>
    <s v="RESTORATION HARDWARE_HS"/>
    <s v="RH"/>
    <s v="SUNRIVER RESORT "/>
    <x v="69"/>
    <n v="1"/>
    <x v="0"/>
    <s v="NEW"/>
    <s v="8. Shipment"/>
    <d v="2026-05-02T00:00:00"/>
    <d v="2026-05-12T00:00:00"/>
    <m/>
    <s v="US"/>
    <s v="US"/>
    <m/>
    <m/>
    <m/>
    <m/>
    <x v="6"/>
    <m/>
    <n v="1017.32"/>
    <n v="1017.32"/>
    <x v="1"/>
    <x v="0"/>
    <d v="2026-06-22T00:00:00"/>
    <d v="2026-06-26T00:00:00"/>
    <d v="2026-06-29T00:00:00"/>
    <d v="2026-06-29T00:00:00"/>
    <s v="2026/W27"/>
    <s v="2026/W27"/>
    <s v="Approved"/>
    <m/>
    <d v="2026-05-16T00:00:00"/>
    <s v="Approved"/>
    <m/>
    <d v="2026-05-16T00:00:00"/>
    <s v="N/A"/>
    <m/>
    <m/>
    <s v="Approved"/>
    <m/>
    <d v="2026-05-16T00:00:00"/>
    <s v="N/A"/>
    <m/>
    <m/>
    <s v="N/A"/>
    <m/>
    <m/>
    <s v="N/A"/>
    <m/>
    <m/>
    <s v="Complete"/>
    <s v="Yes"/>
    <s v="READY"/>
    <m/>
  </r>
  <r>
    <x v="0"/>
    <x v="0"/>
    <s v="PHONG"/>
    <s v="Monica Cuevas"/>
    <s v="RESTORATION HARDWARE_HS"/>
    <s v="RH"/>
    <s v="SUNRIVER RESORT "/>
    <x v="69"/>
    <n v="1"/>
    <x v="3"/>
    <s v="NEW"/>
    <s v="3. Prototype Readiness (BOM)"/>
    <d v="2026-09-18T00:00:00"/>
    <d v="2026-10-02T00:00:00"/>
    <m/>
    <s v="US"/>
    <s v="US"/>
    <n v="7"/>
    <n v="19"/>
    <n v="8"/>
    <m/>
    <x v="29"/>
    <n v="47"/>
    <n v="36622.71"/>
    <n v="36622.71"/>
    <x v="19"/>
    <x v="1"/>
    <d v="2026-03-06T00:00:00"/>
    <d v="2026-03-06T00:00:00"/>
    <d v="2027-03-26T00:00:00"/>
    <d v="2027-04-02T00:00:00"/>
    <s v="2027/W13"/>
    <s v="2027/W14"/>
    <s v="In Progress"/>
    <d v="2026-10-30T00:00:00"/>
    <s v="Schedule to submit 16-23 Oct"/>
    <s v="In Progress"/>
    <d v="2026-10-30T00:00:00"/>
    <s v="Just received control sample 5-Oct"/>
    <s v="In Progress"/>
    <d v="2026-10-30T00:00:00"/>
    <m/>
    <s v="In Progress"/>
    <d v="2026-10-30T00:00:00"/>
    <m/>
    <s v="N/A"/>
    <m/>
    <m/>
    <s v="N/A"/>
    <m/>
    <m/>
    <s v="N/A"/>
    <m/>
    <m/>
    <s v="Active"/>
    <s v="Yes"/>
    <s v="NPI: In progress: Drawing, Veneer/Wood, Marble, Metal; need approval by 30-Oct-26 for SW14"/>
    <m/>
  </r>
  <r>
    <x v="1"/>
    <x v="0"/>
    <s v="DUNG"/>
    <m/>
    <s v="BROOKFIELD PROPERTIES"/>
    <s v="BROOKFIELD"/>
    <s v="RITZ CARLTON PHILADELPHIA"/>
    <x v="63"/>
    <n v="1"/>
    <x v="6"/>
    <s v="NEW"/>
    <s v="1. Preliminary Design"/>
    <m/>
    <m/>
    <m/>
    <s v="US"/>
    <s v="PA"/>
    <n v="0"/>
    <n v="0"/>
    <m/>
    <m/>
    <x v="7"/>
    <m/>
    <n v="1985002.77"/>
    <n v="400000"/>
    <x v="11"/>
    <x v="1"/>
    <m/>
    <m/>
    <s v="TBC"/>
    <s v="TBC"/>
    <s v="TBC"/>
    <s v="TBC"/>
    <s v="Not Started "/>
    <m/>
    <m/>
    <s v="Not Started "/>
    <m/>
    <m/>
    <s v="Not Started "/>
    <m/>
    <m/>
    <s v="Not Started "/>
    <m/>
    <m/>
    <s v="N/A"/>
    <m/>
    <m/>
    <s v="Not Started "/>
    <m/>
    <m/>
    <s v="Not Started "/>
    <m/>
    <m/>
    <s v="Complete"/>
    <m/>
    <s v="NPI: All development items approved/closed for SW TBC"/>
    <m/>
  </r>
  <r>
    <x v="1"/>
    <x v="0"/>
    <s v="DUNG"/>
    <m/>
    <s v="BROOKFIELD PROPERTIES"/>
    <s v="BROOKFIELD"/>
    <s v="RITZ CARLTON PHILADELPHIA"/>
    <x v="63"/>
    <n v="0"/>
    <x v="6"/>
    <s v="NEW"/>
    <s v="1. Preliminary Design"/>
    <m/>
    <m/>
    <m/>
    <s v="US"/>
    <s v="PA"/>
    <n v="0"/>
    <n v="0"/>
    <m/>
    <m/>
    <x v="7"/>
    <m/>
    <n v="1985002.77"/>
    <n v="792500"/>
    <x v="19"/>
    <x v="1"/>
    <m/>
    <m/>
    <s v="TBC"/>
    <s v="TBC"/>
    <s v="TBC"/>
    <s v="TBC"/>
    <s v="Not Started "/>
    <m/>
    <m/>
    <s v="Not Started "/>
    <m/>
    <m/>
    <s v="Not Started "/>
    <m/>
    <m/>
    <s v="Not Started "/>
    <m/>
    <m/>
    <s v="N/A"/>
    <m/>
    <m/>
    <s v="Not Started "/>
    <m/>
    <m/>
    <s v="Not Started "/>
    <m/>
    <m/>
    <s v="Complete"/>
    <m/>
    <s v="NPI: All development items approved/closed for SW TBC"/>
    <m/>
  </r>
  <r>
    <x v="1"/>
    <x v="0"/>
    <s v="DUNG"/>
    <m/>
    <s v="BROOKFIELD PROPERTIES"/>
    <s v="BROOKFIELD"/>
    <s v="RITZ CARLTON PHILADELPHIA"/>
    <x v="63"/>
    <n v="0"/>
    <x v="6"/>
    <s v="NEW"/>
    <s v="1. Preliminary Design"/>
    <m/>
    <m/>
    <m/>
    <s v="US"/>
    <s v="PA"/>
    <n v="0"/>
    <n v="0"/>
    <m/>
    <m/>
    <x v="7"/>
    <m/>
    <n v="1985002.77"/>
    <n v="792500"/>
    <x v="16"/>
    <x v="1"/>
    <m/>
    <m/>
    <s v="TBC"/>
    <s v="TBC"/>
    <s v="TBC"/>
    <s v="TBC"/>
    <s v="Not Started "/>
    <m/>
    <m/>
    <s v="Not Started "/>
    <m/>
    <m/>
    <s v="Not Started "/>
    <m/>
    <m/>
    <s v="Not Started "/>
    <m/>
    <m/>
    <s v="N/A"/>
    <m/>
    <m/>
    <s v="Not Started "/>
    <m/>
    <m/>
    <s v="Not Started "/>
    <m/>
    <m/>
    <s v="Complete"/>
    <m/>
    <s v="NPI: All development items approved/closed for SW TBC"/>
    <m/>
  </r>
  <r>
    <x v="1"/>
    <x v="0"/>
    <s v="BIEN"/>
    <m/>
    <s v="AYALA INTERNATIONAL"/>
    <s v="AYALA"/>
    <s v="KHOBAR HILTON CANOPY HOTEL"/>
    <x v="48"/>
    <n v="1"/>
    <x v="1"/>
    <s v="NEW"/>
    <s v="1. Preliminary Design"/>
    <m/>
    <m/>
    <m/>
    <s v="SA"/>
    <s v="Saudi Arabia"/>
    <n v="0"/>
    <n v="0"/>
    <m/>
    <m/>
    <x v="3"/>
    <m/>
    <n v="897832"/>
    <n v="897832"/>
    <x v="16"/>
    <x v="1"/>
    <m/>
    <m/>
    <d v="2027-03-01T00:00:00"/>
    <d v="2027-03-22T00:00:00"/>
    <s v="2027/W10"/>
    <s v="2027/W13"/>
    <s v="Not Started "/>
    <m/>
    <m/>
    <s v="Not Started "/>
    <m/>
    <m/>
    <s v="Not Started "/>
    <m/>
    <m/>
    <s v="Not Started "/>
    <m/>
    <m/>
    <s v="Not Started "/>
    <m/>
    <m/>
    <s v="Not Started "/>
    <m/>
    <m/>
    <s v="Not Started "/>
    <m/>
    <m/>
    <s v="Active"/>
    <m/>
    <s v="NPI: All development items approved/closed for SW13"/>
    <m/>
  </r>
  <r>
    <x v="1"/>
    <x v="0"/>
    <s v="TRINH"/>
    <m/>
    <s v="TRIMA  KASI LIMITED"/>
    <s v="TRIMA"/>
    <s v="ASIATICO RESTAURANT "/>
    <x v="70"/>
    <n v="1"/>
    <x v="0"/>
    <s v="NEW"/>
    <s v="8. Shipment"/>
    <d v="2026-05-10T00:00:00"/>
    <m/>
    <m/>
    <s v="JM"/>
    <s v="Jamaica"/>
    <n v="23"/>
    <n v="27"/>
    <m/>
    <m/>
    <x v="36"/>
    <m/>
    <n v="169383.67"/>
    <n v="46234.26"/>
    <x v="3"/>
    <x v="0"/>
    <m/>
    <m/>
    <d v="2026-08-26T00:00:00"/>
    <d v="2026-10-02T00:00:00"/>
    <s v="2026/W35"/>
    <s v="2026/W40"/>
    <s v="Approved"/>
    <m/>
    <m/>
    <s v="Approved"/>
    <m/>
    <m/>
    <s v="Approved"/>
    <m/>
    <m/>
    <s v="Approved"/>
    <m/>
    <m/>
    <s v="Approved"/>
    <m/>
    <m/>
    <s v="Approved"/>
    <m/>
    <m/>
    <s v="COM Received"/>
    <m/>
    <m/>
    <s v="Complete"/>
    <m/>
    <s v="READY"/>
    <m/>
  </r>
  <r>
    <x v="1"/>
    <x v="0"/>
    <s v="TRINH"/>
    <m/>
    <s v="TRIMA  KASI LIMITED"/>
    <s v="TRIMA"/>
    <s v="ASIATICO RESTAURANT "/>
    <x v="70"/>
    <n v="0"/>
    <x v="0"/>
    <s v="NEW"/>
    <s v="7. Mass Production"/>
    <d v="2026-05-10T00:00:00"/>
    <m/>
    <m/>
    <s v="JM"/>
    <s v="Jamaica"/>
    <n v="23"/>
    <n v="27"/>
    <m/>
    <m/>
    <x v="36"/>
    <m/>
    <n v="169383.67"/>
    <n v="122196"/>
    <x v="8"/>
    <x v="0"/>
    <m/>
    <m/>
    <d v="2026-08-26T00:00:00"/>
    <d v="2026-10-02T00:00:00"/>
    <s v="2026/W35"/>
    <s v="2026/W40"/>
    <s v="Approved"/>
    <m/>
    <m/>
    <s v="Approved"/>
    <m/>
    <m/>
    <s v="Approved"/>
    <m/>
    <m/>
    <s v="Approved"/>
    <m/>
    <m/>
    <s v="Approved"/>
    <m/>
    <m/>
    <s v="Approved"/>
    <m/>
    <m/>
    <s v="COM Received"/>
    <m/>
    <m/>
    <s v="Complete"/>
    <m/>
    <s v="READY"/>
    <m/>
  </r>
  <r>
    <x v="0"/>
    <x v="1"/>
    <s v="BIEN"/>
    <m/>
    <s v="RESTORATION HARDWARE_HS"/>
    <s v="RH"/>
    <s v="MONTAUK YACHT CLUB"/>
    <x v="71"/>
    <n v="1"/>
    <x v="6"/>
    <s v="NEW"/>
    <s v="1. Preliminary Design"/>
    <d v="2026-05-21T00:00:00"/>
    <m/>
    <m/>
    <s v="US"/>
    <s v="NY"/>
    <m/>
    <m/>
    <m/>
    <m/>
    <x v="30"/>
    <m/>
    <n v="12433.68"/>
    <n v="12433.68"/>
    <x v="3"/>
    <x v="0"/>
    <d v="2026-08-14T00:00:00"/>
    <d v="2026-08-14T00:00:00"/>
    <d v="2026-08-14T00:00:00"/>
    <d v="2026-08-14T00:00:00"/>
    <s v="2026/W33"/>
    <s v="2026/W33"/>
    <s v="Not Started"/>
    <m/>
    <m/>
    <s v="Not Started"/>
    <m/>
    <m/>
    <s v="Not Started"/>
    <m/>
    <m/>
    <s v="Not Started"/>
    <m/>
    <m/>
    <s v="N/A"/>
    <m/>
    <m/>
    <s v="Not Started"/>
    <m/>
    <m/>
    <s v="Not Started"/>
    <m/>
    <m/>
    <s v="Complete"/>
    <s v="Yes"/>
    <s v="NPD: Not started: Drawing, Veneer/Wood, Marble, Metal, Electrical, Fabric for SW33"/>
    <m/>
  </r>
  <r>
    <x v="0"/>
    <x v="0"/>
    <s v="BIEN"/>
    <m/>
    <s v="RESTORATION HARDWARE_HS"/>
    <s v="RH"/>
    <s v="MONTAUK YACHT CLUB"/>
    <x v="71"/>
    <n v="1"/>
    <x v="6"/>
    <s v="NEW"/>
    <s v="1. Preliminary Design"/>
    <d v="2026-05-21T00:00:00"/>
    <m/>
    <m/>
    <s v="US"/>
    <s v="NY"/>
    <m/>
    <m/>
    <m/>
    <m/>
    <x v="30"/>
    <m/>
    <n v="1100000"/>
    <n v="1100000"/>
    <x v="4"/>
    <x v="1"/>
    <m/>
    <m/>
    <m/>
    <m/>
    <s v=""/>
    <s v=""/>
    <s v="Not Started"/>
    <m/>
    <m/>
    <s v="Not Started"/>
    <m/>
    <m/>
    <s v="Not Started"/>
    <m/>
    <m/>
    <s v="Not Started"/>
    <m/>
    <m/>
    <s v="N/A"/>
    <m/>
    <m/>
    <s v="Not Started"/>
    <m/>
    <m/>
    <s v="Not Started"/>
    <m/>
    <m/>
    <s v="Complete"/>
    <s v="Yes"/>
    <s v="NPI: Not started: Drawing, Veneer/Wood, Marble, Metal, Electrical, Fabric"/>
    <m/>
  </r>
  <r>
    <x v="1"/>
    <x v="0"/>
    <s v="DUNG"/>
    <m/>
    <s v="HBA PROCUREMENT"/>
    <s v="HBA"/>
    <s v="HILTON PASADENA"/>
    <x v="72"/>
    <n v="1"/>
    <x v="3"/>
    <s v="NEW"/>
    <s v="5. Production Readiness"/>
    <d v="2026-05-19T00:00:00"/>
    <m/>
    <m/>
    <s v="US"/>
    <s v="CA"/>
    <n v="0"/>
    <n v="0"/>
    <m/>
    <m/>
    <x v="30"/>
    <m/>
    <n v="22890.480000000003"/>
    <n v="22890.480000000003"/>
    <x v="9"/>
    <x v="0"/>
    <d v="2026-08-01T00:00:00"/>
    <d v="2026-08-01T00:00:00"/>
    <d v="2026-10-09T00:00:00"/>
    <d v="2026-10-09T00:00:00"/>
    <s v="2026/W41"/>
    <s v="2026/W41"/>
    <s v="Approved"/>
    <m/>
    <m/>
    <s v="Approved"/>
    <m/>
    <m/>
    <s v="Approved"/>
    <m/>
    <m/>
    <s v="Approved"/>
    <m/>
    <m/>
    <s v="N/A"/>
    <m/>
    <m/>
    <s v="N/A"/>
    <m/>
    <m/>
    <s v="In Progress"/>
    <m/>
    <m/>
    <s v="Active"/>
    <m/>
    <s v="NPI: In progress: Fabric for SW41"/>
    <m/>
  </r>
  <r>
    <x v="1"/>
    <x v="0"/>
    <s v="THAO"/>
    <m/>
    <s v="FLEETWOOD FURNITURE"/>
    <s v="FLEETWOOD "/>
    <s v="FAIRMONT HOTEL WINNIPEG"/>
    <x v="73"/>
    <n v="1"/>
    <x v="2"/>
    <s v="NEW"/>
    <s v="1. Preliminary Design"/>
    <d v="2026-06-05T00:00:00"/>
    <m/>
    <m/>
    <s v="CA"/>
    <m/>
    <s v="TBC"/>
    <s v="TBC"/>
    <m/>
    <m/>
    <x v="36"/>
    <m/>
    <n v="79655.520000000033"/>
    <n v="79655.520000000033"/>
    <x v="12"/>
    <x v="2"/>
    <m/>
    <m/>
    <s v="TBC"/>
    <s v="TBC"/>
    <s v="TBC"/>
    <s v="TBC"/>
    <m/>
    <m/>
    <m/>
    <m/>
    <m/>
    <m/>
    <m/>
    <m/>
    <m/>
    <m/>
    <m/>
    <m/>
    <m/>
    <m/>
    <m/>
    <m/>
    <m/>
    <m/>
    <m/>
    <m/>
    <m/>
    <s v="Complete"/>
    <m/>
    <s v="NPI: All development items approved/closed for SW TBC"/>
    <m/>
  </r>
  <r>
    <x v="1"/>
    <x v="1"/>
    <s v="DUNG"/>
    <m/>
    <s v="LANG &amp; SCHWANDER LLC"/>
    <s v="L&amp;S"/>
    <s v="THE STANDARD MIAMI HOTEL"/>
    <x v="74"/>
    <n v="1"/>
    <x v="7"/>
    <s v="NEW"/>
    <s v="1. Preliminary Design"/>
    <d v="2026-06-05T00:00:00"/>
    <m/>
    <m/>
    <s v="US"/>
    <s v="Miami"/>
    <m/>
    <m/>
    <m/>
    <m/>
    <x v="21"/>
    <m/>
    <n v="2142.3000000000002"/>
    <n v="2142.3000000000002"/>
    <x v="3"/>
    <x v="0"/>
    <d v="2026-08-28T00:00:00"/>
    <d v="2026-08-28T00:00:00"/>
    <d v="2026-08-28T00:00:00"/>
    <d v="2026-08-28T00:00:00"/>
    <s v="2026/W35"/>
    <s v="2026/W35"/>
    <s v="In Progress"/>
    <m/>
    <m/>
    <s v="In Progress"/>
    <m/>
    <m/>
    <s v="In Progress"/>
    <m/>
    <m/>
    <s v="In Progress"/>
    <m/>
    <m/>
    <s v="Pending approval"/>
    <m/>
    <m/>
    <s v="N/A"/>
    <m/>
    <m/>
    <s v="COM"/>
    <m/>
    <m/>
    <s v="Complete"/>
    <m/>
    <s v="NPD: In progress: Drawing, Veneer/Wood, Marble, Metal; Pending approval: Mirror; Fabric is com for SW35"/>
    <m/>
  </r>
  <r>
    <x v="1"/>
    <x v="0"/>
    <s v="DUNG"/>
    <m/>
    <s v="LANG &amp; SCHWANDER LLC"/>
    <s v="L&amp;S"/>
    <s v="THE STANDARD MIAMI HOTEL"/>
    <x v="74"/>
    <n v="1"/>
    <x v="3"/>
    <s v="NEW"/>
    <s v="7. Mass Production"/>
    <d v="2026-06-05T00:00:00"/>
    <d v="2026-06-16T00:00:00"/>
    <m/>
    <s v="US"/>
    <s v="Miami"/>
    <n v="7"/>
    <n v="13"/>
    <m/>
    <m/>
    <x v="8"/>
    <m/>
    <n v="48791.869999999995"/>
    <n v="48791.869999999995"/>
    <x v="10"/>
    <x v="0"/>
    <d v="2026-10-16T00:00:00"/>
    <d v="2026-10-16T00:00:00"/>
    <d v="2026-11-13T00:00:00"/>
    <d v="2026-12-04T00:00:00"/>
    <s v="2026/W46"/>
    <s v="2026/W49"/>
    <s v="Approved"/>
    <m/>
    <m/>
    <s v="Approved"/>
    <m/>
    <m/>
    <s v="Approved"/>
    <m/>
    <m/>
    <s v="Approved"/>
    <m/>
    <m/>
    <s v="Approved"/>
    <m/>
    <m/>
    <s v="N/A"/>
    <m/>
    <m/>
    <s v="COM Pending"/>
    <m/>
    <m/>
    <s v="Active"/>
    <m/>
    <s v="NPI: Fabric is com pending for SW49"/>
    <m/>
  </r>
  <r>
    <x v="0"/>
    <x v="0"/>
    <s v="DUY"/>
    <s v="Monica Cuevas"/>
    <s v="RESTORATION HARDWARE_HS"/>
    <s v="RH"/>
    <s v="KINDERED KEYSTONE RESORT"/>
    <x v="75"/>
    <n v="1"/>
    <x v="0"/>
    <s v="REO"/>
    <s v="8. Shipment"/>
    <d v="2026-06-03T00:00:00"/>
    <d v="2026-06-03T00:00:00"/>
    <m/>
    <s v="US"/>
    <m/>
    <n v="0"/>
    <n v="0"/>
    <m/>
    <m/>
    <x v="6"/>
    <n v="1"/>
    <n v="1142.75"/>
    <n v="1142.75"/>
    <x v="3"/>
    <x v="0"/>
    <d v="2026-09-04T00:00:00"/>
    <d v="2026-09-04T00:00:00"/>
    <d v="2026-09-04T00:00:00"/>
    <d v="2026-09-04T00:00:00"/>
    <s v="2026/W36"/>
    <s v="2026/W36"/>
    <s v="Approved"/>
    <m/>
    <d v="2026-06-03T00:00:00"/>
    <s v="Approved"/>
    <m/>
    <d v="2026-06-03T00:00:00"/>
    <s v="N/A"/>
    <m/>
    <m/>
    <s v="N/A"/>
    <m/>
    <m/>
    <s v="N/A"/>
    <m/>
    <m/>
    <s v="N/A"/>
    <m/>
    <m/>
    <s v="COM Received"/>
    <m/>
    <d v="2026-06-03T00:00:00"/>
    <s v="Complete"/>
    <s v="Yes"/>
    <s v="READY"/>
    <m/>
  </r>
  <r>
    <x v="1"/>
    <x v="0"/>
    <s v="DUY"/>
    <m/>
    <s v="HBA PROCUREMENT"/>
    <s v="HBA"/>
    <s v="MARRIOTT GUYANA PUBLIC AREAS "/>
    <x v="76"/>
    <n v="1"/>
    <x v="8"/>
    <s v="NEW"/>
    <s v="1. Preliminary Design"/>
    <d v="2026-06-12T00:00:00"/>
    <m/>
    <m/>
    <s v="GY"/>
    <s v="Guyana"/>
    <m/>
    <m/>
    <m/>
    <m/>
    <x v="21"/>
    <m/>
    <n v="25129.08"/>
    <n v="25129.08"/>
    <x v="9"/>
    <x v="0"/>
    <m/>
    <m/>
    <d v="2026-10-16T00:00:00"/>
    <d v="2026-10-16T00:00:00"/>
    <s v="2026/W42"/>
    <s v="2026/W42"/>
    <s v="Pending Approval"/>
    <m/>
    <m/>
    <s v="Pending Approval"/>
    <m/>
    <m/>
    <s v="N/A"/>
    <m/>
    <m/>
    <s v="N/A"/>
    <m/>
    <m/>
    <s v="N/A"/>
    <m/>
    <m/>
    <s v="N/A"/>
    <m/>
    <m/>
    <s v="N/A"/>
    <m/>
    <m/>
    <s v="Complete"/>
    <m/>
    <s v="NPI: Pending approval: Drawing, Veneer/Wood for SW42"/>
    <m/>
  </r>
  <r>
    <x v="0"/>
    <x v="0"/>
    <s v="TRAN"/>
    <s v="Natasha Funk"/>
    <s v="RESTORATION HARDWARE_HS"/>
    <s v="RH"/>
    <s v="BELGROVE VILLAS"/>
    <x v="77"/>
    <n v="1"/>
    <x v="0"/>
    <s v="NEW"/>
    <s v="8. Shipment"/>
    <d v="2026-06-12T00:00:00"/>
    <d v="2026-06-17T00:00:00"/>
    <m/>
    <s v="US"/>
    <s v="FL"/>
    <n v="0"/>
    <n v="0"/>
    <m/>
    <m/>
    <x v="6"/>
    <n v="22"/>
    <n v="13398"/>
    <n v="13398"/>
    <x v="8"/>
    <x v="0"/>
    <d v="2026-09-19T00:00:00"/>
    <d v="2026-09-19T00:00:00"/>
    <d v="2026-09-25T00:00:00"/>
    <d v="2026-09-25T00:00:00"/>
    <s v="2026/W39"/>
    <s v="2026/W39"/>
    <s v="Approved"/>
    <m/>
    <d v="2026-06-17T00:00:00"/>
    <s v="Approved"/>
    <m/>
    <d v="2026-06-17T00:00:00"/>
    <s v="N/A"/>
    <m/>
    <m/>
    <s v="N/A"/>
    <m/>
    <m/>
    <s v="N/A"/>
    <m/>
    <m/>
    <s v="N/A"/>
    <m/>
    <m/>
    <s v="N/A"/>
    <m/>
    <m/>
    <s v="Complete"/>
    <s v="Yes"/>
    <s v="READY"/>
    <m/>
  </r>
  <r>
    <x v="1"/>
    <x v="1"/>
    <s v="BIEN"/>
    <m/>
    <s v="BISCAYNE HOSPITALITY"/>
    <s v="BISCAYNE"/>
    <s v="PARK_AVENUE_HOTEL"/>
    <x v="78"/>
    <n v="1"/>
    <x v="3"/>
    <s v="NEW"/>
    <s v="4. Prototype Build"/>
    <d v="2026-05-30T00:00:00"/>
    <d v="2026-06-04T00:00:00"/>
    <d v="2026-06-26T00:00:00"/>
    <s v="US"/>
    <s v="CA"/>
    <n v="0"/>
    <n v="0"/>
    <m/>
    <m/>
    <x v="21"/>
    <n v="3"/>
    <n v="2843.6000000000004"/>
    <n v="2843.6000000000004"/>
    <x v="8"/>
    <x v="0"/>
    <d v="2026-08-17T00:00:00"/>
    <d v="2026-08-21T00:00:00"/>
    <d v="2026-09-25T00:00:00"/>
    <d v="2026-09-25T00:00:00"/>
    <s v="2026/W39"/>
    <s v="2026/W39"/>
    <s v="Approved"/>
    <m/>
    <m/>
    <s v="Approved"/>
    <m/>
    <m/>
    <s v="Approved"/>
    <m/>
    <m/>
    <s v="Approved"/>
    <m/>
    <m/>
    <s v="N/A"/>
    <m/>
    <m/>
    <s v="N/A"/>
    <m/>
    <m/>
    <s v="N/A"/>
    <m/>
    <m/>
    <s v="Active"/>
    <s v="Yes"/>
    <s v="NPD: All development items approved/closed for SW39"/>
    <m/>
  </r>
  <r>
    <x v="1"/>
    <x v="0"/>
    <s v="BIEN"/>
    <m/>
    <s v="BISCAYNE HOSPITALITY"/>
    <s v="BISCAYNE"/>
    <s v="PARK_AVENUE_HOTEL"/>
    <x v="79"/>
    <n v="1"/>
    <x v="5"/>
    <s v="NEW"/>
    <s v="2. Product &amp; Process Dev"/>
    <m/>
    <d v="2026-06-04T00:00:00"/>
    <m/>
    <s v="US"/>
    <s v="CA"/>
    <n v="1"/>
    <n v="1"/>
    <m/>
    <m/>
    <x v="14"/>
    <m/>
    <n v="780835.84000000008"/>
    <n v="780835.84000000008"/>
    <x v="12"/>
    <x v="2"/>
    <m/>
    <m/>
    <s v="TBC"/>
    <s v="TBC"/>
    <s v="TBC"/>
    <s v="TBC"/>
    <s v="Not Started "/>
    <m/>
    <m/>
    <s v="Not Started"/>
    <m/>
    <m/>
    <s v="Not Started "/>
    <m/>
    <m/>
    <s v="Not Started "/>
    <m/>
    <m/>
    <s v="Not Started "/>
    <m/>
    <m/>
    <s v="Not Started "/>
    <m/>
    <m/>
    <s v="Not Started "/>
    <m/>
    <m/>
    <s v="Active"/>
    <s v="Yes"/>
    <s v="NPI: Not started: Veneer/Wood for SW TBC"/>
    <m/>
  </r>
  <r>
    <x v="0"/>
    <x v="0"/>
    <s v="BIEN"/>
    <s v="Madison Lay"/>
    <s v="RESTORATION HARDWARE_HS"/>
    <s v="RH"/>
    <s v="CAUDWELL"/>
    <x v="80"/>
    <n v="1"/>
    <x v="0"/>
    <s v="NEW"/>
    <s v="8. Shipment"/>
    <m/>
    <d v="2026-06-17T00:00:00"/>
    <m/>
    <s v="UK"/>
    <m/>
    <m/>
    <m/>
    <m/>
    <m/>
    <x v="6"/>
    <m/>
    <n v="499.5"/>
    <n v="499.5"/>
    <x v="2"/>
    <x v="0"/>
    <d v="2026-07-14T00:00:00"/>
    <d v="2026-07-14T00:00:00"/>
    <d v="2026-07-25T00:00:00"/>
    <d v="2026-07-25T00:00:00"/>
    <s v="2026/W30"/>
    <s v="2026/W30"/>
    <s v="Approved"/>
    <m/>
    <d v="2026-06-17T00:00:00"/>
    <s v="Approved"/>
    <m/>
    <d v="2026-06-17T00:00:00"/>
    <s v="Approved"/>
    <m/>
    <m/>
    <s v="N/A"/>
    <m/>
    <m/>
    <s v="N/A"/>
    <m/>
    <m/>
    <s v="N/A"/>
    <m/>
    <m/>
    <s v="COM"/>
    <m/>
    <d v="2026-06-22T00:00:00"/>
    <s v="Complete"/>
    <s v="Yes"/>
    <s v="READY"/>
    <m/>
  </r>
  <r>
    <x v="0"/>
    <x v="0"/>
    <s v="DUY"/>
    <s v="Sue Bilstad"/>
    <s v="RESTORATION HARDWARE_HS"/>
    <s v="RH"/>
    <s v="FOUR SEASONS  DENVER"/>
    <x v="81"/>
    <n v="1"/>
    <x v="1"/>
    <s v="NEW"/>
    <s v="1. Preliminary Design"/>
    <d v="2026-06-23T00:00:00"/>
    <s v="Pending PO "/>
    <m/>
    <s v="US"/>
    <s v="CO"/>
    <n v="2"/>
    <n v="2"/>
    <n v="2"/>
    <m/>
    <x v="4"/>
    <n v="2"/>
    <n v="4003.5"/>
    <n v="4003.5"/>
    <x v="11"/>
    <x v="1"/>
    <m/>
    <m/>
    <d v="2027-01-15T00:00:00"/>
    <d v="2027-01-15T00:00:00"/>
    <s v="2027/W03"/>
    <s v="2027/W03"/>
    <s v="Pending Approval"/>
    <m/>
    <m/>
    <s v="Pending Approval"/>
    <m/>
    <m/>
    <s v="Pending Approval"/>
    <m/>
    <m/>
    <s v="N/A"/>
    <m/>
    <m/>
    <s v="N/A"/>
    <m/>
    <m/>
    <s v="N/A"/>
    <m/>
    <m/>
    <s v="N/A"/>
    <m/>
    <m/>
    <s v="Active"/>
    <s v="Yes"/>
    <s v="NPI: Pending approval: Drawing, Veneer/Wood, Marble for SW03"/>
    <s v="Need PO this week WK42"/>
  </r>
  <r>
    <x v="0"/>
    <x v="1"/>
    <s v="DUY"/>
    <m/>
    <s v="RESTORATION HARDWARE_HS"/>
    <s v="RH"/>
    <s v="MUNISH"/>
    <x v="82"/>
    <n v="1"/>
    <x v="8"/>
    <s v="NEW"/>
    <s v="1. Preliminary Design"/>
    <d v="2026-06-26T00:00:00"/>
    <m/>
    <m/>
    <m/>
    <m/>
    <m/>
    <m/>
    <m/>
    <m/>
    <x v="6"/>
    <m/>
    <m/>
    <m/>
    <x v="26"/>
    <x v="4"/>
    <m/>
    <m/>
    <m/>
    <m/>
    <s v=""/>
    <s v=""/>
    <s v="In Progress"/>
    <m/>
    <m/>
    <s v="In Progress"/>
    <m/>
    <m/>
    <s v="N/A"/>
    <m/>
    <m/>
    <s v="N/A"/>
    <m/>
    <m/>
    <s v="N/A"/>
    <m/>
    <m/>
    <s v="N/A"/>
    <m/>
    <m/>
    <s v="N/A"/>
    <m/>
    <m/>
    <s v="Complete"/>
    <s v="Yes"/>
    <s v="NPD: In progress: Drawing, Veneer/Wood"/>
    <m/>
  </r>
  <r>
    <x v="0"/>
    <x v="0"/>
    <s v="DUY"/>
    <s v="Monica Cuevas"/>
    <s v="RESTORATION HARDWARE_HS"/>
    <s v="RH"/>
    <s v="MAUNA LANI"/>
    <x v="83"/>
    <n v="1"/>
    <x v="3"/>
    <s v="REO"/>
    <s v="7. Mass Production"/>
    <d v="2026-06-09T00:00:00"/>
    <d v="2026-08-11T00:00:00"/>
    <m/>
    <s v="US"/>
    <s v="HI"/>
    <n v="0"/>
    <n v="0"/>
    <m/>
    <m/>
    <x v="4"/>
    <n v="10"/>
    <n v="3240"/>
    <n v="3240"/>
    <x v="11"/>
    <x v="1"/>
    <m/>
    <m/>
    <d v="2026-01-08T00:00:00"/>
    <d v="2026-01-08T00:00:00"/>
    <s v="2026/W02"/>
    <s v="2026/W02"/>
    <s v="Approved"/>
    <m/>
    <d v="2026-08-21T00:00:00"/>
    <s v="Approved"/>
    <m/>
    <d v="2026-08-21T00:00:00"/>
    <s v="N/A"/>
    <m/>
    <m/>
    <s v="Approved"/>
    <m/>
    <d v="2026-08-21T00:00:00"/>
    <s v="N/A"/>
    <m/>
    <m/>
    <s v="N/A"/>
    <m/>
    <m/>
    <s v="N/A"/>
    <m/>
    <m/>
    <s v="Active"/>
    <s v="Yes"/>
    <s v="NPI: All development items approved/closed for SW02"/>
    <m/>
  </r>
  <r>
    <x v="0"/>
    <x v="0"/>
    <s v="BIEN"/>
    <s v="Madison Lay"/>
    <s v="RESTORATION HARDWARE_HS"/>
    <s v="RH"/>
    <s v="GOLDEN PEAK"/>
    <x v="84"/>
    <n v="1"/>
    <x v="0"/>
    <s v="NEW"/>
    <s v="8. Shipment"/>
    <m/>
    <d v="2026-06-23T00:00:00"/>
    <m/>
    <m/>
    <m/>
    <m/>
    <m/>
    <m/>
    <m/>
    <x v="6"/>
    <m/>
    <n v="1466"/>
    <n v="1466"/>
    <x v="2"/>
    <x v="0"/>
    <d v="2026-07-20T00:00:00"/>
    <d v="2026-07-25T00:00:00"/>
    <d v="2026-07-27T00:00:00"/>
    <d v="2026-08-01T00:00:00"/>
    <s v="2026/W31"/>
    <s v="2026/W31"/>
    <s v="Approved"/>
    <m/>
    <d v="2026-06-25T00:00:00"/>
    <s v="Approved"/>
    <m/>
    <d v="2026-06-25T00:00:00"/>
    <s v="Approved"/>
    <m/>
    <m/>
    <s v="N/A"/>
    <m/>
    <m/>
    <s v="N/A"/>
    <m/>
    <m/>
    <s v="N/A"/>
    <m/>
    <m/>
    <s v="N/A"/>
    <m/>
    <s v="NA"/>
    <s v="Complete"/>
    <s v="Yes"/>
    <s v="READY"/>
    <m/>
  </r>
  <r>
    <x v="0"/>
    <x v="0"/>
    <s v="DUY"/>
    <s v="Caroline Dillard"/>
    <s v="RESTORATION HARDWARE_HS"/>
    <s v="RH"/>
    <s v="CUSTOM BEDS FOR EU"/>
    <x v="85"/>
    <n v="1"/>
    <x v="1"/>
    <s v="NEW"/>
    <s v="2. Product &amp; Process Dev"/>
    <d v="2026-07-09T00:00:00"/>
    <s v="Pending PO "/>
    <m/>
    <s v="EU"/>
    <m/>
    <n v="2"/>
    <n v="8"/>
    <m/>
    <m/>
    <x v="4"/>
    <n v="8"/>
    <n v="8455.52"/>
    <n v="8455.52"/>
    <x v="11"/>
    <x v="1"/>
    <m/>
    <m/>
    <d v="2027-01-08T00:00:00"/>
    <d v="2027-01-08T00:00:00"/>
    <s v="2027/W02"/>
    <s v="2027/W02"/>
    <s v="Pending Approval"/>
    <d v="2026-10-02T00:00:00"/>
    <m/>
    <s v="In Progress"/>
    <d v="2026-10-02T00:00:00"/>
    <m/>
    <s v="N/A"/>
    <m/>
    <m/>
    <s v="N/A"/>
    <m/>
    <m/>
    <s v="N/A"/>
    <m/>
    <m/>
    <s v="N/A"/>
    <m/>
    <m/>
    <s v="In Progress"/>
    <d v="2026-10-02T00:00:00"/>
    <m/>
    <s v="Active"/>
    <s v="Yes"/>
    <s v="NPI: In progress: Veneer/Wood, Fabric; Pending approval: Drawing; need approval by 2-Oct-26 for SW02"/>
    <s v="Need PO this week WK42"/>
  </r>
  <r>
    <x v="1"/>
    <x v="1"/>
    <s v="DUONG"/>
    <m/>
    <s v="BLACKWELL GROUP LLC"/>
    <s v="BWG "/>
    <s v="MUSE POINT APARTMENT"/>
    <x v="86"/>
    <n v="1"/>
    <x v="0"/>
    <s v="NEW"/>
    <s v="3. Prototype Readiness (BOM)"/>
    <d v="2026-07-13T00:00:00"/>
    <m/>
    <m/>
    <s v="AU"/>
    <s v="AU"/>
    <n v="0"/>
    <n v="0"/>
    <m/>
    <m/>
    <x v="3"/>
    <n v="19"/>
    <n v="0"/>
    <n v="0"/>
    <x v="8"/>
    <x v="0"/>
    <m/>
    <m/>
    <d v="2026-09-18T00:00:00"/>
    <d v="2026-09-18T00:00:00"/>
    <s v="2026/W38"/>
    <s v="2026/W38"/>
    <s v="Approved"/>
    <m/>
    <m/>
    <s v="Approved"/>
    <m/>
    <m/>
    <s v="N/A"/>
    <m/>
    <m/>
    <s v="Approved"/>
    <m/>
    <m/>
    <s v="N/A"/>
    <m/>
    <m/>
    <s v="N/A"/>
    <m/>
    <m/>
    <s v="N/A"/>
    <m/>
    <m/>
    <s v="Complete"/>
    <m/>
    <s v="READY"/>
    <m/>
  </r>
  <r>
    <x v="0"/>
    <x v="1"/>
    <s v="DUY"/>
    <s v="Monica Cuevas"/>
    <s v="RESTORATION HARDWARE_HS"/>
    <s v="RH"/>
    <s v="DANCING BEAR "/>
    <x v="87"/>
    <n v="1"/>
    <x v="3"/>
    <s v="NEW"/>
    <s v="4. Prototype Build"/>
    <d v="2026-07-18T00:00:00"/>
    <d v="2026-08-25T00:00:00"/>
    <m/>
    <s v="US"/>
    <s v="US"/>
    <n v="0"/>
    <n v="0"/>
    <m/>
    <m/>
    <x v="14"/>
    <n v="25"/>
    <n v="33810.54"/>
    <n v="33810.54"/>
    <x v="10"/>
    <x v="0"/>
    <d v="2026-09-11T00:00:00"/>
    <d v="2026-09-11T00:00:00"/>
    <d v="2026-10-23T00:00:00"/>
    <d v="2026-10-23T00:00:00"/>
    <s v="2026/W43"/>
    <s v="2026/W43"/>
    <s v="Approved"/>
    <m/>
    <d v="2026-09-11T00:00:00"/>
    <s v="Approved"/>
    <d v="2026-09-11T00:00:00"/>
    <d v="2026-09-09T00:00:00"/>
    <s v="Approved"/>
    <m/>
    <d v="2026-08-27T00:00:00"/>
    <s v="Approved"/>
    <d v="2026-09-11T00:00:00"/>
    <d v="2026-09-04T00:00:00"/>
    <s v="N/A"/>
    <m/>
    <m/>
    <s v="Approved"/>
    <m/>
    <d v="2026-08-27T00:00:00"/>
    <s v="COM Received"/>
    <m/>
    <d v="2026-08-25T00:00:00"/>
    <s v="Active"/>
    <s v="Yes"/>
    <s v="NPD: Fabric is com received for SW43"/>
    <s v="COM Received. Schedule for review with John Lee on 20-Oct."/>
  </r>
  <r>
    <x v="0"/>
    <x v="0"/>
    <s v="DUY"/>
    <s v="Monica Cuevas"/>
    <s v="RESTORATION HARDWARE_HS"/>
    <s v="RH"/>
    <s v="DANCING BEAR "/>
    <x v="87"/>
    <n v="1"/>
    <x v="1"/>
    <s v="NEW"/>
    <s v="4. Prototype Build"/>
    <d v="2026-07-18T00:00:00"/>
    <m/>
    <m/>
    <s v="US"/>
    <s v="US"/>
    <n v="0"/>
    <n v="0"/>
    <m/>
    <m/>
    <x v="13"/>
    <n v="494"/>
    <n v="299970.28999999998"/>
    <n v="299970.28999999998"/>
    <x v="14"/>
    <x v="1"/>
    <m/>
    <m/>
    <s v="TBC"/>
    <s v="TBC"/>
    <s v="TBC"/>
    <s v="TBC"/>
    <s v="Not Started"/>
    <m/>
    <m/>
    <s v="Not Started"/>
    <m/>
    <m/>
    <s v="Not Started"/>
    <m/>
    <m/>
    <s v="In Progress"/>
    <m/>
    <m/>
    <s v="N/A"/>
    <m/>
    <m/>
    <s v="Not Started"/>
    <m/>
    <m/>
    <s v="Not Started"/>
    <m/>
    <m/>
    <s v="Active"/>
    <s v="Yes"/>
    <s v="NPI: In progress: Metal; Not started: Drawing, Veneer/Wood, Marble, Electrical, Fabric for SW TBC"/>
    <m/>
  </r>
  <r>
    <x v="0"/>
    <x v="1"/>
    <s v="DUNG"/>
    <s v="Madison Lay"/>
    <s v="RESTORATION HARDWARE_HS"/>
    <s v="RH"/>
    <s v="FOOTES REST"/>
    <x v="88"/>
    <n v="1"/>
    <x v="3"/>
    <s v="NEW"/>
    <s v="3. Prototype Readiness (BOM)"/>
    <d v="2026-07-23T00:00:00"/>
    <m/>
    <m/>
    <s v="US"/>
    <s v="CO"/>
    <n v="0"/>
    <n v="0"/>
    <m/>
    <m/>
    <x v="35"/>
    <n v="31"/>
    <n v="32385.58"/>
    <n v="32385.58"/>
    <x v="10"/>
    <x v="0"/>
    <m/>
    <m/>
    <d v="2026-11-13T00:00:00"/>
    <d v="2026-11-13T00:00:00"/>
    <s v="2026/W46"/>
    <s v="2026/W46"/>
    <s v="Pending Approval"/>
    <d v="2026-10-02T00:00:00"/>
    <m/>
    <s v="Approved"/>
    <m/>
    <m/>
    <s v="Approved"/>
    <m/>
    <m/>
    <s v="Pending Approval"/>
    <m/>
    <m/>
    <s v="Approved"/>
    <m/>
    <m/>
    <s v="N/A"/>
    <m/>
    <m/>
    <s v="COM Pending"/>
    <d v="2026-09-04T00:00:00"/>
    <m/>
    <s v="Active"/>
    <s v="Yes"/>
    <s v="NPD: Pending approval: Drawing, Metal; Fabric is com pending; need approval by 4-Sep-26 for SW46"/>
    <s v="Pending approval Drawing for Custom Bed End Bench  (M-SE-04), metal finish: Bronze finish which apply for 4 SKU: Custom Wardrobe Unit (M-CB-02) , Beverage Unit (M-CB-03), Bathroom Shelf,  Desk @ Double Queen (M-DE-01)"/>
  </r>
  <r>
    <x v="0"/>
    <x v="0"/>
    <s v="DUNG"/>
    <s v="Madison Lay"/>
    <s v="RESTORATION HARDWARE_HS"/>
    <s v="RH"/>
    <s v="FOOTES REST"/>
    <x v="88"/>
    <n v="1"/>
    <x v="1"/>
    <s v="NEW"/>
    <s v="2. Product &amp; Process Dev"/>
    <m/>
    <m/>
    <m/>
    <s v="US"/>
    <s v="CO"/>
    <n v="0"/>
    <n v="0"/>
    <m/>
    <m/>
    <x v="5"/>
    <m/>
    <n v="543005"/>
    <n v="271502.5"/>
    <x v="5"/>
    <x v="1"/>
    <m/>
    <m/>
    <d v="2026-07-17T00:00:00"/>
    <d v="2026-08-21T00:00:00"/>
    <s v="2026/W29"/>
    <s v="2026/W34"/>
    <s v="Not Started"/>
    <m/>
    <m/>
    <s v="Not Started"/>
    <m/>
    <m/>
    <s v="Pending Approval"/>
    <m/>
    <m/>
    <s v="Pending Approval"/>
    <m/>
    <m/>
    <s v="Pending approval"/>
    <m/>
    <m/>
    <s v="N/A"/>
    <m/>
    <m/>
    <s v="COM"/>
    <m/>
    <m/>
    <s v="Active"/>
    <s v="Yes"/>
    <s v="NPI: Pending approval: Marble, Metal, Mirror; Not started: Drawing, Veneer/Wood; Fabric is com for SW34"/>
    <m/>
  </r>
  <r>
    <x v="0"/>
    <x v="0"/>
    <s v="DUNG"/>
    <s v="Madison Lay"/>
    <s v="RESTORATION HARDWARE_HS"/>
    <s v="RH"/>
    <s v="FOOTES REST"/>
    <x v="88"/>
    <n v="0"/>
    <x v="1"/>
    <s v="NEW"/>
    <s v="2. Product &amp; Process Dev"/>
    <m/>
    <m/>
    <m/>
    <s v="US"/>
    <s v="CO"/>
    <n v="0"/>
    <n v="0"/>
    <m/>
    <m/>
    <x v="5"/>
    <m/>
    <n v="543005"/>
    <n v="271502.5"/>
    <x v="6"/>
    <x v="1"/>
    <m/>
    <m/>
    <d v="2026-07-17T00:00:00"/>
    <d v="2026-08-21T00:00:00"/>
    <s v="2026/W29"/>
    <s v="2026/W34"/>
    <s v="Not Started"/>
    <m/>
    <m/>
    <s v="Not Started"/>
    <m/>
    <m/>
    <s v="Pending Approval"/>
    <m/>
    <m/>
    <s v="Pending Approval"/>
    <m/>
    <m/>
    <s v="Pending approval"/>
    <m/>
    <m/>
    <s v="N/A"/>
    <m/>
    <m/>
    <s v="COM"/>
    <m/>
    <m/>
    <s v="Active"/>
    <s v="Yes"/>
    <s v="NPI: Pending approval: Marble, Metal, Mirror; Not started: Drawing, Veneer/Wood; Fabric is com for SW34"/>
    <m/>
  </r>
  <r>
    <x v="1"/>
    <x v="1"/>
    <s v="BIEN"/>
    <s v="Elaine"/>
    <s v="FLEETWOOD FURNITURE"/>
    <s v="FLEETWOOD "/>
    <s v="W-HOTEL-LAS-VEGAS"/>
    <x v="45"/>
    <n v="0"/>
    <x v="0"/>
    <s v="NEW"/>
    <s v="8. Shipment"/>
    <d v="2025-10-09T00:00:00"/>
    <m/>
    <m/>
    <s v="US"/>
    <s v="NV"/>
    <n v="0"/>
    <n v="0"/>
    <m/>
    <m/>
    <x v="21"/>
    <n v="3"/>
    <s v="FOC"/>
    <n v="0"/>
    <x v="8"/>
    <x v="0"/>
    <d v="2026-09-21T00:00:00"/>
    <d v="2026-09-21T00:00:00"/>
    <d v="2026-09-25T00:00:00"/>
    <d v="2026-09-25T00:00:00"/>
    <s v="2026/W39"/>
    <s v="2026/W39"/>
    <s v="Approved"/>
    <m/>
    <m/>
    <s v="Approved"/>
    <m/>
    <m/>
    <s v="Approved"/>
    <m/>
    <m/>
    <s v="Approved"/>
    <m/>
    <m/>
    <s v="N/A"/>
    <m/>
    <m/>
    <s v="N/A"/>
    <m/>
    <m/>
    <s v="COM Received"/>
    <m/>
    <m/>
    <s v="Complete"/>
    <m/>
    <s v="READY"/>
    <m/>
  </r>
  <r>
    <x v="0"/>
    <x v="0"/>
    <s v="TRAN"/>
    <s v="Madison Lay"/>
    <s v="RESTORATION HARDWARE_HS"/>
    <s v="RH"/>
    <s v="RITZ CABO VILLA"/>
    <x v="89"/>
    <n v="1"/>
    <x v="5"/>
    <s v="NEW"/>
    <s v="1. Preliminary Design"/>
    <d v="2026-07-24T00:00:00"/>
    <m/>
    <m/>
    <s v="Mexico"/>
    <s v="Mexico"/>
    <s v="TBC"/>
    <s v="TBC"/>
    <m/>
    <m/>
    <x v="28"/>
    <n v="6"/>
    <n v="9809"/>
    <n v="9809"/>
    <x v="12"/>
    <x v="2"/>
    <m/>
    <m/>
    <s v="TBC"/>
    <s v="TBC"/>
    <s v="TBC"/>
    <s v="TBC"/>
    <s v="Not Started"/>
    <m/>
    <m/>
    <s v="Not Started"/>
    <m/>
    <m/>
    <s v="N/A"/>
    <m/>
    <m/>
    <s v="N/A"/>
    <m/>
    <m/>
    <s v="N/A"/>
    <m/>
    <m/>
    <s v="N/A"/>
    <m/>
    <m/>
    <m/>
    <m/>
    <m/>
    <s v="Active"/>
    <s v="Yes"/>
    <s v="NPI: Not started: Drawing, Veneer/Wood for SW TBC"/>
    <s v="Pending finish confirm for &quot;Aged natural&quot;"/>
  </r>
  <r>
    <x v="1"/>
    <x v="1"/>
    <s v="THAO"/>
    <s v="Erika"/>
    <s v="FLEETWOOD FURNITURE"/>
    <s v="FLEETWOOD "/>
    <s v="BDNY"/>
    <x v="90"/>
    <n v="1"/>
    <x v="0"/>
    <s v="NEW"/>
    <s v="3. Prototype Readiness (BOM)"/>
    <d v="2026-07-21T00:00:00"/>
    <d v="2026-07-21T00:00:00"/>
    <s v="FOC"/>
    <s v="US"/>
    <s v="NY"/>
    <n v="0"/>
    <n v="0"/>
    <n v="2"/>
    <m/>
    <x v="21"/>
    <n v="3"/>
    <s v="FOC"/>
    <n v="0"/>
    <x v="8"/>
    <x v="0"/>
    <d v="2026-09-19T00:00:00"/>
    <d v="2026-09-19T00:00:00"/>
    <d v="2026-10-01T00:00:00"/>
    <d v="2026-10-01T00:00:00"/>
    <s v="2026/W40"/>
    <s v="2026/W40"/>
    <s v="Approved"/>
    <m/>
    <d v="2026-07-30T00:00:00"/>
    <s v="Approved"/>
    <m/>
    <d v="2026-09-11T00:00:00"/>
    <s v="Approved"/>
    <m/>
    <d v="2026-09-11T00:00:00"/>
    <s v="Approved"/>
    <m/>
    <d v="2026-09-18T00:00:00"/>
    <s v="N/A"/>
    <m/>
    <m/>
    <s v="N/A"/>
    <m/>
    <m/>
    <s v="N/A"/>
    <m/>
    <m/>
    <s v="Complete"/>
    <m/>
    <s v="READY"/>
    <m/>
  </r>
  <r>
    <x v="0"/>
    <x v="0"/>
    <s v="BIEN"/>
    <s v="Madison Lay"/>
    <s v="RESTORATION HARDWARE_HS"/>
    <s v="RH"/>
    <s v="AHS ONE CANAL CRESENT"/>
    <x v="91"/>
    <n v="1"/>
    <x v="2"/>
    <s v="NEW"/>
    <s v="5. Production Readiness"/>
    <m/>
    <m/>
    <m/>
    <s v="US"/>
    <s v="Florida, Miami"/>
    <n v="0"/>
    <n v="0"/>
    <m/>
    <m/>
    <x v="28"/>
    <m/>
    <s v="TBC"/>
    <s v="TBC"/>
    <x v="8"/>
    <x v="0"/>
    <m/>
    <m/>
    <d v="2026-09-12T00:00:00"/>
    <d v="2026-09-12T00:00:00"/>
    <s v="2026/W37"/>
    <s v="2026/W37"/>
    <m/>
    <m/>
    <m/>
    <m/>
    <m/>
    <m/>
    <m/>
    <m/>
    <m/>
    <m/>
    <m/>
    <m/>
    <m/>
    <m/>
    <m/>
    <m/>
    <m/>
    <m/>
    <m/>
    <m/>
    <m/>
    <s v="Complete"/>
    <m/>
    <s v="NPI: All development items approved/closed for SW37"/>
    <s v="Waiting for PO"/>
  </r>
  <r>
    <x v="0"/>
    <x v="0"/>
    <s v="TRAN"/>
    <s v="Monica Cuevas"/>
    <s v="RESTORATION HARDWARE_HS"/>
    <s v="RH"/>
    <s v="1419 MONUMENT HOTEL"/>
    <x v="92"/>
    <n v="1"/>
    <x v="3"/>
    <s v="NEW"/>
    <s v="7. Mass Production"/>
    <d v="2026-08-05T00:00:00"/>
    <d v="2026-08-07T00:00:00"/>
    <m/>
    <s v="Spain"/>
    <m/>
    <n v="0"/>
    <n v="0"/>
    <m/>
    <m/>
    <x v="6"/>
    <n v="7"/>
    <n v="6068.79"/>
    <n v="6068.79"/>
    <x v="15"/>
    <x v="0"/>
    <m/>
    <m/>
    <d v="2026-12-04T00:00:00"/>
    <d v="2026-12-04T00:00:00"/>
    <s v="2026/W49"/>
    <s v="2026/W49"/>
    <s v="Approved"/>
    <m/>
    <d v="2026-08-07T00:00:00"/>
    <s v="Approved"/>
    <m/>
    <d v="2026-08-07T00:00:00"/>
    <s v="Approved"/>
    <m/>
    <d v="2026-08-07T00:00:00"/>
    <s v="Approved"/>
    <m/>
    <d v="2026-08-07T00:00:00"/>
    <s v="N/A"/>
    <m/>
    <m/>
    <s v="N/A"/>
    <m/>
    <m/>
    <s v="N/A"/>
    <m/>
    <m/>
    <s v="Active"/>
    <m/>
    <s v="NPI: All development items approved/closed for SW49"/>
    <m/>
  </r>
  <r>
    <x v="1"/>
    <x v="1"/>
    <s v="PHONG"/>
    <m/>
    <s v="SOHO HOUSE"/>
    <s v="SH"/>
    <s v="OAKLEY COURT MINI BAR BRIEF"/>
    <x v="93"/>
    <n v="1"/>
    <x v="3"/>
    <s v="NEW"/>
    <s v="3. Prototype Readiness (BOM)"/>
    <m/>
    <d v="2026-09-10T00:00:00"/>
    <m/>
    <s v="UK"/>
    <m/>
    <n v="0"/>
    <n v="0"/>
    <m/>
    <m/>
    <x v="6"/>
    <n v="1"/>
    <n v="2230.98"/>
    <n v="2230.98"/>
    <x v="9"/>
    <x v="0"/>
    <m/>
    <m/>
    <d v="2026-11-20T00:00:00"/>
    <d v="2026-11-20T00:00:00"/>
    <s v="2026/W47"/>
    <s v="2026/W47"/>
    <s v="Approved"/>
    <m/>
    <m/>
    <s v="Approved"/>
    <m/>
    <m/>
    <m/>
    <m/>
    <m/>
    <m/>
    <m/>
    <m/>
    <m/>
    <m/>
    <m/>
    <m/>
    <m/>
    <m/>
    <m/>
    <m/>
    <m/>
    <s v="Active"/>
    <m/>
    <s v="NPD: All development items approved/closed for SW47"/>
    <m/>
  </r>
  <r>
    <x v="1"/>
    <x v="0"/>
    <s v="PHONG"/>
    <m/>
    <s v="SOHO HOUSE"/>
    <s v="SH"/>
    <s v="OAKLEY COURT MINI BAR BRIEF"/>
    <x v="93"/>
    <n v="1"/>
    <x v="1"/>
    <s v="NEW"/>
    <s v="2. Product &amp; Process Dev"/>
    <m/>
    <m/>
    <m/>
    <s v="UK"/>
    <m/>
    <n v="1"/>
    <n v="1"/>
    <m/>
    <m/>
    <x v="28"/>
    <n v="333"/>
    <n v="210727.22"/>
    <n v="210727.22"/>
    <x v="19"/>
    <x v="1"/>
    <m/>
    <m/>
    <d v="2027-04-09T00:00:00"/>
    <d v="2027-04-16T00:00:00"/>
    <s v="2027/W15"/>
    <s v="2027/W16"/>
    <s v="In Progress"/>
    <m/>
    <m/>
    <s v="In Progress"/>
    <m/>
    <m/>
    <m/>
    <m/>
    <m/>
    <m/>
    <m/>
    <m/>
    <m/>
    <m/>
    <m/>
    <m/>
    <m/>
    <m/>
    <m/>
    <m/>
    <m/>
    <s v="Active"/>
    <m/>
    <s v="NPI: In progress: Drawing, Veneer/Wood for SW16"/>
    <m/>
  </r>
  <r>
    <x v="1"/>
    <x v="0"/>
    <s v="TRAN"/>
    <m/>
    <s v="ACCOUTER GROUP"/>
    <s v="AG"/>
    <s v="8 EATON LANE"/>
    <x v="94"/>
    <n v="1"/>
    <x v="3"/>
    <s v="NEW"/>
    <s v="7. Mass Production"/>
    <m/>
    <d v="2026-08-05T00:00:00"/>
    <m/>
    <s v="UK"/>
    <s v="UK"/>
    <n v="7"/>
    <n v="9"/>
    <m/>
    <m/>
    <x v="19"/>
    <n v="9"/>
    <n v="14883.84"/>
    <n v="14883.84"/>
    <x v="15"/>
    <x v="0"/>
    <d v="2026-11-26T00:00:00"/>
    <d v="2026-11-26T00:00:00"/>
    <d v="2026-12-04T00:00:00"/>
    <d v="2026-12-04T00:00:00"/>
    <s v="2026/W49"/>
    <s v="2026/W49"/>
    <s v="Approved"/>
    <m/>
    <m/>
    <s v="In Progress"/>
    <m/>
    <m/>
    <m/>
    <m/>
    <m/>
    <m/>
    <m/>
    <m/>
    <m/>
    <m/>
    <m/>
    <m/>
    <m/>
    <m/>
    <m/>
    <m/>
    <m/>
    <s v="Active"/>
    <m/>
    <s v="NPI: In progress: Veneer/Wood for SW49"/>
    <m/>
  </r>
  <r>
    <x v="1"/>
    <x v="0"/>
    <s v="TRAN"/>
    <m/>
    <s v="ACCOUTER GROUP"/>
    <s v="AG"/>
    <s v="BOARDROOM FURNITURE"/>
    <x v="95"/>
    <n v="1"/>
    <x v="3"/>
    <s v="NEW"/>
    <s v="7. Mass Production"/>
    <m/>
    <d v="2026-08-11T00:00:00"/>
    <m/>
    <s v="UK"/>
    <s v="UK"/>
    <n v="2"/>
    <n v="2"/>
    <m/>
    <m/>
    <x v="4"/>
    <n v="2"/>
    <n v="10410"/>
    <n v="10410"/>
    <x v="10"/>
    <x v="0"/>
    <d v="2026-11-26T00:00:00"/>
    <d v="2026-11-26T00:00:00"/>
    <d v="2026-11-20T00:00:00"/>
    <d v="2026-11-20T00:00:00"/>
    <s v="2026/W47"/>
    <s v="2026/W47"/>
    <s v="Approved"/>
    <m/>
    <m/>
    <s v="In Progress"/>
    <m/>
    <m/>
    <m/>
    <m/>
    <m/>
    <m/>
    <m/>
    <m/>
    <m/>
    <m/>
    <m/>
    <m/>
    <m/>
    <m/>
    <m/>
    <m/>
    <m/>
    <s v="Active"/>
    <m/>
    <s v="NPI: In progress: Veneer/Wood for SW47"/>
    <m/>
  </r>
  <r>
    <x v="1"/>
    <x v="0"/>
    <s v="TRAN"/>
    <m/>
    <s v="ACCOUTER GROUP"/>
    <s v="AG"/>
    <s v="CHARTER STREET TABLES"/>
    <x v="96"/>
    <n v="1"/>
    <x v="3"/>
    <s v="NEW"/>
    <s v="7. Mass Production"/>
    <m/>
    <d v="2026-08-11T00:00:00"/>
    <m/>
    <s v="UK"/>
    <s v="UK"/>
    <n v="5"/>
    <n v="9"/>
    <m/>
    <m/>
    <x v="30"/>
    <n v="9"/>
    <n v="16944.240000000002"/>
    <n v="17615.419999999998"/>
    <x v="10"/>
    <x v="0"/>
    <d v="2026-11-26T00:00:00"/>
    <d v="2026-11-26T00:00:00"/>
    <d v="2026-11-20T00:00:00"/>
    <d v="2026-11-20T00:00:00"/>
    <s v="2026/W47"/>
    <s v="2026/W47"/>
    <s v="Approved"/>
    <m/>
    <m/>
    <s v="In Progress"/>
    <m/>
    <m/>
    <m/>
    <m/>
    <m/>
    <m/>
    <m/>
    <m/>
    <m/>
    <m/>
    <m/>
    <m/>
    <m/>
    <m/>
    <m/>
    <m/>
    <m/>
    <s v="Active"/>
    <m/>
    <s v="NPI: In progress: Veneer/Wood for SW47"/>
    <m/>
  </r>
  <r>
    <x v="0"/>
    <x v="0"/>
    <s v="DUY"/>
    <s v="Natasha Funk"/>
    <s v="RESTORATION HARDWARE_HS"/>
    <s v="RH"/>
    <s v="DEER VALLEY  "/>
    <x v="97"/>
    <n v="1"/>
    <x v="5"/>
    <s v="NEW"/>
    <s v="1. Preliminary Design"/>
    <d v="2026-09-11T00:00:00"/>
    <s v="Pending PO "/>
    <m/>
    <s v="US"/>
    <s v="AZ"/>
    <n v="0"/>
    <n v="0"/>
    <m/>
    <m/>
    <x v="28"/>
    <n v="45"/>
    <n v="47893.859999999993"/>
    <n v="47893.859999999993"/>
    <x v="27"/>
    <x v="5"/>
    <m/>
    <m/>
    <s v="TBC"/>
    <s v="TBC"/>
    <s v="TBC"/>
    <s v="TBC"/>
    <s v="Pending Approval"/>
    <m/>
    <m/>
    <s v="Pending Approval"/>
    <m/>
    <m/>
    <s v="N/A"/>
    <m/>
    <m/>
    <s v="Pending Approval"/>
    <m/>
    <m/>
    <s v="N/A"/>
    <m/>
    <m/>
    <s v="N/A"/>
    <m/>
    <m/>
    <s v="N/A"/>
    <m/>
    <m/>
    <s v="Active"/>
    <m/>
    <s v="NPI: Pending approval: Drawing, Veneer/Wood, Metal for SW TBC"/>
    <m/>
  </r>
  <r>
    <x v="0"/>
    <x v="0"/>
    <s v="DUY"/>
    <m/>
    <s v="RESTORATION HARDWARE_HS"/>
    <s v="RH"/>
    <s v="ALTERRA_DEER VALLEY "/>
    <x v="98"/>
    <n v="1"/>
    <x v="1"/>
    <s v="NEW"/>
    <s v="1. Preliminary Design"/>
    <m/>
    <m/>
    <m/>
    <s v="US"/>
    <s v="AZ"/>
    <n v="0"/>
    <n v="0"/>
    <m/>
    <m/>
    <x v="33"/>
    <m/>
    <n v="228194"/>
    <n v="228194"/>
    <x v="4"/>
    <x v="1"/>
    <m/>
    <m/>
    <s v="TBC"/>
    <s v="TBC"/>
    <s v="TBC"/>
    <s v="TBC"/>
    <s v="Not Started"/>
    <m/>
    <m/>
    <s v="Not Started"/>
    <m/>
    <m/>
    <s v="Not Started"/>
    <m/>
    <m/>
    <s v="In Progress"/>
    <m/>
    <m/>
    <s v="N/A"/>
    <m/>
    <m/>
    <s v="N/A"/>
    <m/>
    <m/>
    <s v="N/A"/>
    <m/>
    <m/>
    <s v="Active"/>
    <m/>
    <s v="NPI: In progress: Metal; Not started: Drawing, Veneer/Wood, Marble for SW TBC"/>
    <m/>
  </r>
  <r>
    <x v="1"/>
    <x v="0"/>
    <s v="HONG"/>
    <m/>
    <s v="BISCAYNE HOSPITALITY"/>
    <s v="BISCAYNE"/>
    <s v="SLPS - SUGAR LAND, PUBLIC SPACE"/>
    <x v="99"/>
    <n v="1"/>
    <x v="7"/>
    <s v="NEW"/>
    <s v="2. Product &amp; Process Dev"/>
    <m/>
    <m/>
    <m/>
    <s v="US"/>
    <s v="Texas"/>
    <n v="17"/>
    <n v="41"/>
    <m/>
    <m/>
    <x v="23"/>
    <n v="162"/>
    <n v="156985.75999999995"/>
    <n v="156985.75999999995"/>
    <x v="11"/>
    <x v="1"/>
    <d v="2026-12-11T00:00:00"/>
    <d v="2026-12-11T00:00:00"/>
    <d v="2027-01-01T00:00:00"/>
    <d v="2027-01-29T00:00:00"/>
    <s v="2027/W01"/>
    <s v="2027/W05"/>
    <s v="In Progress"/>
    <m/>
    <m/>
    <s v="In Progress"/>
    <m/>
    <m/>
    <m/>
    <m/>
    <m/>
    <m/>
    <m/>
    <m/>
    <m/>
    <m/>
    <m/>
    <m/>
    <m/>
    <m/>
    <m/>
    <m/>
    <m/>
    <s v="Complete"/>
    <s v="Yes"/>
    <s v="NPI: In progress: Drawing, Veneer/Wood for SW05"/>
    <m/>
  </r>
  <r>
    <x v="1"/>
    <x v="0"/>
    <s v="DUNG"/>
    <m/>
    <s v="BISCAYNE HOSPITALITY"/>
    <s v="BISCAYNE"/>
    <s v="SLPSC"/>
    <x v="100"/>
    <n v="1"/>
    <x v="3"/>
    <s v="NEW"/>
    <s v="3. Prototype Readiness (BOM)"/>
    <d v="2026-08-18T00:00:00"/>
    <d v="2026-08-17T00:00:00"/>
    <s v="NOT YET"/>
    <s v="US"/>
    <s v="US"/>
    <n v="25"/>
    <n v="57"/>
    <m/>
    <m/>
    <x v="22"/>
    <n v="98"/>
    <n v="83963.209999999992"/>
    <n v="83963.209999999992"/>
    <x v="11"/>
    <x v="1"/>
    <d v="2026-12-11T00:00:00"/>
    <d v="2026-12-11T00:00:00"/>
    <d v="2027-01-01T00:00:00"/>
    <d v="2027-01-22T00:00:00"/>
    <s v="2027/W01"/>
    <s v="2027/W04"/>
    <s v="In Progress"/>
    <d v="2026-10-02T00:00:00"/>
    <m/>
    <s v="In Progress"/>
    <d v="2026-10-02T00:00:00"/>
    <m/>
    <s v="In Progress"/>
    <d v="2026-10-02T00:00:00"/>
    <m/>
    <s v="In Progress"/>
    <d v="2026-10-02T00:00:00"/>
    <m/>
    <s v="In Progress"/>
    <d v="2026-10-02T00:00:00"/>
    <m/>
    <s v="In Progress"/>
    <d v="2026-10-02T00:00:00"/>
    <m/>
    <s v="COM Pending"/>
    <m/>
    <m/>
    <s v="Active"/>
    <s v="Yes"/>
    <s v="NPI: In progress: Drawing, Veneer/Wood, Marble, Metal, Mirror, Electrical; Fabric is com pending; need approval by 2-Oct-26 for SW04"/>
    <m/>
  </r>
  <r>
    <x v="1"/>
    <x v="0"/>
    <s v="TRAN"/>
    <s v="Erika"/>
    <s v="FLEETWOOD FURNITURE"/>
    <s v="FLEETWOOD "/>
    <s v="MGM BELLAGIO"/>
    <x v="101"/>
    <n v="1"/>
    <x v="3"/>
    <s v="NEW"/>
    <s v="5. Production Readiness"/>
    <d v="2026-08-25T00:00:00"/>
    <d v="2026-08-25T00:00:00"/>
    <s v="Re-allocate from Auberge"/>
    <s v="US"/>
    <s v="LV"/>
    <n v="1"/>
    <n v="1"/>
    <n v="1"/>
    <m/>
    <x v="6"/>
    <n v="1"/>
    <n v="3202"/>
    <n v="3202"/>
    <x v="15"/>
    <x v="0"/>
    <d v="2026-12-16T00:00:00"/>
    <d v="2026-12-16T00:00:00"/>
    <d v="2026-12-04T00:00:00"/>
    <d v="2026-12-04T00:00:00"/>
    <s v="2026/W49"/>
    <s v="2026/W49"/>
    <s v="Approved"/>
    <m/>
    <d v="2026-09-07T00:00:00"/>
    <s v="Approved"/>
    <m/>
    <d v="2026-09-11T00:00:00"/>
    <s v="Approved"/>
    <m/>
    <d v="2026-09-11T00:00:00"/>
    <s v="Approved"/>
    <m/>
    <d v="2026-09-14T00:00:00"/>
    <s v="N/A"/>
    <m/>
    <m/>
    <s v="N/A"/>
    <m/>
    <m/>
    <s v="N/A"/>
    <m/>
    <m/>
    <s v="Active"/>
    <m/>
    <s v="NPI: All development items approved/closed for SW49"/>
    <s v="Schedule for Fleetwood WW inspection W45"/>
  </r>
  <r>
    <x v="0"/>
    <x v="1"/>
    <s v="DUONG"/>
    <s v="Madison Lay"/>
    <s v="RESTORATION HARDWARE_HS"/>
    <s v="RH"/>
    <s v="FOUR SEASON DUBROVNIK"/>
    <x v="102"/>
    <n v="1"/>
    <x v="8"/>
    <s v="NEW"/>
    <s v="1. Preliminary Design"/>
    <m/>
    <m/>
    <m/>
    <s v="EU"/>
    <m/>
    <m/>
    <m/>
    <m/>
    <m/>
    <x v="36"/>
    <n v="33"/>
    <n v="13804.520000000004"/>
    <n v="13804.520000000004"/>
    <x v="15"/>
    <x v="0"/>
    <m/>
    <m/>
    <d v="2026-12-11T00:00:00"/>
    <d v="2026-12-25T00:00:00"/>
    <s v="2026/W50"/>
    <s v="2026/W52"/>
    <s v="In Progress"/>
    <m/>
    <m/>
    <m/>
    <m/>
    <m/>
    <m/>
    <m/>
    <m/>
    <m/>
    <m/>
    <m/>
    <m/>
    <m/>
    <m/>
    <m/>
    <m/>
    <m/>
    <m/>
    <m/>
    <m/>
    <s v="Complete"/>
    <m/>
    <s v="NPD: In progress: Drawing for SW52"/>
    <m/>
  </r>
  <r>
    <x v="0"/>
    <x v="0"/>
    <s v="DUONG"/>
    <s v="Madison Lay"/>
    <s v="RESTORATION HARDWARE_HS"/>
    <s v="RH"/>
    <s v="FOUR SEASON DUBROVNIK"/>
    <x v="102"/>
    <n v="1"/>
    <x v="8"/>
    <s v="NEW"/>
    <s v="1. Preliminary Design"/>
    <m/>
    <m/>
    <m/>
    <s v="EU"/>
    <m/>
    <n v="0"/>
    <n v="0"/>
    <m/>
    <m/>
    <x v="36"/>
    <m/>
    <n v="1474339"/>
    <n v="737169.5"/>
    <x v="21"/>
    <x v="1"/>
    <m/>
    <m/>
    <m/>
    <m/>
    <s v=""/>
    <s v=""/>
    <s v="In Progress"/>
    <m/>
    <m/>
    <m/>
    <m/>
    <m/>
    <m/>
    <m/>
    <m/>
    <m/>
    <m/>
    <m/>
    <m/>
    <m/>
    <m/>
    <m/>
    <m/>
    <m/>
    <m/>
    <m/>
    <m/>
    <s v="Complete"/>
    <m/>
    <s v="NPI: In progress: Drawing"/>
    <m/>
  </r>
  <r>
    <x v="0"/>
    <x v="0"/>
    <s v="DUONG"/>
    <s v="Madison Lay"/>
    <s v="RESTORATION HARDWARE_HS"/>
    <s v="RH"/>
    <s v="FOUR SEASON DUBROVNIK"/>
    <x v="102"/>
    <n v="0"/>
    <x v="8"/>
    <s v="NEW"/>
    <s v="1. Preliminary Design"/>
    <m/>
    <m/>
    <m/>
    <s v="EU"/>
    <m/>
    <n v="0"/>
    <n v="0"/>
    <m/>
    <m/>
    <x v="36"/>
    <m/>
    <n v="1474339"/>
    <n v="737169.5"/>
    <x v="22"/>
    <x v="1"/>
    <m/>
    <m/>
    <m/>
    <m/>
    <s v=""/>
    <s v=""/>
    <s v="In Progress"/>
    <m/>
    <m/>
    <m/>
    <m/>
    <m/>
    <m/>
    <m/>
    <m/>
    <m/>
    <m/>
    <m/>
    <m/>
    <m/>
    <m/>
    <m/>
    <m/>
    <m/>
    <m/>
    <m/>
    <m/>
    <s v="Complete"/>
    <m/>
    <s v="NPI: In progress: Drawing"/>
    <m/>
  </r>
  <r>
    <x v="1"/>
    <x v="1"/>
    <s v="TRAN"/>
    <m/>
    <s v="BISCAYNE HOSPITALITY"/>
    <s v="BISCAYNE"/>
    <s v="AGV MODEL ROOM"/>
    <x v="103"/>
    <n v="1"/>
    <x v="3"/>
    <s v="NEW"/>
    <s v="2. Product &amp; Process Dev"/>
    <d v="2026-08-29T00:00:00"/>
    <d v="2026-08-29T00:00:00"/>
    <d v="2026-09-25T00:00:00"/>
    <s v="US"/>
    <s v="US"/>
    <n v="0"/>
    <n v="0"/>
    <m/>
    <m/>
    <x v="35"/>
    <n v="22"/>
    <n v="17279"/>
    <n v="17279"/>
    <x v="11"/>
    <x v="1"/>
    <d v="2026-12-25T00:00:00"/>
    <d v="2026-12-25T00:00:00"/>
    <d v="2027-01-15T00:00:00"/>
    <d v="2027-01-15T00:00:00"/>
    <s v="2027/W03"/>
    <s v="2027/W03"/>
    <s v="In Progress"/>
    <d v="2026-10-02T00:00:00"/>
    <m/>
    <s v="In Progress"/>
    <d v="2026-10-02T00:00:00"/>
    <m/>
    <s v="In Progress"/>
    <d v="2026-10-02T00:00:00"/>
    <m/>
    <s v="In Progress"/>
    <d v="2026-10-02T00:00:00"/>
    <m/>
    <s v="N/A"/>
    <m/>
    <m/>
    <s v="In Progress"/>
    <m/>
    <m/>
    <s v="COM Pending"/>
    <m/>
    <m/>
    <s v="Active"/>
    <s v="Yes"/>
    <s v="NPD: In progress: Drawing, Veneer/Wood, Marble, Metal, Electrical; Fabric is com pending; need approval by 2-Oct-26 for SW03"/>
    <m/>
  </r>
  <r>
    <x v="1"/>
    <x v="1"/>
    <s v="TRAN"/>
    <m/>
    <s v="BISCAYNE HOSPITALITY"/>
    <s v="BISCAYNE"/>
    <s v="AGV MODEL ROOM-EXTRA"/>
    <x v="104"/>
    <n v="1"/>
    <x v="10"/>
    <s v="NEW"/>
    <s v="2. Product &amp; Process Dev"/>
    <d v="2026-08-29T00:00:00"/>
    <d v="2026-08-29T00:00:00"/>
    <d v="2026-09-25T00:00:00"/>
    <s v="US"/>
    <s v="US"/>
    <n v="0"/>
    <n v="0"/>
    <m/>
    <m/>
    <x v="19"/>
    <n v="15"/>
    <n v="7473"/>
    <n v="7473"/>
    <x v="11"/>
    <x v="1"/>
    <d v="2026-12-25T00:00:00"/>
    <d v="2026-12-25T00:00:00"/>
    <d v="2027-01-01T00:00:00"/>
    <d v="2027-01-08T00:00:00"/>
    <s v="2027/W01"/>
    <s v="2027/W02"/>
    <s v="In Progress"/>
    <d v="2026-10-02T00:00:00"/>
    <m/>
    <s v="In Progress"/>
    <d v="2026-10-02T00:00:00"/>
    <m/>
    <s v="In Progress"/>
    <d v="2026-10-02T00:00:00"/>
    <m/>
    <s v="In Progress"/>
    <d v="2026-10-02T00:00:00"/>
    <m/>
    <s v="N/A"/>
    <m/>
    <m/>
    <s v="In Progress"/>
    <m/>
    <m/>
    <s v="COM Pending"/>
    <m/>
    <m/>
    <s v="Complete"/>
    <s v="Yes"/>
    <s v="NPD: In progress: Drawing, Veneer/Wood, Marble, Metal, Electrical; Fabric is com pending; need approval by 2-Oct-26 for SW02"/>
    <m/>
  </r>
  <r>
    <x v="1"/>
    <x v="1"/>
    <s v="TRAN"/>
    <m/>
    <s v="BISCAYNE HOSPITALITY"/>
    <s v="BISCAYNE"/>
    <s v="AGSR - ARIZONA GRAND SUITES - MODEL ROOM"/>
    <x v="105"/>
    <n v="1"/>
    <x v="3"/>
    <s v="NEW"/>
    <s v="2. Product &amp; Process Dev"/>
    <d v="2026-08-29T00:00:00"/>
    <d v="2026-08-29T00:00:00"/>
    <d v="2026-09-25T00:00:00"/>
    <s v="US"/>
    <s v="US"/>
    <n v="0"/>
    <n v="0"/>
    <m/>
    <m/>
    <x v="16"/>
    <n v="26"/>
    <n v="11993"/>
    <n v="11993"/>
    <x v="11"/>
    <x v="1"/>
    <d v="2026-12-25T00:00:00"/>
    <d v="2026-12-25T00:00:00"/>
    <d v="2027-01-15T00:00:00"/>
    <d v="2027-01-15T00:00:00"/>
    <s v="2027/W03"/>
    <s v="2027/W03"/>
    <s v="In Progress"/>
    <d v="2026-10-02T00:00:00"/>
    <m/>
    <s v="In Progress"/>
    <d v="2026-10-02T00:00:00"/>
    <m/>
    <s v="In Progress"/>
    <d v="2026-10-02T00:00:00"/>
    <m/>
    <s v="In Progress"/>
    <d v="2026-10-02T00:00:00"/>
    <m/>
    <s v="N/A"/>
    <m/>
    <m/>
    <s v="In Progress"/>
    <m/>
    <m/>
    <s v="COM Pending"/>
    <m/>
    <m/>
    <s v="Active"/>
    <s v="Yes"/>
    <s v="NPD: In progress: Drawing, Veneer/Wood, Marble, Metal, Electrical; Fabric is com pending; need approval by 2-Oct-26 for SW03"/>
    <m/>
  </r>
  <r>
    <x v="1"/>
    <x v="1"/>
    <s v="TRAN"/>
    <m/>
    <s v="BISCAYNE HOSPITALITY"/>
    <s v="BISCAYNE"/>
    <s v="AGSR - ARIZONA GRAND SUITES - EXTRA"/>
    <x v="106"/>
    <n v="1"/>
    <x v="3"/>
    <s v="NEW"/>
    <s v="2. Product &amp; Process Dev"/>
    <d v="2026-08-29T00:00:00"/>
    <d v="2026-08-29T00:00:00"/>
    <d v="2026-09-25T00:00:00"/>
    <s v="US"/>
    <s v="US"/>
    <n v="0"/>
    <n v="0"/>
    <m/>
    <m/>
    <x v="9"/>
    <n v="8"/>
    <n v="4270.1200000000008"/>
    <n v="4270.1200000000008"/>
    <x v="11"/>
    <x v="1"/>
    <d v="2026-12-25T00:00:00"/>
    <d v="2026-12-25T00:00:00"/>
    <d v="2027-01-15T00:00:00"/>
    <d v="2027-01-15T00:00:00"/>
    <s v="2027/W03"/>
    <s v="2027/W03"/>
    <s v="In Progress"/>
    <d v="2026-10-02T00:00:00"/>
    <m/>
    <s v="In Progress"/>
    <d v="2026-10-02T00:00:00"/>
    <m/>
    <s v="In Progress"/>
    <d v="2026-10-02T00:00:00"/>
    <m/>
    <s v="In Progress"/>
    <d v="2026-10-02T00:00:00"/>
    <m/>
    <s v="N/A"/>
    <m/>
    <m/>
    <s v="In Progress"/>
    <m/>
    <m/>
    <s v="COM Pending"/>
    <m/>
    <m/>
    <s v="Active"/>
    <s v="Yes"/>
    <s v="NPD: In progress: Drawing, Veneer/Wood, Marble, Metal, Electrical; Fabric is com pending; need approval by 2-Oct-26 for SW03"/>
    <m/>
  </r>
  <r>
    <x v="1"/>
    <x v="0"/>
    <s v="TRAN"/>
    <m/>
    <s v="BISCAYNE HOSPITALITY"/>
    <s v="BISCAYNE"/>
    <s v="AGSR - ARIZONA GRAND SUITES - MODEL ROOM"/>
    <x v="105"/>
    <n v="1"/>
    <x v="1"/>
    <s v="NEW"/>
    <s v="1. Preliminary Design"/>
    <m/>
    <m/>
    <m/>
    <s v="US"/>
    <s v="US"/>
    <n v="0"/>
    <n v="0"/>
    <m/>
    <m/>
    <x v="33"/>
    <m/>
    <n v="3000000"/>
    <n v="1000000"/>
    <x v="14"/>
    <x v="1"/>
    <m/>
    <m/>
    <s v="TBC"/>
    <s v="TBC"/>
    <s v="TBC"/>
    <s v="TBC"/>
    <s v="Not Started"/>
    <m/>
    <m/>
    <s v="Not Started"/>
    <m/>
    <m/>
    <s v="Not Started"/>
    <m/>
    <m/>
    <s v="Not Started "/>
    <m/>
    <m/>
    <s v="Not Started "/>
    <m/>
    <m/>
    <s v="Not Started "/>
    <m/>
    <m/>
    <s v="Not Started "/>
    <m/>
    <m/>
    <s v="Active"/>
    <s v="Yes"/>
    <s v="NPI: Not started: Drawing, Veneer/Wood, Marble for SW TBC"/>
    <m/>
  </r>
  <r>
    <x v="1"/>
    <x v="0"/>
    <s v="TRAN"/>
    <m/>
    <s v="BISCAYNE HOSPITALITY"/>
    <s v="BISCAYNE"/>
    <s v="AGSR - ARIZONA GRAND SUITES - MODEL ROOM"/>
    <x v="105"/>
    <n v="0"/>
    <x v="1"/>
    <s v="NEW"/>
    <s v="1. Preliminary Design"/>
    <m/>
    <m/>
    <m/>
    <s v="US"/>
    <s v="US"/>
    <n v="0"/>
    <n v="0"/>
    <m/>
    <m/>
    <x v="33"/>
    <m/>
    <n v="3000000"/>
    <n v="1000000"/>
    <x v="4"/>
    <x v="1"/>
    <m/>
    <m/>
    <s v="TBC"/>
    <s v="TBC"/>
    <s v="TBC"/>
    <s v="TBC"/>
    <s v="Not Started"/>
    <m/>
    <m/>
    <s v="Not Started"/>
    <m/>
    <m/>
    <s v="Not Started"/>
    <m/>
    <m/>
    <s v="Not Started "/>
    <m/>
    <m/>
    <s v="Not Started "/>
    <m/>
    <m/>
    <s v="Not Started "/>
    <m/>
    <m/>
    <s v="Not Started "/>
    <m/>
    <m/>
    <s v="Active"/>
    <s v="Yes"/>
    <s v="NPI: Not started: Drawing, Veneer/Wood, Marble for SW TBC"/>
    <m/>
  </r>
  <r>
    <x v="1"/>
    <x v="0"/>
    <s v="TRAN"/>
    <m/>
    <s v="BISCAYNE HOSPITALITY"/>
    <s v="BISCAYNE"/>
    <s v="AGSR - ARIZONA GRAND SUITES - MODEL ROOM"/>
    <x v="105"/>
    <n v="0"/>
    <x v="1"/>
    <s v="NEW"/>
    <s v="1. Preliminary Design"/>
    <m/>
    <m/>
    <m/>
    <s v="US"/>
    <s v="US"/>
    <n v="0"/>
    <n v="0"/>
    <m/>
    <m/>
    <x v="33"/>
    <m/>
    <n v="3000000"/>
    <n v="1000000"/>
    <x v="5"/>
    <x v="1"/>
    <m/>
    <m/>
    <s v="TBC"/>
    <s v="TBC"/>
    <s v="TBC"/>
    <s v="TBC"/>
    <s v="Not Started"/>
    <m/>
    <m/>
    <s v="Not Started"/>
    <m/>
    <m/>
    <s v="Not Started"/>
    <m/>
    <m/>
    <s v="Not Started "/>
    <m/>
    <m/>
    <s v="Not Started "/>
    <m/>
    <m/>
    <s v="Not Started "/>
    <m/>
    <m/>
    <s v="Not Started "/>
    <m/>
    <m/>
    <s v="Active"/>
    <s v="Yes"/>
    <s v="NPI: Not started: Drawing, Veneer/Wood, Marble for SW TBC"/>
    <m/>
  </r>
  <r>
    <x v="1"/>
    <x v="1"/>
    <s v="TRAN"/>
    <m/>
    <s v="BISCAYNE HOSPITALITY"/>
    <s v="BISCAYNE"/>
    <s v="SPA"/>
    <x v="107"/>
    <n v="1"/>
    <x v="3"/>
    <s v="NEW"/>
    <s v="2. Product &amp; Process Dev"/>
    <d v="2026-09-02T00:00:00"/>
    <d v="2026-08-31T00:00:00"/>
    <d v="2026-09-25T00:00:00"/>
    <s v="US"/>
    <s v="US"/>
    <n v="0"/>
    <n v="0"/>
    <m/>
    <m/>
    <x v="30"/>
    <n v="11"/>
    <n v="8153.75"/>
    <n v="8153.75"/>
    <x v="11"/>
    <x v="1"/>
    <m/>
    <m/>
    <d v="2027-01-22T00:00:00"/>
    <d v="2027-01-22T00:00:00"/>
    <s v="2027/W04"/>
    <s v="2027/W04"/>
    <s v="In Progress"/>
    <d v="2026-10-02T00:00:00"/>
    <m/>
    <s v="In Progress"/>
    <d v="2026-10-02T00:00:00"/>
    <m/>
    <s v="In Progress"/>
    <d v="2026-10-02T00:00:00"/>
    <m/>
    <s v="In Progress"/>
    <d v="2026-10-02T00:00:00"/>
    <m/>
    <s v="N/A"/>
    <m/>
    <m/>
    <s v="In Progress"/>
    <m/>
    <m/>
    <s v="COM Pending"/>
    <m/>
    <m/>
    <s v="Active"/>
    <s v="Yes"/>
    <s v="NPD: In progress: Drawing, Veneer/Wood, Marble, Metal, Electrical; Fabric is com pending; need approval by 2-Oct-26 for SW04"/>
    <s v="Deposit invoice sent Sep/11th "/>
  </r>
  <r>
    <x v="1"/>
    <x v="0"/>
    <s v="TRAN"/>
    <m/>
    <s v="BISCAYNE HOSPITALITY"/>
    <s v="BISCAYNE"/>
    <s v="OLY PA"/>
    <x v="108"/>
    <n v="1"/>
    <x v="4"/>
    <s v="NEW"/>
    <s v="2. Product &amp; Process Dev"/>
    <m/>
    <d v="2026-07-10T00:00:00"/>
    <m/>
    <s v="US"/>
    <s v="Pennsylvania"/>
    <m/>
    <m/>
    <m/>
    <m/>
    <x v="6"/>
    <n v="3"/>
    <n v="2908"/>
    <n v="2908"/>
    <x v="19"/>
    <x v="1"/>
    <m/>
    <m/>
    <d v="2027-03-05T00:00:00"/>
    <d v="2027-03-05T00:00:00"/>
    <s v="2027/W10"/>
    <s v="2027/W10"/>
    <s v="In Progress"/>
    <d v="2027-10-22T00:00:00"/>
    <m/>
    <m/>
    <m/>
    <m/>
    <m/>
    <m/>
    <m/>
    <m/>
    <m/>
    <m/>
    <m/>
    <m/>
    <m/>
    <m/>
    <m/>
    <m/>
    <m/>
    <m/>
    <m/>
    <s v="Active"/>
    <s v="Yes"/>
    <s v="NPI: In progress: Drawing; need approval by 22-Oct-27 for SW10"/>
    <m/>
  </r>
  <r>
    <x v="1"/>
    <x v="0"/>
    <s v="PHONG"/>
    <m/>
    <s v="MJM"/>
    <s v="MJM"/>
    <s v="CABIN PROJECT"/>
    <x v="109"/>
    <n v="1"/>
    <x v="6"/>
    <s v="NEW"/>
    <s v="2. Product &amp; Process Dev"/>
    <m/>
    <m/>
    <m/>
    <s v="US"/>
    <m/>
    <n v="0"/>
    <n v="0"/>
    <m/>
    <m/>
    <x v="21"/>
    <n v="720"/>
    <n v="371000"/>
    <n v="185500"/>
    <x v="11"/>
    <x v="1"/>
    <m/>
    <m/>
    <d v="2027-01-22T00:00:00"/>
    <d v="2027-01-22T00:00:00"/>
    <s v="2027/W04"/>
    <s v="2027/W04"/>
    <s v="In Progress"/>
    <m/>
    <m/>
    <m/>
    <m/>
    <m/>
    <m/>
    <m/>
    <m/>
    <m/>
    <m/>
    <m/>
    <m/>
    <m/>
    <m/>
    <m/>
    <m/>
    <m/>
    <m/>
    <m/>
    <m/>
    <s v="Complete"/>
    <m/>
    <s v="NPI: In progress: Drawing for SW04"/>
    <m/>
  </r>
  <r>
    <x v="1"/>
    <x v="0"/>
    <s v="PHONG"/>
    <m/>
    <s v="MJM"/>
    <s v="MJM"/>
    <s v="CABIN PROJECT"/>
    <x v="109"/>
    <n v="0"/>
    <x v="6"/>
    <s v="NEW"/>
    <s v="2. Product &amp; Process Dev"/>
    <m/>
    <m/>
    <m/>
    <s v="US"/>
    <m/>
    <n v="0"/>
    <n v="0"/>
    <m/>
    <m/>
    <x v="21"/>
    <n v="720"/>
    <n v="371000"/>
    <n v="185500"/>
    <x v="19"/>
    <x v="1"/>
    <m/>
    <m/>
    <d v="2027-01-08T00:00:00"/>
    <d v="2027-02-26T00:00:00"/>
    <s v="2027/W02"/>
    <s v="2027/W09"/>
    <s v="In Progress"/>
    <m/>
    <m/>
    <m/>
    <m/>
    <m/>
    <m/>
    <m/>
    <m/>
    <m/>
    <m/>
    <m/>
    <m/>
    <m/>
    <m/>
    <m/>
    <m/>
    <m/>
    <m/>
    <m/>
    <m/>
    <s v="Complete"/>
    <m/>
    <s v="NPI: In progress: Drawing for SW09"/>
    <m/>
  </r>
  <r>
    <x v="0"/>
    <x v="1"/>
    <s v="DUY"/>
    <s v="Madison Lay"/>
    <s v="RESTORATION HARDWARE_HS"/>
    <s v="RH"/>
    <s v="OPS-0069737 TRIBECA CONDOS - VANITIES"/>
    <x v="110"/>
    <n v="1"/>
    <x v="8"/>
    <s v="NEW"/>
    <s v="1. Preliminary Design"/>
    <d v="2026-09-04T00:00:00"/>
    <m/>
    <m/>
    <s v="US"/>
    <s v="NY"/>
    <n v="0"/>
    <n v="0"/>
    <m/>
    <m/>
    <x v="4"/>
    <n v="2"/>
    <n v="4632.5600000000004"/>
    <n v="4632.5600000000004"/>
    <x v="15"/>
    <x v="0"/>
    <m/>
    <m/>
    <d v="2026-12-11T00:00:00"/>
    <d v="2026-12-11T00:00:00"/>
    <s v="2026/W50"/>
    <s v="2026/W50"/>
    <s v="In Progress"/>
    <m/>
    <m/>
    <s v="Not Started"/>
    <m/>
    <m/>
    <s v="Not Started"/>
    <m/>
    <m/>
    <s v="In Progress"/>
    <m/>
    <m/>
    <s v="N/A"/>
    <m/>
    <m/>
    <s v="N/A"/>
    <m/>
    <m/>
    <s v="N/A"/>
    <m/>
    <m/>
    <s v="Complete"/>
    <m/>
    <e v="#REF!"/>
    <m/>
  </r>
  <r>
    <x v="0"/>
    <x v="0"/>
    <s v="DUY"/>
    <s v="Madison Lay"/>
    <s v="RESTORATION HARDWARE_HS"/>
    <s v="RH"/>
    <s v="OPS-0069737 TRIBECA CONDOS - VANITIES"/>
    <x v="110"/>
    <n v="1"/>
    <x v="8"/>
    <s v="NEW"/>
    <s v="1. Preliminary Design"/>
    <d v="2026-09-01T00:00:00"/>
    <m/>
    <m/>
    <s v="US"/>
    <s v="NY"/>
    <n v="0"/>
    <n v="0"/>
    <m/>
    <m/>
    <x v="28"/>
    <n v="34"/>
    <n v="38099.789999999994"/>
    <n v="38099.789999999994"/>
    <x v="12"/>
    <x v="2"/>
    <m/>
    <m/>
    <s v="TBC"/>
    <s v="TBC"/>
    <s v="TBC"/>
    <s v="TBC"/>
    <s v="In Progress"/>
    <m/>
    <m/>
    <s v="Not Started"/>
    <m/>
    <m/>
    <s v="Not Started"/>
    <m/>
    <m/>
    <s v="In Progress"/>
    <m/>
    <m/>
    <s v="N/A"/>
    <m/>
    <m/>
    <s v="N/A"/>
    <m/>
    <m/>
    <s v="N/A"/>
    <m/>
    <m/>
    <s v="Complete"/>
    <m/>
    <s v="NPI: In progress: Drawing, Metal; Not started: Veneer/Wood, Marble for SW TBC"/>
    <m/>
  </r>
  <r>
    <x v="1"/>
    <x v="0"/>
    <s v="DUNG"/>
    <m/>
    <s v="MIVAN"/>
    <s v="MV"/>
    <s v="CLEVELAND CLINIC"/>
    <x v="111"/>
    <n v="1"/>
    <x v="4"/>
    <s v="NEW"/>
    <s v="1. Preliminary Design"/>
    <d v="2026-09-10T00:00:00"/>
    <d v="2026-10-09T00:00:00"/>
    <s v="Pending Deposit"/>
    <s v="US"/>
    <m/>
    <n v="23"/>
    <n v="27"/>
    <m/>
    <m/>
    <x v="1"/>
    <n v="86"/>
    <n v="77770.73"/>
    <n v="27000"/>
    <x v="11"/>
    <x v="1"/>
    <d v="2027-01-15T00:00:00"/>
    <d v="2027-01-15T00:00:00"/>
    <d v="2027-01-29T00:00:00"/>
    <d v="2027-01-29T00:00:00"/>
    <s v="2027/W05"/>
    <s v="2027/W05"/>
    <s v="In Progress"/>
    <d v="2026-10-23T00:00:00"/>
    <m/>
    <s v="Not Started"/>
    <m/>
    <m/>
    <m/>
    <m/>
    <m/>
    <m/>
    <m/>
    <m/>
    <m/>
    <m/>
    <m/>
    <m/>
    <m/>
    <m/>
    <m/>
    <m/>
    <m/>
    <s v="Active"/>
    <m/>
    <s v="NPI: In progress: Drawing; Not started: Veneer/Wood; need approval by 23-Oct-26 for SW05"/>
    <m/>
  </r>
  <r>
    <x v="1"/>
    <x v="0"/>
    <s v="DUNG"/>
    <m/>
    <s v="MIVAN"/>
    <s v="MV"/>
    <s v="CLEVELAND CLINIC"/>
    <x v="111"/>
    <n v="0"/>
    <x v="4"/>
    <s v="NEW"/>
    <s v="1. Preliminary Design"/>
    <d v="2026-09-10T00:00:00"/>
    <d v="2026-10-09T00:00:00"/>
    <s v="Pending Deposit"/>
    <s v="US"/>
    <m/>
    <n v="23"/>
    <n v="27"/>
    <m/>
    <m/>
    <x v="1"/>
    <n v="86"/>
    <n v="77770.73"/>
    <n v="50770.729999999996"/>
    <x v="19"/>
    <x v="1"/>
    <d v="2027-01-15T00:00:00"/>
    <d v="2027-01-15T00:00:00"/>
    <d v="2027-02-26T00:00:00"/>
    <d v="2027-03-19T00:00:00"/>
    <s v="2027/W09"/>
    <s v="2027/W12"/>
    <s v="In Progress"/>
    <d v="2026-10-23T00:00:00"/>
    <m/>
    <s v="Not Started"/>
    <m/>
    <m/>
    <m/>
    <m/>
    <m/>
    <m/>
    <m/>
    <m/>
    <m/>
    <m/>
    <m/>
    <m/>
    <m/>
    <m/>
    <m/>
    <m/>
    <m/>
    <s v="Active"/>
    <m/>
    <s v="NPI: In progress: Drawing; Not started: Veneer/Wood; need approval by 23-Oct-26 for SW12"/>
    <m/>
  </r>
  <r>
    <x v="0"/>
    <x v="0"/>
    <s v="DUY"/>
    <s v="Sue Bilstad"/>
    <s v="RESTORATION HARDWARE_HS"/>
    <s v="RH"/>
    <s v="MONTAGE PENDRY BARBADOS"/>
    <x v="112"/>
    <n v="1"/>
    <x v="3"/>
    <s v="NEW"/>
    <s v="7. Mass Production"/>
    <d v="2026-06-08T00:00:00"/>
    <d v="2026-09-01T00:00:00"/>
    <m/>
    <s v="US"/>
    <s v="US"/>
    <n v="0"/>
    <n v="0"/>
    <m/>
    <m/>
    <x v="6"/>
    <n v="12"/>
    <n v="5839.5599999999995"/>
    <n v="5839.5599999999995"/>
    <x v="10"/>
    <x v="0"/>
    <m/>
    <m/>
    <d v="2026-11-20T00:00:00"/>
    <d v="2026-11-20T00:00:00"/>
    <s v="2026/W47"/>
    <s v="2026/W47"/>
    <s v="Approved"/>
    <m/>
    <d v="2026-08-20T00:00:00"/>
    <s v="Approved"/>
    <m/>
    <d v="2026-08-20T00:00:00"/>
    <s v="N/A"/>
    <m/>
    <m/>
    <s v="N/A"/>
    <m/>
    <m/>
    <s v="N/A"/>
    <m/>
    <m/>
    <s v="N/A"/>
    <m/>
    <m/>
    <s v="N/A"/>
    <m/>
    <m/>
    <s v="Active"/>
    <m/>
    <s v="NPI: All development items approved/closed for SW47"/>
    <m/>
  </r>
  <r>
    <x v="1"/>
    <x v="1"/>
    <s v="PHONG"/>
    <m/>
    <s v="SPECTRUM KITCHENS "/>
    <s v="SPECTRUM"/>
    <s v="PROJECT 550 POCKET DOORS"/>
    <x v="113"/>
    <n v="1"/>
    <x v="4"/>
    <s v="NEW"/>
    <s v="1. Preliminary Design"/>
    <d v="2026-03-09T00:00:00"/>
    <d v="2026-10-11T00:00:00"/>
    <s v="Pending Deposit"/>
    <s v="US"/>
    <m/>
    <n v="0"/>
    <n v="0"/>
    <m/>
    <m/>
    <x v="6"/>
    <n v="1"/>
    <n v="730.3"/>
    <n v="730.3"/>
    <x v="10"/>
    <x v="0"/>
    <m/>
    <m/>
    <d v="2026-11-27T00:00:00"/>
    <d v="2026-11-27T00:00:00"/>
    <s v="2026/W48"/>
    <s v="2026/W48"/>
    <s v="In Progress"/>
    <d v="2027-10-15T00:00:00"/>
    <m/>
    <s v="In Progress"/>
    <m/>
    <m/>
    <m/>
    <m/>
    <m/>
    <m/>
    <m/>
    <m/>
    <m/>
    <m/>
    <m/>
    <m/>
    <m/>
    <m/>
    <m/>
    <m/>
    <m/>
    <s v="Active"/>
    <m/>
    <s v="NPD: In progress: Drawing, Veneer/Wood; need approval by 15-Oct-27 for SW48"/>
    <m/>
  </r>
  <r>
    <x v="1"/>
    <x v="0"/>
    <s v="PHONG"/>
    <m/>
    <s v="SPECTRUM KITCHENS "/>
    <s v="SPECTRUM"/>
    <s v="PROJECT 550 POCKET DOORS"/>
    <x v="113"/>
    <n v="1"/>
    <x v="1"/>
    <s v="NEW"/>
    <s v="1. Preliminary Design"/>
    <m/>
    <m/>
    <m/>
    <s v="US"/>
    <m/>
    <n v="0"/>
    <n v="0"/>
    <m/>
    <m/>
    <x v="4"/>
    <n v="170"/>
    <n v="41833"/>
    <n v="41833"/>
    <x v="16"/>
    <x v="1"/>
    <m/>
    <m/>
    <s v="TBC"/>
    <s v="TBC"/>
    <s v="TBC"/>
    <s v="TBC"/>
    <s v="Not Started"/>
    <m/>
    <m/>
    <s v="Not Started"/>
    <m/>
    <m/>
    <m/>
    <m/>
    <m/>
    <m/>
    <m/>
    <m/>
    <m/>
    <m/>
    <m/>
    <m/>
    <m/>
    <m/>
    <m/>
    <m/>
    <m/>
    <s v="Active"/>
    <m/>
    <s v="NPI: Not started: Drawing, Veneer/Wood for SW TBC"/>
    <m/>
  </r>
  <r>
    <x v="0"/>
    <x v="0"/>
    <s v="PHONG"/>
    <m/>
    <s v="RESTORATION HARDWARE_HS"/>
    <s v="RH"/>
    <s v=" FOUR SEASONS LAS VEGAS"/>
    <x v="114"/>
    <n v="1"/>
    <x v="1"/>
    <s v="NEW"/>
    <s v="1. Preliminary Design"/>
    <m/>
    <m/>
    <m/>
    <s v="US"/>
    <s v="Nevada"/>
    <m/>
    <m/>
    <n v="31"/>
    <n v="19"/>
    <x v="2"/>
    <n v="551"/>
    <n v="358530.94"/>
    <n v="358530.94"/>
    <x v="23"/>
    <x v="1"/>
    <m/>
    <m/>
    <d v="2027-09-03T00:00:00"/>
    <d v="2027-09-03T00:00:00"/>
    <s v="2027/W36"/>
    <s v="2027/W36"/>
    <s v="Not Started"/>
    <m/>
    <m/>
    <s v="Not Started"/>
    <m/>
    <m/>
    <s v="N/A"/>
    <m/>
    <m/>
    <s v="Not Started"/>
    <m/>
    <m/>
    <s v="N/A"/>
    <m/>
    <m/>
    <s v="N/A"/>
    <m/>
    <m/>
    <s v="Not Started"/>
    <m/>
    <m/>
    <s v="Active"/>
    <m/>
    <s v="NPI: Not started: Drawing, Veneer/Wood, Metal, Fabric for SW36"/>
    <m/>
  </r>
  <r>
    <x v="0"/>
    <x v="0"/>
    <s v="DUNG"/>
    <s v="Madison Lay"/>
    <s v="RESTORATION HARDWARE_HS"/>
    <s v="RH"/>
    <s v="LAKE OCONEE TENTS"/>
    <x v="115"/>
    <n v="1"/>
    <x v="1"/>
    <s v="NEW"/>
    <s v="1. Preliminary Design"/>
    <m/>
    <s v="Pending PO "/>
    <m/>
    <s v="US"/>
    <s v="Georgia"/>
    <n v="5"/>
    <n v="23"/>
    <m/>
    <m/>
    <x v="19"/>
    <n v="32"/>
    <n v="38935.43"/>
    <n v="38935.43"/>
    <x v="16"/>
    <x v="1"/>
    <m/>
    <m/>
    <s v="TBC"/>
    <s v="TBC"/>
    <s v="TBC"/>
    <s v="TBC"/>
    <s v="Not Started"/>
    <m/>
    <m/>
    <s v="Not Started"/>
    <m/>
    <m/>
    <s v="N/A"/>
    <m/>
    <m/>
    <s v="Not Started"/>
    <m/>
    <m/>
    <s v="N/A"/>
    <m/>
    <m/>
    <s v="Not Started"/>
    <m/>
    <m/>
    <s v="COM"/>
    <m/>
    <m/>
    <s v="Active"/>
    <m/>
    <s v="NPI: Not started: Drawing, Veneer/Wood, Metal, Electrical; Fabric is com for SW TBC"/>
    <m/>
  </r>
  <r>
    <x v="1"/>
    <x v="0"/>
    <s v="TRAN"/>
    <m/>
    <s v="BISCAYNE HOSPITALITY"/>
    <s v="BISCAYNE"/>
    <s v="MCO"/>
    <x v="116"/>
    <n v="1"/>
    <x v="4"/>
    <s v="NEW"/>
    <s v="1. Preliminary Design"/>
    <d v="2026-10-07T00:00:00"/>
    <d v="2026-10-05T00:00:00"/>
    <s v="Pending Deposit"/>
    <s v="US"/>
    <s v="Orlando, Florida"/>
    <m/>
    <m/>
    <m/>
    <m/>
    <x v="4"/>
    <n v="920"/>
    <n v="333776"/>
    <n v="333776"/>
    <x v="19"/>
    <x v="1"/>
    <m/>
    <m/>
    <d v="2027-03-05T00:00:00"/>
    <d v="2027-03-15T00:00:00"/>
    <s v="2027/W10"/>
    <s v="2027/W12"/>
    <s v="In Progress"/>
    <d v="2027-10-22T00:00:00"/>
    <m/>
    <s v="In Progress"/>
    <m/>
    <m/>
    <s v="N/A"/>
    <m/>
    <m/>
    <s v="In Progress"/>
    <m/>
    <m/>
    <s v="N/A"/>
    <m/>
    <m/>
    <s v="N/A"/>
    <m/>
    <m/>
    <s v="COM"/>
    <m/>
    <m/>
    <s v="Active"/>
    <m/>
    <s v="NPI: In progress: Drawing, Veneer/Wood, Metal; Fabric is com; need approval by 22-Oct-27 for SW12"/>
    <m/>
  </r>
  <r>
    <x v="1"/>
    <x v="0"/>
    <s v="BIEN"/>
    <m/>
    <s v="FAIRFIELD"/>
    <s v="FAIRFIELD"/>
    <s v="WASHINGTON-DUKE"/>
    <x v="117"/>
    <n v="1"/>
    <x v="5"/>
    <s v="NEW"/>
    <s v="1. Preliminary Design"/>
    <m/>
    <m/>
    <m/>
    <s v="US"/>
    <s v="Washington DC"/>
    <m/>
    <m/>
    <m/>
    <m/>
    <x v="21"/>
    <n v="328"/>
    <n v="291481.96000000002"/>
    <n v="291481.96000000002"/>
    <x v="12"/>
    <x v="2"/>
    <m/>
    <m/>
    <s v="TBC"/>
    <s v="TBC"/>
    <s v="TBC"/>
    <s v="TBC"/>
    <s v="In Progress"/>
    <m/>
    <m/>
    <s v="In Progress"/>
    <m/>
    <m/>
    <m/>
    <m/>
    <m/>
    <m/>
    <m/>
    <m/>
    <m/>
    <m/>
    <m/>
    <m/>
    <m/>
    <m/>
    <m/>
    <m/>
    <m/>
    <s v="Active"/>
    <m/>
    <s v="NPI: In progress: Drawing, Veneer/Wood for SW TBC"/>
    <m/>
  </r>
  <r>
    <x v="1"/>
    <x v="1"/>
    <s v="BIEN"/>
    <m/>
    <s v="FAIRFIELD"/>
    <s v="FAIRFIELD"/>
    <s v="WASHINGTON-DUKE"/>
    <x v="118"/>
    <n v="1"/>
    <x v="1"/>
    <s v="NEW"/>
    <s v="1. Preliminary Design"/>
    <m/>
    <m/>
    <m/>
    <s v="US"/>
    <s v="Washington DC"/>
    <m/>
    <m/>
    <m/>
    <m/>
    <x v="21"/>
    <m/>
    <m/>
    <m/>
    <x v="11"/>
    <x v="1"/>
    <m/>
    <m/>
    <s v="TBC"/>
    <s v="TBC"/>
    <s v="TBC"/>
    <s v="TBC"/>
    <s v="In Progress"/>
    <m/>
    <m/>
    <s v="In Progress"/>
    <m/>
    <m/>
    <m/>
    <m/>
    <m/>
    <m/>
    <m/>
    <m/>
    <m/>
    <m/>
    <m/>
    <m/>
    <m/>
    <m/>
    <m/>
    <m/>
    <m/>
    <s v="Active"/>
    <m/>
    <s v="NPD: In progress: Drawing, Veneer/Wood for SW TBC"/>
    <m/>
  </r>
  <r>
    <x v="1"/>
    <x v="1"/>
    <s v="BIEN"/>
    <m/>
    <s v="MONDO CONTRACT"/>
    <s v="MONDO"/>
    <s v="LEXINGTON HOTEL"/>
    <x v="119"/>
    <n v="1"/>
    <x v="1"/>
    <s v="NEW"/>
    <s v="1. Preliminary Design"/>
    <m/>
    <m/>
    <m/>
    <s v="US"/>
    <s v="Lexington"/>
    <m/>
    <m/>
    <m/>
    <m/>
    <x v="7"/>
    <m/>
    <n v="14973.54"/>
    <n v="14973.54"/>
    <x v="11"/>
    <x v="1"/>
    <m/>
    <m/>
    <s v="TBC"/>
    <s v="TBC"/>
    <s v="TBC"/>
    <s v="TBC"/>
    <s v="In Progress"/>
    <m/>
    <m/>
    <s v="In Progress"/>
    <m/>
    <m/>
    <m/>
    <m/>
    <m/>
    <m/>
    <m/>
    <m/>
    <m/>
    <m/>
    <m/>
    <m/>
    <m/>
    <m/>
    <m/>
    <m/>
    <m/>
    <s v="Active"/>
    <m/>
    <s v="NPD: In progress: Drawing, Veneer/Wood for SW TBC"/>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
  <r>
    <x v="0"/>
    <x v="0"/>
    <x v="0"/>
    <s v="Sue Bilstad"/>
    <x v="0"/>
    <s v="RH"/>
    <s v="GRAND HYATT BAHA MAR "/>
    <x v="0"/>
    <n v="1"/>
    <x v="0"/>
    <s v="NEW"/>
    <s v="8. Shipment"/>
    <d v="2026-01-11T00:00:00"/>
    <d v="2026-03-17T00:00:00"/>
    <m/>
    <x v="0"/>
    <s v="Bahamas"/>
    <x v="0"/>
    <x v="0"/>
    <m/>
    <m/>
    <x v="0"/>
    <x v="0"/>
    <n v="2454228"/>
    <n v="153379"/>
    <x v="0"/>
    <x v="0"/>
    <d v="2026-05-25T00:00:00"/>
    <d v="2026-06-28T00:00:00"/>
    <d v="2026-05-31T00:00:00"/>
    <d v="2026-08-23T00:00:00"/>
    <x v="0"/>
    <x v="0"/>
    <s v="Approved"/>
    <m/>
    <m/>
    <s v="Approved"/>
    <m/>
    <m/>
    <s v="Approved"/>
    <m/>
    <m/>
    <s v="Approved"/>
    <m/>
    <m/>
    <s v="N/A"/>
    <m/>
    <m/>
    <s v="Approved"/>
    <m/>
    <m/>
    <s v="COM Received"/>
    <m/>
    <m/>
    <s v="Complete"/>
    <s v="Yes"/>
    <s v="READY"/>
    <m/>
  </r>
  <r>
    <x v="0"/>
    <x v="0"/>
    <x v="0"/>
    <s v="Sue Bilstad"/>
    <x v="0"/>
    <s v="RH"/>
    <s v="GRAND HYATT BAHA MAR"/>
    <x v="1"/>
    <n v="1"/>
    <x v="0"/>
    <s v="NEW"/>
    <s v="8. Shipment"/>
    <d v="2026-01-11T00:00:00"/>
    <d v="2026-03-17T00:00:00"/>
    <m/>
    <x v="0"/>
    <s v="Bahamas"/>
    <x v="0"/>
    <x v="0"/>
    <m/>
    <m/>
    <x v="0"/>
    <x v="0"/>
    <n v="2454228"/>
    <n v="1004676"/>
    <x v="1"/>
    <x v="0"/>
    <d v="2026-05-25T00:00:00"/>
    <d v="2026-06-28T00:00:00"/>
    <d v="2026-05-31T00:00:00"/>
    <d v="2026-08-23T00:00:00"/>
    <x v="0"/>
    <x v="0"/>
    <s v="Approved"/>
    <m/>
    <m/>
    <s v="Approved"/>
    <m/>
    <m/>
    <s v="Approved"/>
    <m/>
    <m/>
    <s v="Approved"/>
    <m/>
    <m/>
    <s v="N/A"/>
    <m/>
    <m/>
    <s v="Approved"/>
    <m/>
    <m/>
    <s v="COM Received"/>
    <m/>
    <m/>
    <s v="Complete"/>
    <s v="Yes"/>
    <s v="READY"/>
    <m/>
  </r>
  <r>
    <x v="0"/>
    <x v="0"/>
    <x v="0"/>
    <s v="Sue Bilstad"/>
    <x v="0"/>
    <s v="RH"/>
    <s v="GRAND HYATT BAHA MAR"/>
    <x v="1"/>
    <n v="0"/>
    <x v="0"/>
    <s v="NEW"/>
    <s v="8. Shipment"/>
    <d v="2026-01-11T00:00:00"/>
    <d v="2026-03-17T00:00:00"/>
    <m/>
    <x v="0"/>
    <s v="Bahamas"/>
    <x v="0"/>
    <x v="0"/>
    <m/>
    <m/>
    <x v="0"/>
    <x v="0"/>
    <n v="2454228"/>
    <n v="969712.83000000007"/>
    <x v="2"/>
    <x v="0"/>
    <d v="2026-05-25T00:00:00"/>
    <d v="2026-06-28T00:00:00"/>
    <d v="2026-05-31T00:00:00"/>
    <d v="2026-08-23T00:00:00"/>
    <x v="0"/>
    <x v="0"/>
    <s v="Approved"/>
    <m/>
    <m/>
    <s v="Approved"/>
    <m/>
    <m/>
    <s v="Approved"/>
    <m/>
    <m/>
    <s v="Approved"/>
    <m/>
    <m/>
    <s v="N/A"/>
    <m/>
    <m/>
    <s v="Approved"/>
    <m/>
    <m/>
    <s v="COM Received"/>
    <m/>
    <m/>
    <s v="Complete"/>
    <s v="Yes"/>
    <s v="READY"/>
    <m/>
  </r>
  <r>
    <x v="0"/>
    <x v="0"/>
    <x v="0"/>
    <s v="Sue Bilstad"/>
    <x v="0"/>
    <s v="RH"/>
    <s v="GRAND HYATT BAHA MAR"/>
    <x v="1"/>
    <n v="0"/>
    <x v="0"/>
    <s v="NEW"/>
    <s v="8. Shipment"/>
    <d v="2026-01-11T00:00:00"/>
    <d v="2026-03-17T00:00:00"/>
    <m/>
    <x v="0"/>
    <s v="Bahamas"/>
    <x v="0"/>
    <x v="0"/>
    <m/>
    <m/>
    <x v="0"/>
    <x v="0"/>
    <n v="2454228"/>
    <n v="308393"/>
    <x v="3"/>
    <x v="0"/>
    <d v="2026-05-25T00:00:00"/>
    <d v="2026-06-28T00:00:00"/>
    <d v="2026-05-31T00:00:00"/>
    <d v="2026-08-23T00:00:00"/>
    <x v="0"/>
    <x v="0"/>
    <s v="Approved"/>
    <m/>
    <m/>
    <s v="Approved"/>
    <m/>
    <m/>
    <s v="Approved"/>
    <m/>
    <m/>
    <s v="Approved"/>
    <m/>
    <m/>
    <s v="N/A"/>
    <m/>
    <m/>
    <s v="Approved"/>
    <m/>
    <m/>
    <s v="COM Received"/>
    <m/>
    <m/>
    <s v="Complete"/>
    <s v="Yes"/>
    <s v="READY"/>
    <m/>
  </r>
  <r>
    <x v="0"/>
    <x v="0"/>
    <x v="0"/>
    <s v="Sue Bilstad"/>
    <x v="0"/>
    <s v="RH"/>
    <s v="GRAND HYATT BAHA MAR"/>
    <x v="1"/>
    <n v="0"/>
    <x v="0"/>
    <s v="NEW"/>
    <s v="8. Shipment"/>
    <d v="2026-01-11T00:00:00"/>
    <d v="2026-03-17T00:00:00"/>
    <m/>
    <x v="0"/>
    <s v="Bahamas"/>
    <x v="1"/>
    <x v="1"/>
    <m/>
    <m/>
    <x v="0"/>
    <x v="0"/>
    <n v="2454228"/>
    <n v="18067"/>
    <x v="3"/>
    <x v="0"/>
    <d v="2026-05-25T00:00:00"/>
    <d v="2026-06-28T00:00:00"/>
    <d v="2026-05-31T00:00:00"/>
    <d v="2026-08-23T00:00:00"/>
    <x v="0"/>
    <x v="0"/>
    <s v="Approved"/>
    <m/>
    <m/>
    <s v="Approved"/>
    <m/>
    <m/>
    <s v="Approved"/>
    <m/>
    <m/>
    <s v="Approved"/>
    <m/>
    <m/>
    <s v="N/A"/>
    <m/>
    <m/>
    <s v="Approved"/>
    <m/>
    <m/>
    <s v="COM Received"/>
    <m/>
    <m/>
    <s v="Complete"/>
    <s v="Yes"/>
    <s v="READY"/>
    <m/>
  </r>
  <r>
    <x v="0"/>
    <x v="0"/>
    <x v="1"/>
    <s v="Sue Bilstad"/>
    <x v="0"/>
    <s v="RH"/>
    <s v="GRAND HYATT BAHA MAR-PHASE 2"/>
    <x v="2"/>
    <n v="1"/>
    <x v="1"/>
    <s v="NEW"/>
    <s v="1. Preliminary Design"/>
    <m/>
    <m/>
    <m/>
    <x v="0"/>
    <s v="Bahamas"/>
    <x v="1"/>
    <x v="1"/>
    <m/>
    <m/>
    <x v="1"/>
    <x v="0"/>
    <n v="2936224.52"/>
    <n v="1000000"/>
    <x v="4"/>
    <x v="1"/>
    <m/>
    <m/>
    <d v="2027-06-11T00:00:00"/>
    <d v="2027-08-27T00:00:00"/>
    <x v="1"/>
    <x v="1"/>
    <s v="Not Started"/>
    <m/>
    <m/>
    <s v="Not Started"/>
    <m/>
    <m/>
    <s v="Not Started"/>
    <m/>
    <m/>
    <s v="Not Started"/>
    <m/>
    <m/>
    <s v="N/A"/>
    <m/>
    <m/>
    <s v="Not Started"/>
    <m/>
    <m/>
    <s v="Not Started"/>
    <m/>
    <m/>
    <s v="Active"/>
    <s v="Yes"/>
    <s v="NPI: Not started: Drawing, Veneer/Wood, Marble, Metal, Electrical, Fabric for SW35"/>
    <m/>
  </r>
  <r>
    <x v="0"/>
    <x v="0"/>
    <x v="1"/>
    <s v="Sue Bilstad"/>
    <x v="0"/>
    <s v="RH"/>
    <s v="GRAND HYATT BAHA MAR-PHASE 2"/>
    <x v="2"/>
    <n v="0"/>
    <x v="1"/>
    <s v="NEW"/>
    <s v="1. Preliminary Design"/>
    <m/>
    <m/>
    <m/>
    <x v="0"/>
    <s v="Bahamas"/>
    <x v="1"/>
    <x v="1"/>
    <m/>
    <m/>
    <x v="1"/>
    <x v="0"/>
    <n v="2936224.52"/>
    <n v="1000000"/>
    <x v="5"/>
    <x v="1"/>
    <m/>
    <m/>
    <d v="2027-06-11T00:00:00"/>
    <d v="2027-08-27T00:00:00"/>
    <x v="1"/>
    <x v="1"/>
    <s v="Not Started"/>
    <m/>
    <m/>
    <s v="Not Started"/>
    <m/>
    <m/>
    <s v="Not Started"/>
    <m/>
    <m/>
    <s v="Not Started"/>
    <m/>
    <m/>
    <s v="N/A"/>
    <m/>
    <m/>
    <s v="Not Started"/>
    <m/>
    <m/>
    <s v="Not Started"/>
    <m/>
    <m/>
    <s v="Active"/>
    <s v="Yes"/>
    <s v="NPI: Not started: Drawing, Veneer/Wood, Marble, Metal, Electrical, Fabric for SW35"/>
    <m/>
  </r>
  <r>
    <x v="0"/>
    <x v="0"/>
    <x v="1"/>
    <s v="Sue Bilstad"/>
    <x v="0"/>
    <s v="RH"/>
    <s v="GRAND HYATT BAHA MAR-PHASE 2"/>
    <x v="2"/>
    <n v="0"/>
    <x v="1"/>
    <s v="NEW"/>
    <s v="1. Preliminary Design"/>
    <m/>
    <m/>
    <m/>
    <x v="0"/>
    <s v="Bahamas"/>
    <x v="1"/>
    <x v="1"/>
    <m/>
    <m/>
    <x v="1"/>
    <x v="0"/>
    <n v="2936224.52"/>
    <n v="936224.52"/>
    <x v="6"/>
    <x v="1"/>
    <m/>
    <m/>
    <d v="2027-06-11T00:00:00"/>
    <d v="2027-08-27T00:00:00"/>
    <x v="1"/>
    <x v="1"/>
    <s v="Not Started"/>
    <m/>
    <m/>
    <s v="Not Started"/>
    <m/>
    <m/>
    <s v="Not Started"/>
    <m/>
    <m/>
    <s v="Not Started"/>
    <m/>
    <m/>
    <s v="N/A"/>
    <m/>
    <m/>
    <s v="Not Started"/>
    <m/>
    <m/>
    <s v="Not Started"/>
    <m/>
    <m/>
    <s v="Active"/>
    <s v="Yes"/>
    <s v="NPI: Not started: Drawing, Veneer/Wood, Marble, Metal, Electrical, Fabric for SW35"/>
    <m/>
  </r>
  <r>
    <x v="0"/>
    <x v="0"/>
    <x v="2"/>
    <s v="Sue Bilstad"/>
    <x v="0"/>
    <s v="RH"/>
    <s v="FOX HARBOR"/>
    <x v="3"/>
    <n v="1"/>
    <x v="0"/>
    <s v="REO"/>
    <s v="8. Shipment"/>
    <d v="2025-09-17T00:00:00"/>
    <s v="-"/>
    <m/>
    <x v="1"/>
    <s v="Canada"/>
    <x v="0"/>
    <x v="0"/>
    <m/>
    <m/>
    <x v="0"/>
    <x v="0"/>
    <n v="30383.55"/>
    <n v="30383.55"/>
    <x v="7"/>
    <x v="0"/>
    <s v="-"/>
    <m/>
    <d v="2026-04-04T00:00:00"/>
    <d v="2026-04-04T00:00:00"/>
    <x v="2"/>
    <x v="2"/>
    <s v="Approved"/>
    <m/>
    <m/>
    <s v="Approved"/>
    <m/>
    <m/>
    <s v="N/A"/>
    <m/>
    <m/>
    <s v="Approved"/>
    <m/>
    <m/>
    <s v="N/A"/>
    <m/>
    <m/>
    <s v="N/A"/>
    <m/>
    <m/>
    <s v="COM"/>
    <m/>
    <m/>
    <s v="Complete"/>
    <s v="Yes"/>
    <s v="READY"/>
    <m/>
  </r>
  <r>
    <x v="0"/>
    <x v="0"/>
    <x v="0"/>
    <s v="Sue Bilstad"/>
    <x v="0"/>
    <s v="RH"/>
    <s v="RH CASSIA CONDO"/>
    <x v="4"/>
    <n v="1"/>
    <x v="0"/>
    <s v="NEW"/>
    <s v="8. Shipment"/>
    <d v="2025-12-29T00:00:00"/>
    <d v="2026-03-20T00:00:00"/>
    <m/>
    <x v="2"/>
    <s v="FL"/>
    <x v="0"/>
    <x v="0"/>
    <m/>
    <m/>
    <x v="2"/>
    <x v="0"/>
    <n v="1161167"/>
    <n v="269518"/>
    <x v="2"/>
    <x v="0"/>
    <d v="2026-07-31T00:00:00"/>
    <d v="2026-08-07T00:00:00"/>
    <d v="2026-07-20T00:00:00"/>
    <d v="2026-09-04T00:00:00"/>
    <x v="3"/>
    <x v="3"/>
    <s v="Approved"/>
    <m/>
    <m/>
    <s v="Approved"/>
    <m/>
    <m/>
    <s v="N/A"/>
    <m/>
    <m/>
    <s v="Approved"/>
    <m/>
    <m/>
    <s v="N/A"/>
    <m/>
    <m/>
    <s v="N/A"/>
    <m/>
    <m/>
    <s v="COM"/>
    <m/>
    <s v="13/6/2026"/>
    <s v="Complete"/>
    <s v="Yes"/>
    <s v="READY"/>
    <m/>
  </r>
  <r>
    <x v="0"/>
    <x v="0"/>
    <x v="0"/>
    <s v="Sue Bilstad"/>
    <x v="0"/>
    <s v="RH"/>
    <s v="RH CASSIA CONDO"/>
    <x v="4"/>
    <n v="0"/>
    <x v="0"/>
    <s v="NEW"/>
    <s v="8. Shipment"/>
    <d v="2025-12-29T00:00:00"/>
    <d v="2026-03-20T00:00:00"/>
    <m/>
    <x v="2"/>
    <s v="FL"/>
    <x v="0"/>
    <x v="0"/>
    <m/>
    <m/>
    <x v="2"/>
    <x v="0"/>
    <n v="1161167"/>
    <n v="760037"/>
    <x v="3"/>
    <x v="0"/>
    <d v="2026-07-31T00:00:00"/>
    <d v="2026-08-07T00:00:00"/>
    <d v="2026-07-20T00:00:00"/>
    <d v="2026-09-04T00:00:00"/>
    <x v="3"/>
    <x v="3"/>
    <s v="Approved"/>
    <m/>
    <m/>
    <s v="Approved"/>
    <m/>
    <m/>
    <s v="N/A"/>
    <m/>
    <m/>
    <s v="Approved"/>
    <m/>
    <m/>
    <s v="N/A"/>
    <m/>
    <m/>
    <s v="N/A"/>
    <m/>
    <m/>
    <s v="COM Received"/>
    <m/>
    <s v="13/6/2026"/>
    <s v="Complete"/>
    <s v="Yes"/>
    <s v="READY"/>
    <m/>
  </r>
  <r>
    <x v="0"/>
    <x v="0"/>
    <x v="0"/>
    <s v="Sue Bilstad"/>
    <x v="0"/>
    <s v="RH"/>
    <s v="RH CASSIA CONDO"/>
    <x v="4"/>
    <n v="0"/>
    <x v="0"/>
    <s v="NEW"/>
    <s v="8. Shipment"/>
    <d v="2025-12-29T00:00:00"/>
    <d v="2026-03-20T00:00:00"/>
    <m/>
    <x v="2"/>
    <s v="FL"/>
    <x v="1"/>
    <x v="1"/>
    <m/>
    <m/>
    <x v="2"/>
    <x v="0"/>
    <n v="1161167"/>
    <n v="131612"/>
    <x v="8"/>
    <x v="0"/>
    <d v="2026-07-31T00:00:00"/>
    <d v="2026-08-07T00:00:00"/>
    <d v="2026-07-20T00:00:00"/>
    <d v="2026-09-04T00:00:00"/>
    <x v="3"/>
    <x v="3"/>
    <s v="Approved"/>
    <m/>
    <m/>
    <s v="Approved"/>
    <m/>
    <m/>
    <s v="N/A"/>
    <m/>
    <m/>
    <s v="Approved"/>
    <m/>
    <m/>
    <s v="N/A"/>
    <m/>
    <m/>
    <s v="N/A"/>
    <m/>
    <m/>
    <s v="COM Received"/>
    <m/>
    <s v="13/6/2026"/>
    <s v="Complete"/>
    <s v="Yes"/>
    <s v="READY"/>
    <m/>
  </r>
  <r>
    <x v="0"/>
    <x v="0"/>
    <x v="3"/>
    <s v="Sue Bilstad"/>
    <x v="0"/>
    <s v="RH"/>
    <s v="MAIN STREET BOUTIQUE HOTEL"/>
    <x v="5"/>
    <n v="1"/>
    <x v="0"/>
    <s v="NEW"/>
    <s v="8. Shipment"/>
    <d v="2025-10-23T00:00:00"/>
    <d v="2025-11-03T00:00:00"/>
    <m/>
    <x v="2"/>
    <s v="CA"/>
    <x v="0"/>
    <x v="0"/>
    <m/>
    <m/>
    <x v="3"/>
    <x v="0"/>
    <n v="54061.599999999999"/>
    <n v="54061.599999999999"/>
    <x v="7"/>
    <x v="0"/>
    <s v="-"/>
    <m/>
    <d v="2026-04-04T00:00:00"/>
    <d v="2026-04-04T00:00:00"/>
    <x v="2"/>
    <x v="2"/>
    <s v="Approved"/>
    <m/>
    <m/>
    <s v="Approved"/>
    <m/>
    <m/>
    <s v="N/A"/>
    <m/>
    <m/>
    <s v="Approved"/>
    <m/>
    <m/>
    <s v="Approved"/>
    <m/>
    <m/>
    <s v="Approved"/>
    <m/>
    <m/>
    <s v="COM"/>
    <m/>
    <m/>
    <s v="Complete"/>
    <s v="Yes"/>
    <s v="READY"/>
    <m/>
  </r>
  <r>
    <x v="0"/>
    <x v="0"/>
    <x v="3"/>
    <m/>
    <x v="0"/>
    <s v="RH"/>
    <s v="CHICAGO PENDRY"/>
    <x v="6"/>
    <n v="1"/>
    <x v="2"/>
    <s v="NEW"/>
    <s v="4. Prototype Build"/>
    <d v="2025-06-20T00:00:00"/>
    <m/>
    <m/>
    <x v="2"/>
    <s v="IL"/>
    <x v="0"/>
    <x v="0"/>
    <m/>
    <m/>
    <x v="4"/>
    <x v="0"/>
    <n v="135705"/>
    <n v="135705"/>
    <x v="9"/>
    <x v="0"/>
    <s v="-"/>
    <m/>
    <d v="2026-04-04T00:00:00"/>
    <d v="2026-04-04T00:00:00"/>
    <x v="2"/>
    <x v="2"/>
    <s v="In Progress"/>
    <m/>
    <m/>
    <m/>
    <m/>
    <m/>
    <m/>
    <m/>
    <m/>
    <m/>
    <m/>
    <m/>
    <m/>
    <m/>
    <m/>
    <m/>
    <m/>
    <m/>
    <m/>
    <m/>
    <m/>
    <s v="Complete"/>
    <s v="Yes"/>
    <s v="NPI: In progress: Drawing for SW14"/>
    <m/>
  </r>
  <r>
    <x v="0"/>
    <x v="0"/>
    <x v="3"/>
    <s v="Sue Bilstad"/>
    <x v="0"/>
    <s v="RH"/>
    <s v="CIA O&amp;O GUESTROOMS"/>
    <x v="7"/>
    <n v="1"/>
    <x v="1"/>
    <s v="NEW"/>
    <s v="4. Prototype Build"/>
    <m/>
    <m/>
    <m/>
    <x v="2"/>
    <s v="CA"/>
    <x v="1"/>
    <x v="1"/>
    <m/>
    <m/>
    <x v="5"/>
    <x v="0"/>
    <n v="143556.08999999997"/>
    <n v="143556.08999999997"/>
    <x v="5"/>
    <x v="1"/>
    <s v="-"/>
    <m/>
    <d v="2026-07-03T00:00:00"/>
    <d v="2026-07-10T00:00:00"/>
    <x v="4"/>
    <x v="4"/>
    <s v="Approved"/>
    <m/>
    <m/>
    <s v="Approved"/>
    <m/>
    <m/>
    <s v="Approved"/>
    <m/>
    <m/>
    <s v="Approved"/>
    <m/>
    <m/>
    <s v="Approved"/>
    <m/>
    <m/>
    <s v="N/A"/>
    <m/>
    <m/>
    <s v="COM"/>
    <m/>
    <m/>
    <s v="Active"/>
    <s v="Yes"/>
    <s v="NPI: Fabric is com for SW28"/>
    <s v="Prototype shipped. Awaiting for PO for mass production"/>
  </r>
  <r>
    <x v="0"/>
    <x v="0"/>
    <x v="4"/>
    <s v="Sue Bilstad"/>
    <x v="0"/>
    <s v="RH"/>
    <s v="HA STUDIO PICO/WILKINS"/>
    <x v="8"/>
    <n v="1"/>
    <x v="0"/>
    <s v="NEW"/>
    <s v="1. Preliminary Design"/>
    <d v="2026-01-05T00:00:00"/>
    <d v="2026-01-26T00:00:00"/>
    <m/>
    <x v="2"/>
    <s v="CA"/>
    <x v="0"/>
    <x v="0"/>
    <m/>
    <m/>
    <x v="6"/>
    <x v="0"/>
    <n v="12309"/>
    <n v="12309"/>
    <x v="1"/>
    <x v="0"/>
    <d v="2026-05-29T00:00:00"/>
    <d v="2026-06-16T00:00:00"/>
    <d v="2026-04-04T00:00:00"/>
    <d v="2026-04-04T00:00:00"/>
    <x v="2"/>
    <x v="2"/>
    <s v="Approved"/>
    <m/>
    <d v="2026-02-05T00:00:00"/>
    <s v="Approved"/>
    <m/>
    <d v="2026-02-05T00:00:00"/>
    <s v="N/A"/>
    <m/>
    <m/>
    <s v="Approved"/>
    <m/>
    <d v="2026-02-05T00:00:00"/>
    <s v="N/A"/>
    <m/>
    <m/>
    <s v="N/A"/>
    <m/>
    <m/>
    <s v="N/A"/>
    <m/>
    <m/>
    <s v="Complete"/>
    <s v="Yes"/>
    <s v="READY"/>
    <m/>
  </r>
  <r>
    <x v="0"/>
    <x v="0"/>
    <x v="5"/>
    <s v="Sue Bilstad"/>
    <x v="0"/>
    <s v="RH"/>
    <s v="HA STUDIO PICO/WILKINS-REODER"/>
    <x v="9"/>
    <n v="1"/>
    <x v="3"/>
    <s v="REO"/>
    <s v="7. Mass Production"/>
    <d v="2026-07-24T00:00:00"/>
    <d v="2026-07-27T00:00:00"/>
    <m/>
    <x v="2"/>
    <s v="CA"/>
    <x v="1"/>
    <x v="1"/>
    <m/>
    <m/>
    <x v="6"/>
    <x v="1"/>
    <n v="3454"/>
    <n v="3454"/>
    <x v="10"/>
    <x v="0"/>
    <m/>
    <m/>
    <d v="2026-11-20T00:00:00"/>
    <d v="2026-11-20T00:00:00"/>
    <x v="5"/>
    <x v="5"/>
    <s v="Approved"/>
    <m/>
    <d v="2026-02-05T00:00:00"/>
    <s v="Approved"/>
    <m/>
    <d v="2026-02-05T00:00:00"/>
    <s v="N/A"/>
    <m/>
    <m/>
    <s v="Approved"/>
    <m/>
    <d v="2026-02-05T00:00:00"/>
    <s v="N/A"/>
    <m/>
    <m/>
    <s v="N/A"/>
    <m/>
    <m/>
    <s v="N/A"/>
    <m/>
    <m/>
    <s v="Active"/>
    <s v="Yes"/>
    <s v="NPI: All development items approved/closed for SW47"/>
    <m/>
  </r>
  <r>
    <x v="0"/>
    <x v="0"/>
    <x v="5"/>
    <s v="Madison Lay"/>
    <x v="0"/>
    <s v="RH"/>
    <s v="NAMA LISBON"/>
    <x v="10"/>
    <n v="1"/>
    <x v="0"/>
    <s v="NEW"/>
    <s v="7. Mass Production"/>
    <d v="2026-01-15T00:00:00"/>
    <d v="2026-03-02T00:00:00"/>
    <m/>
    <x v="3"/>
    <s v="Portugal"/>
    <x v="1"/>
    <x v="1"/>
    <m/>
    <m/>
    <x v="7"/>
    <x v="2"/>
    <n v="202175"/>
    <n v="74720"/>
    <x v="8"/>
    <x v="0"/>
    <d v="2026-05-21T00:00:00"/>
    <d v="2026-05-28T00:00:00"/>
    <d v="2026-09-13T00:00:00"/>
    <d v="2026-09-13T00:00:00"/>
    <x v="6"/>
    <x v="6"/>
    <s v="Approved"/>
    <m/>
    <d v="2026-03-02T00:00:00"/>
    <s v="Approved"/>
    <m/>
    <d v="2026-03-02T00:00:00"/>
    <s v="N/A"/>
    <m/>
    <m/>
    <s v="Approved"/>
    <m/>
    <m/>
    <s v="N/A"/>
    <m/>
    <m/>
    <s v="N/A"/>
    <m/>
    <m/>
    <s v="N/A"/>
    <m/>
    <m/>
    <s v="Complete"/>
    <s v="Yes"/>
    <s v="READY"/>
    <m/>
  </r>
  <r>
    <x v="0"/>
    <x v="0"/>
    <x v="5"/>
    <s v="Madison Lay"/>
    <x v="0"/>
    <s v="RH"/>
    <s v="NAMA LISBON"/>
    <x v="10"/>
    <n v="0"/>
    <x v="3"/>
    <s v="NEW"/>
    <s v="7. Mass Production"/>
    <d v="2026-01-15T00:00:00"/>
    <d v="2026-03-02T00:00:00"/>
    <m/>
    <x v="3"/>
    <s v="Portugal"/>
    <x v="1"/>
    <x v="1"/>
    <m/>
    <m/>
    <x v="7"/>
    <x v="3"/>
    <n v="202175"/>
    <n v="127455"/>
    <x v="9"/>
    <x v="0"/>
    <d v="2026-05-21T00:00:00"/>
    <d v="2026-05-28T00:00:00"/>
    <d v="2026-10-30T00:00:00"/>
    <d v="2026-10-30T00:00:00"/>
    <x v="7"/>
    <x v="7"/>
    <s v="Approved"/>
    <m/>
    <d v="2026-03-02T00:00:00"/>
    <s v="Approved"/>
    <m/>
    <d v="2026-03-02T00:00:00"/>
    <s v="N/A"/>
    <m/>
    <m/>
    <s v="Approved"/>
    <m/>
    <m/>
    <s v="N/A"/>
    <m/>
    <m/>
    <s v="N/A"/>
    <m/>
    <m/>
    <s v="N/A"/>
    <m/>
    <m/>
    <s v="Active"/>
    <s v="Yes"/>
    <s v="NPI: All development items approved/closed for SW44"/>
    <m/>
  </r>
  <r>
    <x v="0"/>
    <x v="0"/>
    <x v="5"/>
    <s v="Madison Lay"/>
    <x v="0"/>
    <s v="RH"/>
    <s v="NAMA LISBON-PUBLIC SPACE "/>
    <x v="11"/>
    <n v="1"/>
    <x v="4"/>
    <s v="NEW"/>
    <s v="2. Product &amp; Process Dev"/>
    <d v="2026-10-02T00:00:00"/>
    <s v="Pending PO "/>
    <m/>
    <x v="3"/>
    <s v="Portugal"/>
    <x v="2"/>
    <x v="2"/>
    <m/>
    <m/>
    <x v="6"/>
    <x v="4"/>
    <n v="2190.15"/>
    <n v="2190.15"/>
    <x v="11"/>
    <x v="1"/>
    <d v="2026-05-21T00:00:00"/>
    <d v="2026-05-28T00:00:00"/>
    <d v="2027-01-22T00:00:00"/>
    <d v="2027-01-22T00:00:00"/>
    <x v="8"/>
    <x v="8"/>
    <s v="Pending Approval"/>
    <d v="2026-10-16T00:00:00"/>
    <m/>
    <s v="Pending Approval"/>
    <d v="2026-10-16T00:00:00"/>
    <m/>
    <s v="N/A"/>
    <m/>
    <m/>
    <s v="N/A"/>
    <m/>
    <m/>
    <s v="N/A"/>
    <m/>
    <m/>
    <s v="In Progress"/>
    <m/>
    <m/>
    <s v="N/A"/>
    <m/>
    <m/>
    <s v="Active"/>
    <s v="Yes"/>
    <s v="NPI: In progress: Electrical; Pending approval: Drawing, Veneer/Wood; need approval by 16-Oct-26 for SW04"/>
    <s v="Need PO this week WK42"/>
  </r>
  <r>
    <x v="0"/>
    <x v="0"/>
    <x v="0"/>
    <m/>
    <x v="0"/>
    <s v="RH"/>
    <s v="RANCHO VALENCIA"/>
    <x v="12"/>
    <n v="1"/>
    <x v="5"/>
    <s v="NEW"/>
    <s v="2. Product &amp; Process Dev"/>
    <d v="2026-01-07T00:00:00"/>
    <s v="-"/>
    <m/>
    <x v="2"/>
    <s v="CA"/>
    <x v="3"/>
    <x v="3"/>
    <m/>
    <m/>
    <x v="6"/>
    <x v="0"/>
    <n v="14520"/>
    <n v="14520"/>
    <x v="12"/>
    <x v="2"/>
    <s v="-"/>
    <m/>
    <s v="TBC"/>
    <s v="TBC"/>
    <x v="9"/>
    <x v="9"/>
    <s v="Pending Approval"/>
    <m/>
    <m/>
    <s v="Approved"/>
    <m/>
    <m/>
    <s v="N/A"/>
    <m/>
    <m/>
    <s v="N/A"/>
    <m/>
    <m/>
    <s v="N/A"/>
    <m/>
    <m/>
    <s v="N/A"/>
    <m/>
    <m/>
    <s v="COM"/>
    <m/>
    <m/>
    <s v="Active"/>
    <s v="Yes"/>
    <s v="NPI: Pending approval: Drawing; Fabric is com for SW TBC"/>
    <m/>
  </r>
  <r>
    <x v="0"/>
    <x v="0"/>
    <x v="6"/>
    <s v="Sue Bilstad"/>
    <x v="0"/>
    <s v="RH"/>
    <s v="RH CONTRACT (LARA CHAIR 25)"/>
    <x v="13"/>
    <n v="1"/>
    <x v="0"/>
    <s v="REO"/>
    <s v="8. Shipment"/>
    <m/>
    <d v="2026-01-12T00:00:00"/>
    <m/>
    <x v="2"/>
    <s v="CA"/>
    <x v="0"/>
    <x v="0"/>
    <m/>
    <m/>
    <x v="6"/>
    <x v="0"/>
    <n v="4200"/>
    <n v="4200"/>
    <x v="13"/>
    <x v="0"/>
    <s v="2026/W13"/>
    <m/>
    <d v="2026-04-04T00:00:00"/>
    <d v="2026-04-04T00:00:00"/>
    <x v="2"/>
    <x v="2"/>
    <s v="Approved"/>
    <m/>
    <m/>
    <s v="Approved"/>
    <m/>
    <m/>
    <s v="N/A"/>
    <m/>
    <m/>
    <s v="N/A"/>
    <m/>
    <m/>
    <s v="N/A"/>
    <m/>
    <m/>
    <s v="N/A"/>
    <m/>
    <m/>
    <s v="COM"/>
    <m/>
    <m/>
    <s v="Complete"/>
    <s v="Yes"/>
    <s v="READY"/>
    <m/>
  </r>
  <r>
    <x v="0"/>
    <x v="1"/>
    <x v="7"/>
    <s v="Sue Bilstad"/>
    <x v="0"/>
    <s v="RH"/>
    <s v="RH TRUMP SUITES NYC"/>
    <x v="14"/>
    <n v="1"/>
    <x v="0"/>
    <s v="NEW"/>
    <s v="8. Shipment"/>
    <d v="2025-06-23T00:00:00"/>
    <d v="2026-02-25T00:00:00"/>
    <m/>
    <x v="2"/>
    <s v="NY"/>
    <x v="0"/>
    <x v="0"/>
    <m/>
    <m/>
    <x v="6"/>
    <x v="0"/>
    <n v="1234.8599999999999"/>
    <n v="1234.8599999999999"/>
    <x v="1"/>
    <x v="0"/>
    <d v="2026-06-19T00:00:00"/>
    <d v="2026-06-19T00:00:00"/>
    <d v="2026-04-04T00:00:00"/>
    <d v="2026-04-04T00:00:00"/>
    <x v="2"/>
    <x v="2"/>
    <s v="Approved"/>
    <m/>
    <m/>
    <s v="Approved"/>
    <m/>
    <m/>
    <s v="N/A"/>
    <m/>
    <m/>
    <s v="Approved"/>
    <m/>
    <m/>
    <s v="N/A"/>
    <m/>
    <m/>
    <s v="N/A"/>
    <m/>
    <m/>
    <s v="N/A"/>
    <m/>
    <m/>
    <s v="Complete"/>
    <s v="Yes"/>
    <s v="READY"/>
    <m/>
  </r>
  <r>
    <x v="0"/>
    <x v="0"/>
    <x v="2"/>
    <s v="Madison Lay"/>
    <x v="0"/>
    <s v="RH"/>
    <s v="TRUMP DORAL"/>
    <x v="15"/>
    <n v="1"/>
    <x v="0"/>
    <s v="REO"/>
    <s v="8. Shipment"/>
    <d v="2024-11-01T00:00:00"/>
    <d v="2026-04-08T00:00:00"/>
    <m/>
    <x v="2"/>
    <s v="FL"/>
    <x v="0"/>
    <x v="0"/>
    <m/>
    <m/>
    <x v="6"/>
    <x v="0"/>
    <n v="1375.5"/>
    <n v="1375.5"/>
    <x v="2"/>
    <x v="0"/>
    <d v="2026-06-19T00:00:00"/>
    <d v="2026-06-19T00:00:00"/>
    <d v="2026-04-04T00:00:00"/>
    <d v="2026-04-04T00:00:00"/>
    <x v="2"/>
    <x v="2"/>
    <s v="Approved"/>
    <m/>
    <m/>
    <s v="Approved"/>
    <m/>
    <m/>
    <s v="N/A"/>
    <m/>
    <m/>
    <s v="Approved"/>
    <m/>
    <m/>
    <s v="N/A"/>
    <m/>
    <m/>
    <s v="N/A"/>
    <m/>
    <m/>
    <s v="COM"/>
    <m/>
    <m/>
    <s v="Complete"/>
    <s v="Yes"/>
    <s v="READY"/>
    <m/>
  </r>
  <r>
    <x v="0"/>
    <x v="0"/>
    <x v="8"/>
    <s v="Sue Bilstad"/>
    <x v="0"/>
    <s v="RH"/>
    <s v="RH TRUMP SUITES NYC"/>
    <x v="16"/>
    <n v="1"/>
    <x v="1"/>
    <s v="NEW"/>
    <s v="3. Prototype Readiness"/>
    <d v="2026-04-24T00:00:00"/>
    <m/>
    <m/>
    <x v="2"/>
    <s v="NY"/>
    <x v="4"/>
    <x v="4"/>
    <m/>
    <m/>
    <x v="8"/>
    <x v="0"/>
    <n v="1074318.51"/>
    <n v="537160"/>
    <x v="14"/>
    <x v="1"/>
    <s v="-"/>
    <m/>
    <d v="2027-05-08T00:00:00"/>
    <d v="2027-06-26T00:00:00"/>
    <x v="10"/>
    <x v="10"/>
    <s v="Pending Approval"/>
    <m/>
    <m/>
    <s v="Approved"/>
    <m/>
    <m/>
    <s v="N/A"/>
    <m/>
    <m/>
    <s v="Approved"/>
    <m/>
    <m/>
    <s v="N/A"/>
    <m/>
    <m/>
    <s v="In Progress"/>
    <m/>
    <m/>
    <s v="COM"/>
    <m/>
    <m/>
    <s v="Active"/>
    <s v="Yes"/>
    <s v="NPI: In progress: Electrical; Pending approval: Drawing; Fabric is com for SW26"/>
    <m/>
  </r>
  <r>
    <x v="0"/>
    <x v="0"/>
    <x v="8"/>
    <s v="Sue Bilstad"/>
    <x v="0"/>
    <s v="RH"/>
    <s v="RH TRUMP SUITES NYC"/>
    <x v="16"/>
    <n v="0"/>
    <x v="1"/>
    <s v="NEW"/>
    <s v="3. Prototype Readiness"/>
    <d v="2026-04-24T00:00:00"/>
    <m/>
    <m/>
    <x v="2"/>
    <s v="NY"/>
    <x v="4"/>
    <x v="4"/>
    <m/>
    <m/>
    <x v="8"/>
    <x v="0"/>
    <n v="1074318.51"/>
    <n v="537158.51"/>
    <x v="4"/>
    <x v="1"/>
    <s v="-"/>
    <m/>
    <d v="2027-05-08T00:00:00"/>
    <d v="2027-06-26T00:00:00"/>
    <x v="10"/>
    <x v="10"/>
    <s v="Pending Approval"/>
    <m/>
    <m/>
    <s v="Approved"/>
    <m/>
    <m/>
    <s v="N/A"/>
    <m/>
    <m/>
    <s v="Approved"/>
    <m/>
    <m/>
    <s v="N/A"/>
    <m/>
    <m/>
    <s v="In Progress"/>
    <m/>
    <m/>
    <s v="COM"/>
    <m/>
    <m/>
    <s v="Active"/>
    <s v="Yes"/>
    <s v="NPI: In progress: Electrical; Pending approval: Drawing; Fabric is com for SW26"/>
    <m/>
  </r>
  <r>
    <x v="0"/>
    <x v="1"/>
    <x v="1"/>
    <s v="Sue Bilstad"/>
    <x v="0"/>
    <s v="RH"/>
    <s v="ROSEWOOD CALISTOGA"/>
    <x v="17"/>
    <n v="1"/>
    <x v="0"/>
    <s v="NEW"/>
    <s v="8. Shipment"/>
    <d v="2026-04-24T00:00:00"/>
    <d v="2026-05-05T00:00:00"/>
    <m/>
    <x v="2"/>
    <s v="CA"/>
    <x v="0"/>
    <x v="0"/>
    <m/>
    <m/>
    <x v="9"/>
    <x v="0"/>
    <n v="1046.75"/>
    <n v="1046.75"/>
    <x v="1"/>
    <x v="0"/>
    <d v="2026-06-10T00:00:00"/>
    <d v="2026-06-10T00:00:00"/>
    <d v="2026-04-04T00:00:00"/>
    <d v="2026-04-04T00:00:00"/>
    <x v="2"/>
    <x v="2"/>
    <s v="Approved"/>
    <m/>
    <d v="2026-05-22T00:00:00"/>
    <s v="Approved"/>
    <m/>
    <d v="2026-06-26T00:00:00"/>
    <s v="N/A"/>
    <m/>
    <m/>
    <s v="Approved"/>
    <m/>
    <d v="2026-06-18T00:00:00"/>
    <s v="N/A"/>
    <m/>
    <m/>
    <s v="N/A"/>
    <m/>
    <m/>
    <s v="COM"/>
    <m/>
    <d v="2026-06-02T00:00:00"/>
    <s v="Complete"/>
    <s v="Yes"/>
    <s v="READY"/>
    <m/>
  </r>
  <r>
    <x v="0"/>
    <x v="0"/>
    <x v="1"/>
    <s v="Sue Bilstad"/>
    <x v="0"/>
    <s v="RH"/>
    <s v="ROSEWOOD CALISTOGA"/>
    <x v="18"/>
    <n v="1"/>
    <x v="3"/>
    <s v="NEW"/>
    <s v="7. Mass Production"/>
    <d v="2025-07-23T00:00:00"/>
    <d v="2026-05-28T00:00:00"/>
    <m/>
    <x v="2"/>
    <s v="CA"/>
    <x v="1"/>
    <x v="1"/>
    <m/>
    <m/>
    <x v="10"/>
    <x v="5"/>
    <n v="311473.76000000007"/>
    <n v="239023"/>
    <x v="10"/>
    <x v="0"/>
    <d v="2026-10-26T00:00:00"/>
    <d v="2026-10-30T00:00:00"/>
    <d v="2026-11-06T00:00:00"/>
    <d v="2026-12-11T00:00:00"/>
    <x v="11"/>
    <x v="11"/>
    <s v="Approved"/>
    <m/>
    <d v="2026-06-03T00:00:00"/>
    <s v="Approved"/>
    <m/>
    <d v="2026-07-02T00:00:00"/>
    <s v="Approved"/>
    <m/>
    <d v="2026-05-26T00:00:00"/>
    <s v="Approved"/>
    <m/>
    <d v="2026-06-18T00:00:00"/>
    <s v="N/A"/>
    <m/>
    <m/>
    <s v="N/A"/>
    <m/>
    <m/>
    <s v="COM Received"/>
    <m/>
    <s v="NA"/>
    <s v="Active"/>
    <s v="Yes"/>
    <s v="NPI: Fabric is com received for SW50"/>
    <m/>
  </r>
  <r>
    <x v="0"/>
    <x v="0"/>
    <x v="1"/>
    <s v="Sue Bilstad"/>
    <x v="0"/>
    <s v="RH"/>
    <s v="ROSEWOOD CALISTOGA"/>
    <x v="18"/>
    <n v="0"/>
    <x v="3"/>
    <s v="NEW"/>
    <s v="7. Mass Production"/>
    <d v="2025-07-23T00:00:00"/>
    <d v="2026-05-28T00:00:00"/>
    <m/>
    <x v="2"/>
    <s v="CA"/>
    <x v="1"/>
    <x v="1"/>
    <m/>
    <m/>
    <x v="10"/>
    <x v="5"/>
    <n v="311473.76000000007"/>
    <n v="72450.760000000068"/>
    <x v="15"/>
    <x v="0"/>
    <d v="2026-11-02T00:00:00"/>
    <d v="2026-11-13T00:00:00"/>
    <d v="2026-11-06T00:00:00"/>
    <d v="2026-12-11T00:00:00"/>
    <x v="11"/>
    <x v="11"/>
    <s v="Approved"/>
    <m/>
    <m/>
    <s v="Approved"/>
    <m/>
    <m/>
    <s v="Approved"/>
    <m/>
    <d v="2026-05-26T00:00:00"/>
    <s v="Approved"/>
    <m/>
    <d v="2026-06-18T00:00:00"/>
    <s v="N/A"/>
    <m/>
    <m/>
    <s v="N/A"/>
    <m/>
    <m/>
    <s v="COM Received"/>
    <m/>
    <s v="NA"/>
    <s v="Active"/>
    <s v="Yes"/>
    <s v="NPI: Fabric is com received for SW50"/>
    <m/>
  </r>
  <r>
    <x v="0"/>
    <x v="0"/>
    <x v="5"/>
    <s v="Madison Lay"/>
    <x v="0"/>
    <s v="RH"/>
    <s v="SNAKE RIVER LODGE BLUEFLAG"/>
    <x v="19"/>
    <n v="1"/>
    <x v="0"/>
    <s v="NEW"/>
    <s v="8. Shipment"/>
    <d v="2026-05-05T00:00:00"/>
    <d v="2026-04-13T00:00:00"/>
    <m/>
    <x v="2"/>
    <s v="WY"/>
    <x v="0"/>
    <x v="0"/>
    <m/>
    <m/>
    <x v="5"/>
    <x v="0"/>
    <n v="203436.01"/>
    <n v="136716"/>
    <x v="3"/>
    <x v="0"/>
    <d v="2026-08-08T00:00:00"/>
    <d v="2026-08-15T00:00:00"/>
    <d v="2026-08-08T00:00:00"/>
    <d v="2026-08-29T00:00:00"/>
    <x v="12"/>
    <x v="12"/>
    <s v="Approved"/>
    <m/>
    <d v="2026-05-21T00:00:00"/>
    <s v="Approved"/>
    <m/>
    <d v="2025-06-05T00:00:00"/>
    <s v="Approved"/>
    <m/>
    <m/>
    <s v="Approved"/>
    <m/>
    <m/>
    <s v="N/A"/>
    <m/>
    <m/>
    <s v="Approved"/>
    <m/>
    <m/>
    <s v="COM Received"/>
    <m/>
    <m/>
    <s v="Complete"/>
    <s v="Yes"/>
    <s v="READY"/>
    <m/>
  </r>
  <r>
    <x v="0"/>
    <x v="0"/>
    <x v="5"/>
    <s v="Madison Lay"/>
    <x v="0"/>
    <s v="RH"/>
    <s v="SNAKE RIVER LODGE BLUEFLAG"/>
    <x v="19"/>
    <n v="0"/>
    <x v="0"/>
    <s v="NEW"/>
    <s v="8. Shipment"/>
    <d v="2026-05-05T00:00:00"/>
    <d v="2026-04-13T00:00:00"/>
    <m/>
    <x v="2"/>
    <s v="WY"/>
    <x v="1"/>
    <x v="1"/>
    <m/>
    <m/>
    <x v="5"/>
    <x v="0"/>
    <n v="203436.01"/>
    <n v="66720.490000000005"/>
    <x v="3"/>
    <x v="0"/>
    <d v="2026-08-08T00:00:00"/>
    <d v="2026-08-15T00:00:00"/>
    <d v="2026-08-08T00:00:00"/>
    <d v="2026-08-29T00:00:00"/>
    <x v="12"/>
    <x v="12"/>
    <s v="Approved"/>
    <m/>
    <d v="2026-05-21T00:00:00"/>
    <s v="Approved"/>
    <m/>
    <d v="2025-06-05T00:00:00"/>
    <s v="Approved"/>
    <m/>
    <m/>
    <s v="Approved"/>
    <m/>
    <m/>
    <s v="N/A"/>
    <m/>
    <m/>
    <s v="Approved"/>
    <m/>
    <m/>
    <s v="COM Received"/>
    <m/>
    <m/>
    <s v="Complete"/>
    <s v="Yes"/>
    <s v="READY"/>
    <m/>
  </r>
  <r>
    <x v="0"/>
    <x v="0"/>
    <x v="1"/>
    <s v="Sue Bilstad"/>
    <x v="0"/>
    <s v="RH"/>
    <s v="TRUMP LAS VEGAS PENTHOUSES"/>
    <x v="20"/>
    <n v="1"/>
    <x v="3"/>
    <s v="NEW"/>
    <s v="7. Mass Production"/>
    <d v="2025-10-25T00:00:00"/>
    <d v="2026-08-20T00:00:00"/>
    <m/>
    <x v="2"/>
    <s v="NV"/>
    <x v="1"/>
    <x v="1"/>
    <m/>
    <m/>
    <x v="11"/>
    <x v="6"/>
    <n v="535191"/>
    <n v="350863"/>
    <x v="11"/>
    <x v="1"/>
    <s v="-"/>
    <m/>
    <d v="2027-01-08T00:00:00"/>
    <d v="2027-01-29T00:00:00"/>
    <x v="13"/>
    <x v="13"/>
    <s v="Approved"/>
    <m/>
    <m/>
    <s v="Approved"/>
    <m/>
    <m/>
    <s v="Approved"/>
    <m/>
    <m/>
    <s v="Approved"/>
    <m/>
    <m/>
    <s v="Approved"/>
    <m/>
    <m/>
    <s v="Approved"/>
    <m/>
    <m/>
    <m/>
    <m/>
    <m/>
    <s v="Active"/>
    <s v="Yes"/>
    <s v="NPI: All development items approved/closed for SW05"/>
    <m/>
  </r>
  <r>
    <x v="0"/>
    <x v="0"/>
    <x v="1"/>
    <s v="Sue Bilstad"/>
    <x v="0"/>
    <s v="RH"/>
    <s v="TRUMP LAS VEGAS PENTHOUSES"/>
    <x v="20"/>
    <n v="0"/>
    <x v="3"/>
    <s v="NEW"/>
    <s v="7. Mass Production"/>
    <d v="2025-10-25T00:00:00"/>
    <d v="2026-08-20T00:00:00"/>
    <m/>
    <x v="2"/>
    <s v="NV"/>
    <x v="1"/>
    <x v="1"/>
    <m/>
    <m/>
    <x v="11"/>
    <x v="6"/>
    <n v="535191"/>
    <n v="184328"/>
    <x v="11"/>
    <x v="1"/>
    <s v="-"/>
    <m/>
    <d v="2027-01-08T00:00:00"/>
    <d v="2027-01-29T00:00:00"/>
    <x v="13"/>
    <x v="13"/>
    <s v="Approved"/>
    <m/>
    <m/>
    <s v="Approved"/>
    <m/>
    <m/>
    <s v="Approved"/>
    <m/>
    <m/>
    <s v="Approved"/>
    <m/>
    <m/>
    <s v="Approved"/>
    <m/>
    <m/>
    <s v="Approved"/>
    <m/>
    <m/>
    <m/>
    <m/>
    <m/>
    <s v="Active"/>
    <s v="Yes"/>
    <s v="NPI: All development items approved/closed for SW05"/>
    <m/>
  </r>
  <r>
    <x v="0"/>
    <x v="0"/>
    <x v="5"/>
    <s v="Madison Lay"/>
    <x v="0"/>
    <s v="RH"/>
    <s v="RITZ DOVE MOUNTAIN"/>
    <x v="21"/>
    <n v="1"/>
    <x v="1"/>
    <s v="NEW"/>
    <s v="4. Prototype Build"/>
    <d v="2026-03-03T00:00:00"/>
    <m/>
    <m/>
    <x v="2"/>
    <s v="AZ"/>
    <x v="1"/>
    <x v="1"/>
    <m/>
    <m/>
    <x v="12"/>
    <x v="0"/>
    <n v="228581"/>
    <n v="228581"/>
    <x v="16"/>
    <x v="1"/>
    <s v="-"/>
    <m/>
    <d v="2026-04-10T00:00:00"/>
    <d v="2026-04-24T00:00:00"/>
    <x v="14"/>
    <x v="14"/>
    <s v="Pending Approval"/>
    <m/>
    <m/>
    <s v="Pending Approval"/>
    <m/>
    <m/>
    <s v="N/A"/>
    <m/>
    <m/>
    <s v="Pending Approval"/>
    <m/>
    <m/>
    <s v="N/A"/>
    <m/>
    <m/>
    <s v="N/A"/>
    <m/>
    <m/>
    <s v="COM"/>
    <m/>
    <m/>
    <s v="Active"/>
    <s v="Yes"/>
    <s v="NPI: Pending approval: Drawing, Veneer/Wood, Metal; Fabric is com for SW17"/>
    <m/>
  </r>
  <r>
    <x v="0"/>
    <x v="0"/>
    <x v="4"/>
    <s v="Sue Bilstad"/>
    <x v="0"/>
    <s v="RH"/>
    <s v="MAYBOURNE_ONE WALL STREET NY"/>
    <x v="22"/>
    <n v="1"/>
    <x v="0"/>
    <s v="REO"/>
    <s v="8. Shipment"/>
    <m/>
    <d v="2026-02-26T00:00:00"/>
    <m/>
    <x v="2"/>
    <s v="NY"/>
    <x v="0"/>
    <x v="0"/>
    <m/>
    <m/>
    <x v="6"/>
    <x v="0"/>
    <n v="1672"/>
    <n v="1672"/>
    <x v="7"/>
    <x v="0"/>
    <d v="2026-04-01T00:00:00"/>
    <d v="2026-04-08T00:00:00"/>
    <d v="2026-04-04T00:00:00"/>
    <d v="2026-04-04T00:00:00"/>
    <x v="2"/>
    <x v="2"/>
    <s v="Approved"/>
    <m/>
    <d v="2026-03-23T00:00:00"/>
    <s v="Approved"/>
    <m/>
    <d v="2026-03-23T00:00:00"/>
    <s v="N/A"/>
    <m/>
    <m/>
    <s v="N/A"/>
    <m/>
    <m/>
    <s v="N/A"/>
    <m/>
    <m/>
    <s v="N/A"/>
    <m/>
    <m/>
    <s v="COM"/>
    <m/>
    <d v="2026-03-09T00:00:00"/>
    <s v="Complete"/>
    <s v="Yes"/>
    <s v="READY"/>
    <m/>
  </r>
  <r>
    <x v="0"/>
    <x v="0"/>
    <x v="0"/>
    <s v="Sue Bilstad"/>
    <x v="0"/>
    <s v="RH"/>
    <s v="ST. REGIS KANAI"/>
    <x v="23"/>
    <n v="1"/>
    <x v="0"/>
    <s v="NEW"/>
    <s v="8. Shipment"/>
    <d v="2024-10-10T00:00:00"/>
    <d v="2026-03-20T00:00:00"/>
    <m/>
    <x v="4"/>
    <s v="Mexico"/>
    <x v="0"/>
    <x v="0"/>
    <m/>
    <m/>
    <x v="13"/>
    <x v="0"/>
    <n v="164002.01999999999"/>
    <n v="110307"/>
    <x v="2"/>
    <x v="0"/>
    <d v="2026-07-31T00:00:00"/>
    <d v="2026-07-31T00:00:00"/>
    <d v="2026-07-31T00:00:00"/>
    <d v="2026-08-07T00:00:00"/>
    <x v="15"/>
    <x v="15"/>
    <s v="Approved"/>
    <m/>
    <m/>
    <s v="Approved"/>
    <m/>
    <m/>
    <s v="Approved"/>
    <m/>
    <m/>
    <s v="N/A"/>
    <m/>
    <m/>
    <s v="N/A"/>
    <m/>
    <m/>
    <s v="N/A"/>
    <m/>
    <m/>
    <s v="COM Received"/>
    <m/>
    <m/>
    <s v="Complete"/>
    <s v="Yes"/>
    <s v="READY"/>
    <m/>
  </r>
  <r>
    <x v="0"/>
    <x v="0"/>
    <x v="0"/>
    <s v="Sue Bilstad"/>
    <x v="0"/>
    <s v="RH"/>
    <s v="ST. REGIS KANAI"/>
    <x v="23"/>
    <n v="0"/>
    <x v="0"/>
    <s v="NEW"/>
    <s v="8. Shipment"/>
    <d v="2024-10-10T00:00:00"/>
    <d v="2026-03-20T00:00:00"/>
    <m/>
    <x v="4"/>
    <s v="Mexico"/>
    <x v="0"/>
    <x v="0"/>
    <m/>
    <m/>
    <x v="13"/>
    <x v="0"/>
    <n v="164002.01999999999"/>
    <n v="53695.14"/>
    <x v="3"/>
    <x v="0"/>
    <d v="2026-07-31T00:00:00"/>
    <d v="2026-07-31T00:00:00"/>
    <d v="2026-07-31T00:00:00"/>
    <d v="2026-08-07T00:00:00"/>
    <x v="15"/>
    <x v="15"/>
    <s v="Approved"/>
    <m/>
    <m/>
    <s v="Approved"/>
    <m/>
    <m/>
    <s v="Approved"/>
    <m/>
    <m/>
    <s v="N/A"/>
    <m/>
    <m/>
    <s v="N/A"/>
    <m/>
    <m/>
    <s v="N/A"/>
    <m/>
    <m/>
    <s v="COM Received"/>
    <m/>
    <m/>
    <s v="Complete"/>
    <s v="Yes"/>
    <s v="READY"/>
    <m/>
  </r>
  <r>
    <x v="0"/>
    <x v="1"/>
    <x v="3"/>
    <s v="Sue Bilstad"/>
    <x v="0"/>
    <s v="RH"/>
    <s v="CIA O&amp;O GUESTROOMS"/>
    <x v="7"/>
    <n v="1"/>
    <x v="0"/>
    <s v="NEW"/>
    <s v="8. Shipment"/>
    <d v="2026-02-19T00:00:00"/>
    <d v="2025-12-01T00:00:00"/>
    <m/>
    <x v="2"/>
    <s v="CA"/>
    <x v="0"/>
    <x v="0"/>
    <m/>
    <m/>
    <x v="5"/>
    <x v="0"/>
    <n v="12000.06"/>
    <n v="12000.06"/>
    <x v="1"/>
    <x v="0"/>
    <d v="2026-06-09T00:00:00"/>
    <d v="2026-06-12T00:00:00"/>
    <d v="2026-04-04T00:00:00"/>
    <d v="2026-04-04T00:00:00"/>
    <x v="2"/>
    <x v="2"/>
    <s v="Approved"/>
    <m/>
    <m/>
    <s v="Approved"/>
    <m/>
    <m/>
    <s v="Approved"/>
    <m/>
    <m/>
    <s v="Approved"/>
    <m/>
    <m/>
    <s v="Approved"/>
    <m/>
    <m/>
    <s v="N/A"/>
    <m/>
    <m/>
    <s v="COM Received"/>
    <m/>
    <m/>
    <s v="Complete"/>
    <s v="Yes"/>
    <s v="READY"/>
    <m/>
  </r>
  <r>
    <x v="1"/>
    <x v="0"/>
    <x v="6"/>
    <m/>
    <x v="1"/>
    <s v="COSMIC REALTY"/>
    <s v="250 FIFTH AVENUE HOTEL"/>
    <x v="24"/>
    <n v="1"/>
    <x v="0"/>
    <s v="NEW"/>
    <s v="8. Shipment"/>
    <m/>
    <s v="-"/>
    <m/>
    <x v="2"/>
    <s v="NY"/>
    <x v="0"/>
    <x v="0"/>
    <m/>
    <m/>
    <x v="14"/>
    <x v="0"/>
    <n v="1908.8"/>
    <n v="1908.8"/>
    <x v="7"/>
    <x v="0"/>
    <d v="2026-04-04T00:00:00"/>
    <m/>
    <d v="2026-04-04T00:00:00"/>
    <d v="2026-04-04T00:00:00"/>
    <x v="2"/>
    <x v="2"/>
    <s v="Approved"/>
    <m/>
    <m/>
    <s v="Approved"/>
    <m/>
    <m/>
    <s v="Approved"/>
    <m/>
    <m/>
    <s v="Approved"/>
    <m/>
    <m/>
    <s v="Approved"/>
    <m/>
    <m/>
    <s v="Approved"/>
    <m/>
    <m/>
    <s v="COM"/>
    <m/>
    <m/>
    <s v="Complete"/>
    <m/>
    <s v="READY"/>
    <m/>
  </r>
  <r>
    <x v="1"/>
    <x v="0"/>
    <x v="9"/>
    <m/>
    <x v="2"/>
    <s v="L&amp;S"/>
    <s v="ELYSEE HOTEL"/>
    <x v="25"/>
    <n v="1"/>
    <x v="0"/>
    <s v="NEW"/>
    <s v="8. Shipment"/>
    <d v="2026-01-05T00:00:00"/>
    <d v="2025-12-18T00:00:00"/>
    <m/>
    <x v="2"/>
    <s v="NY"/>
    <x v="0"/>
    <x v="0"/>
    <m/>
    <m/>
    <x v="15"/>
    <x v="0"/>
    <n v="169946"/>
    <n v="89785.840000000011"/>
    <x v="3"/>
    <x v="0"/>
    <d v="2026-09-04T00:00:00"/>
    <d v="2026-09-11T00:00:00"/>
    <d v="2026-08-08T00:00:00"/>
    <d v="2026-09-12T00:00:00"/>
    <x v="12"/>
    <x v="6"/>
    <s v="Approved"/>
    <m/>
    <m/>
    <s v="Approved"/>
    <m/>
    <m/>
    <s v="Approved"/>
    <m/>
    <m/>
    <s v="Approved"/>
    <m/>
    <m/>
    <s v="Approved"/>
    <m/>
    <m/>
    <s v="N/A"/>
    <m/>
    <m/>
    <s v="COM Pending"/>
    <m/>
    <m/>
    <s v="Complete"/>
    <m/>
    <s v="READY"/>
    <m/>
  </r>
  <r>
    <x v="1"/>
    <x v="0"/>
    <x v="9"/>
    <m/>
    <x v="2"/>
    <s v="L&amp;S"/>
    <s v="ELYSEE HOTEL"/>
    <x v="25"/>
    <n v="0"/>
    <x v="0"/>
    <s v="NEW"/>
    <s v="7. Mass Production"/>
    <d v="2026-01-05T00:00:00"/>
    <d v="2025-12-18T00:00:00"/>
    <m/>
    <x v="2"/>
    <s v="NY"/>
    <x v="1"/>
    <x v="1"/>
    <m/>
    <m/>
    <x v="15"/>
    <x v="0"/>
    <n v="169946"/>
    <n v="28382"/>
    <x v="8"/>
    <x v="0"/>
    <d v="2026-09-04T00:00:00"/>
    <d v="2026-09-11T00:00:00"/>
    <d v="2026-08-08T00:00:00"/>
    <d v="2026-09-12T00:00:00"/>
    <x v="12"/>
    <x v="6"/>
    <s v="Approved"/>
    <m/>
    <m/>
    <s v="Approved"/>
    <m/>
    <m/>
    <s v="Approved"/>
    <m/>
    <m/>
    <s v="Approved"/>
    <m/>
    <m/>
    <s v="Approved"/>
    <m/>
    <m/>
    <s v="N/A"/>
    <m/>
    <m/>
    <s v="COM Pending"/>
    <m/>
    <m/>
    <s v="Complete"/>
    <m/>
    <s v="READY"/>
    <m/>
  </r>
  <r>
    <x v="1"/>
    <x v="0"/>
    <x v="9"/>
    <m/>
    <x v="2"/>
    <s v="L&amp;S"/>
    <s v="ELYSEE HOTEL"/>
    <x v="25"/>
    <n v="0"/>
    <x v="0"/>
    <s v="NEW"/>
    <s v="7. Mass Production"/>
    <d v="2026-01-05T00:00:00"/>
    <d v="2025-12-18T00:00:00"/>
    <m/>
    <x v="2"/>
    <s v="NY"/>
    <x v="1"/>
    <x v="1"/>
    <m/>
    <m/>
    <x v="15"/>
    <x v="0"/>
    <n v="169946"/>
    <n v="51777"/>
    <x v="8"/>
    <x v="0"/>
    <d v="2026-09-04T00:00:00"/>
    <d v="2026-09-11T00:00:00"/>
    <d v="2026-08-08T00:00:00"/>
    <d v="2026-09-18T00:00:00"/>
    <x v="12"/>
    <x v="16"/>
    <s v="Approved"/>
    <m/>
    <m/>
    <s v="Approved"/>
    <m/>
    <m/>
    <s v="Approved"/>
    <m/>
    <m/>
    <s v="Approved"/>
    <m/>
    <m/>
    <s v="Approved"/>
    <m/>
    <m/>
    <s v="N/A"/>
    <m/>
    <m/>
    <s v="COM Pending"/>
    <m/>
    <m/>
    <s v="Complete"/>
    <m/>
    <s v="READY"/>
    <m/>
  </r>
  <r>
    <x v="1"/>
    <x v="0"/>
    <x v="8"/>
    <m/>
    <x v="2"/>
    <s v="L&amp;S"/>
    <s v="FAENA TULLUM (FTMX)"/>
    <x v="26"/>
    <n v="1"/>
    <x v="1"/>
    <s v="NEW"/>
    <s v="1. Preliminary Design"/>
    <m/>
    <s v="-"/>
    <m/>
    <x v="4"/>
    <s v="Mexico"/>
    <x v="1"/>
    <x v="1"/>
    <m/>
    <m/>
    <x v="16"/>
    <x v="0"/>
    <n v="1160820"/>
    <n v="580410"/>
    <x v="17"/>
    <x v="1"/>
    <s v="-"/>
    <m/>
    <s v="TBC"/>
    <s v="TBC"/>
    <x v="9"/>
    <x v="9"/>
    <s v="Not Started "/>
    <m/>
    <m/>
    <s v="Not Started"/>
    <m/>
    <m/>
    <m/>
    <m/>
    <m/>
    <m/>
    <m/>
    <m/>
    <m/>
    <m/>
    <m/>
    <m/>
    <m/>
    <m/>
    <m/>
    <m/>
    <m/>
    <s v="Active"/>
    <m/>
    <s v="NPI: Not started: Veneer/Wood for SW TBC"/>
    <m/>
  </r>
  <r>
    <x v="1"/>
    <x v="0"/>
    <x v="8"/>
    <m/>
    <x v="2"/>
    <s v="L&amp;S"/>
    <s v="FAENA TULLUM (FTMX)"/>
    <x v="26"/>
    <n v="0"/>
    <x v="1"/>
    <s v="NEW"/>
    <s v="1. Preliminary Design"/>
    <m/>
    <s v="-"/>
    <m/>
    <x v="4"/>
    <s v="Mexico"/>
    <x v="1"/>
    <x v="1"/>
    <m/>
    <m/>
    <x v="16"/>
    <x v="0"/>
    <n v="1160820"/>
    <n v="580410"/>
    <x v="17"/>
    <x v="1"/>
    <s v="-"/>
    <m/>
    <s v="TBC"/>
    <s v="TBC"/>
    <x v="9"/>
    <x v="9"/>
    <s v="Not Started "/>
    <m/>
    <m/>
    <s v="Not Started"/>
    <m/>
    <m/>
    <m/>
    <m/>
    <m/>
    <m/>
    <m/>
    <m/>
    <m/>
    <m/>
    <m/>
    <m/>
    <m/>
    <m/>
    <m/>
    <m/>
    <m/>
    <s v="Active"/>
    <m/>
    <s v="NPI: Not started: Veneer/Wood for SW TBC"/>
    <m/>
  </r>
  <r>
    <x v="1"/>
    <x v="0"/>
    <x v="4"/>
    <m/>
    <x v="3"/>
    <s v="FLEETWOOD "/>
    <s v="FOUR SEASON JACKSONVILLE"/>
    <x v="27"/>
    <n v="1"/>
    <x v="0"/>
    <s v="NEW"/>
    <s v="8. Shipment"/>
    <d v="2025-11-26T00:00:00"/>
    <d v="2026-01-31T00:00:00"/>
    <m/>
    <x v="2"/>
    <s v="FL"/>
    <x v="0"/>
    <x v="0"/>
    <m/>
    <m/>
    <x v="17"/>
    <x v="0"/>
    <n v="198023"/>
    <n v="56748.11"/>
    <x v="7"/>
    <x v="0"/>
    <d v="2026-04-09T00:00:00"/>
    <d v="2026-06-13T00:00:00"/>
    <d v="2026-04-04T00:00:00"/>
    <d v="2026-04-04T00:00:00"/>
    <x v="2"/>
    <x v="2"/>
    <s v="Approved"/>
    <m/>
    <d v="2026-02-05T00:00:00"/>
    <s v="Approved"/>
    <m/>
    <d v="2026-02-05T00:00:00"/>
    <s v="N/A"/>
    <m/>
    <m/>
    <s v="Approved"/>
    <m/>
    <d v="2026-02-05T00:00:00"/>
    <s v="N/A"/>
    <m/>
    <m/>
    <s v="Approved"/>
    <m/>
    <m/>
    <s v="N/A"/>
    <m/>
    <m/>
    <s v="Complete"/>
    <s v="Yes"/>
    <s v="READY"/>
    <m/>
  </r>
  <r>
    <x v="1"/>
    <x v="0"/>
    <x v="4"/>
    <m/>
    <x v="3"/>
    <s v="FLEETWOOD "/>
    <s v="FOUR SEASON JACKSONVILLE"/>
    <x v="27"/>
    <n v="0"/>
    <x v="0"/>
    <s v="NEW"/>
    <s v="8. Shipment"/>
    <d v="2025-11-26T00:00:00"/>
    <d v="2026-01-31T00:00:00"/>
    <m/>
    <x v="2"/>
    <s v="FL"/>
    <x v="0"/>
    <x v="0"/>
    <m/>
    <m/>
    <x v="17"/>
    <x v="0"/>
    <n v="198023"/>
    <n v="87190"/>
    <x v="0"/>
    <x v="0"/>
    <d v="2026-04-09T00:00:00"/>
    <d v="2026-06-13T00:00:00"/>
    <d v="2026-04-04T00:00:00"/>
    <d v="2026-04-04T00:00:00"/>
    <x v="2"/>
    <x v="2"/>
    <s v="Approved"/>
    <m/>
    <d v="2026-02-05T00:00:00"/>
    <s v="Approved"/>
    <m/>
    <d v="2026-02-05T00:00:00"/>
    <s v="N/A"/>
    <m/>
    <m/>
    <s v="Approved"/>
    <m/>
    <d v="2026-02-05T00:00:00"/>
    <s v="N/A"/>
    <m/>
    <m/>
    <s v="Approved"/>
    <m/>
    <m/>
    <s v="N/A"/>
    <m/>
    <m/>
    <s v="Complete"/>
    <m/>
    <s v="READY"/>
    <m/>
  </r>
  <r>
    <x v="1"/>
    <x v="0"/>
    <x v="4"/>
    <m/>
    <x v="3"/>
    <s v="FLEETWOOD "/>
    <s v="FOUR SEASON JACKSONVILLE"/>
    <x v="27"/>
    <n v="0"/>
    <x v="0"/>
    <s v="NEW"/>
    <s v="8. Shipment"/>
    <d v="2025-11-26T00:00:00"/>
    <d v="2026-01-31T00:00:00"/>
    <m/>
    <x v="2"/>
    <s v="FL"/>
    <x v="0"/>
    <x v="0"/>
    <m/>
    <m/>
    <x v="17"/>
    <x v="0"/>
    <n v="198023"/>
    <n v="25075"/>
    <x v="1"/>
    <x v="0"/>
    <d v="2026-04-09T00:00:00"/>
    <d v="2026-06-13T00:00:00"/>
    <d v="2026-04-04T00:00:00"/>
    <d v="2026-04-04T00:00:00"/>
    <x v="2"/>
    <x v="2"/>
    <s v="Approved"/>
    <m/>
    <d v="2026-02-05T00:00:00"/>
    <s v="Approved"/>
    <m/>
    <d v="2026-02-05T00:00:00"/>
    <s v="N/A"/>
    <m/>
    <m/>
    <s v="Approved"/>
    <m/>
    <d v="2026-02-05T00:00:00"/>
    <s v="N/A"/>
    <m/>
    <m/>
    <s v="Approved"/>
    <m/>
    <m/>
    <s v="N/A"/>
    <m/>
    <m/>
    <s v="Complete"/>
    <m/>
    <s v="READY"/>
    <m/>
  </r>
  <r>
    <x v="1"/>
    <x v="0"/>
    <x v="4"/>
    <m/>
    <x v="3"/>
    <s v="FLEETWOOD "/>
    <s v="FOUR SEASON JACKSONVILLE"/>
    <x v="27"/>
    <n v="0"/>
    <x v="0"/>
    <s v="NEW"/>
    <s v="8. Shipment"/>
    <d v="2025-11-26T00:00:00"/>
    <d v="2026-01-31T00:00:00"/>
    <m/>
    <x v="2"/>
    <s v="FL"/>
    <x v="0"/>
    <x v="0"/>
    <m/>
    <m/>
    <x v="17"/>
    <x v="0"/>
    <n v="198023"/>
    <n v="29009"/>
    <x v="1"/>
    <x v="0"/>
    <d v="2026-04-09T00:00:00"/>
    <d v="2026-06-13T00:00:00"/>
    <d v="2026-04-04T00:00:00"/>
    <d v="2026-04-04T00:00:00"/>
    <x v="2"/>
    <x v="2"/>
    <s v="Approved"/>
    <m/>
    <d v="2026-02-05T00:00:00"/>
    <s v="Approved"/>
    <m/>
    <d v="2026-02-05T00:00:00"/>
    <s v="N/A"/>
    <m/>
    <m/>
    <s v="Approved"/>
    <m/>
    <d v="2026-02-05T00:00:00"/>
    <s v="N/A"/>
    <m/>
    <m/>
    <s v="Approved"/>
    <m/>
    <m/>
    <s v="N/A"/>
    <m/>
    <m/>
    <s v="Complete"/>
    <m/>
    <s v="READY"/>
    <m/>
  </r>
  <r>
    <x v="1"/>
    <x v="0"/>
    <x v="9"/>
    <s v="Lori"/>
    <x v="3"/>
    <s v="FLEETWOOD "/>
    <s v="HARD ROCK LAS VEGAS WEST TOWER"/>
    <x v="28"/>
    <n v="1"/>
    <x v="6"/>
    <s v="NEW"/>
    <s v="3. Prototype Readiness"/>
    <d v="2026-04-18T00:00:00"/>
    <s v="-"/>
    <m/>
    <x v="2"/>
    <s v="NV"/>
    <x v="0"/>
    <x v="0"/>
    <m/>
    <m/>
    <x v="18"/>
    <x v="0"/>
    <n v="3218808.59"/>
    <n v="1072936"/>
    <x v="11"/>
    <x v="1"/>
    <m/>
    <m/>
    <s v="TBC"/>
    <s v="TBC"/>
    <x v="9"/>
    <x v="9"/>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x v="9"/>
    <s v="Lori"/>
    <x v="3"/>
    <s v="FLEETWOOD "/>
    <s v="HARD ROCK LAS VEGAS WEST TOWER"/>
    <x v="28"/>
    <n v="0"/>
    <x v="6"/>
    <s v="NEW"/>
    <s v="3. Prototype Readiness"/>
    <d v="2026-04-18T00:00:00"/>
    <s v="-"/>
    <m/>
    <x v="2"/>
    <s v="NV"/>
    <x v="0"/>
    <x v="0"/>
    <m/>
    <m/>
    <x v="18"/>
    <x v="0"/>
    <n v="3218808.59"/>
    <n v="500000"/>
    <x v="18"/>
    <x v="1"/>
    <m/>
    <m/>
    <s v="TBC"/>
    <s v="TBC"/>
    <x v="9"/>
    <x v="9"/>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x v="9"/>
    <s v="Lori"/>
    <x v="3"/>
    <s v="FLEETWOOD "/>
    <s v="HARD ROCK LAS VEGAS WEST TOWER"/>
    <x v="28"/>
    <n v="0"/>
    <x v="6"/>
    <s v="NEW"/>
    <s v="3. Prototype Readiness"/>
    <d v="2026-04-18T00:00:00"/>
    <s v="-"/>
    <m/>
    <x v="2"/>
    <s v="NV"/>
    <x v="0"/>
    <x v="0"/>
    <m/>
    <m/>
    <x v="18"/>
    <x v="0"/>
    <n v="3218808.59"/>
    <n v="1072936"/>
    <x v="19"/>
    <x v="1"/>
    <m/>
    <m/>
    <s v="TBC"/>
    <s v="TBC"/>
    <x v="9"/>
    <x v="9"/>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x v="9"/>
    <s v="Lori"/>
    <x v="3"/>
    <s v="FLEETWOOD "/>
    <s v="HARD ROCK LAS VEGAS WEST TOWER"/>
    <x v="28"/>
    <n v="0"/>
    <x v="6"/>
    <s v="NEW"/>
    <s v="3. Prototype Readiness"/>
    <d v="2026-04-18T00:00:00"/>
    <s v="-"/>
    <m/>
    <x v="2"/>
    <s v="NV"/>
    <x v="0"/>
    <x v="0"/>
    <m/>
    <m/>
    <x v="18"/>
    <x v="0"/>
    <n v="3218808.59"/>
    <n v="572936"/>
    <x v="16"/>
    <x v="1"/>
    <m/>
    <m/>
    <s v="TBC"/>
    <s v="TBC"/>
    <x v="9"/>
    <x v="9"/>
    <s v="In Progress"/>
    <m/>
    <m/>
    <s v="Approved"/>
    <m/>
    <d v="2025-10-18T00:00:00"/>
    <s v="Pending Approval"/>
    <m/>
    <m/>
    <s v="Pending Approval"/>
    <m/>
    <m/>
    <s v="Pending approval"/>
    <m/>
    <m/>
    <s v="In Progress"/>
    <m/>
    <m/>
    <s v="COM Pending"/>
    <m/>
    <m/>
    <s v="Complete"/>
    <m/>
    <s v="NPI: In progress: Drawing, Electrical; Pending approval: Marble, Metal, Mirror; Fabric is com pending for SW TBC"/>
    <m/>
  </r>
  <r>
    <x v="1"/>
    <x v="0"/>
    <x v="3"/>
    <m/>
    <x v="3"/>
    <s v="FLEETWOOD "/>
    <s v="HWVP PHASE 2"/>
    <x v="29"/>
    <n v="1"/>
    <x v="0"/>
    <s v="REO"/>
    <s v="8. Shipment"/>
    <d v="2025-12-04T00:00:00"/>
    <d v="2026-01-02T00:00:00"/>
    <m/>
    <x v="2"/>
    <s v="HI"/>
    <x v="0"/>
    <x v="0"/>
    <m/>
    <m/>
    <x v="19"/>
    <x v="0"/>
    <n v="7015.5"/>
    <n v="7015.5"/>
    <x v="7"/>
    <x v="0"/>
    <s v="Apr"/>
    <m/>
    <d v="2026-04-04T00:00:00"/>
    <d v="2026-04-04T00:00:00"/>
    <x v="2"/>
    <x v="2"/>
    <s v="Approved"/>
    <m/>
    <m/>
    <s v="Approved"/>
    <m/>
    <m/>
    <m/>
    <m/>
    <m/>
    <m/>
    <m/>
    <m/>
    <m/>
    <m/>
    <m/>
    <m/>
    <m/>
    <m/>
    <m/>
    <m/>
    <m/>
    <s v="Complete"/>
    <m/>
    <s v="READY"/>
    <m/>
  </r>
  <r>
    <x v="1"/>
    <x v="0"/>
    <x v="10"/>
    <m/>
    <x v="4"/>
    <s v="THE PARKER"/>
    <s v="JAMES NY NOMAD"/>
    <x v="30"/>
    <n v="1"/>
    <x v="7"/>
    <s v="REO"/>
    <s v="8. Shipment"/>
    <d v="2026-01-09T00:00:00"/>
    <d v="2026-01-09T00:00:00"/>
    <m/>
    <x v="2"/>
    <s v="NY"/>
    <x v="0"/>
    <x v="0"/>
    <m/>
    <m/>
    <x v="6"/>
    <x v="0"/>
    <n v="3167.51"/>
    <n v="3167.51"/>
    <x v="0"/>
    <x v="0"/>
    <d v="2026-05-10T00:00:00"/>
    <m/>
    <d v="2026-04-04T00:00:00"/>
    <d v="2026-04-04T00:00:00"/>
    <x v="2"/>
    <x v="2"/>
    <s v="Approved"/>
    <m/>
    <m/>
    <s v="Approved"/>
    <m/>
    <m/>
    <s v="N/A"/>
    <m/>
    <m/>
    <s v="Approved"/>
    <m/>
    <m/>
    <s v="N/A"/>
    <m/>
    <m/>
    <s v="Approved"/>
    <m/>
    <m/>
    <s v="COM"/>
    <m/>
    <m/>
    <s v="Complete"/>
    <m/>
    <s v="NPI: Fabric is com for SW14"/>
    <m/>
  </r>
  <r>
    <x v="1"/>
    <x v="0"/>
    <x v="7"/>
    <m/>
    <x v="5"/>
    <s v="KD"/>
    <s v="KNOX DALLAS"/>
    <x v="31"/>
    <n v="1"/>
    <x v="0"/>
    <s v="NEW"/>
    <s v="8. Shipment"/>
    <d v="2025-04-01T00:00:00"/>
    <d v="2026-04-01T00:00:00"/>
    <m/>
    <x v="2"/>
    <s v="TX"/>
    <x v="0"/>
    <x v="0"/>
    <m/>
    <m/>
    <x v="20"/>
    <x v="0"/>
    <n v="103174.91"/>
    <n v="22782.880000000001"/>
    <x v="13"/>
    <x v="0"/>
    <d v="2025-08-22T00:00:00"/>
    <d v="2026-03-27T00:00:00"/>
    <d v="2026-04-04T00:00:00"/>
    <d v="2026-04-04T00:00:00"/>
    <x v="2"/>
    <x v="2"/>
    <s v="Approved"/>
    <m/>
    <d v="2025-06-05T00:00:00"/>
    <s v="Approved"/>
    <m/>
    <m/>
    <s v="Approved"/>
    <m/>
    <m/>
    <s v="Approved"/>
    <m/>
    <m/>
    <s v="Approved"/>
    <m/>
    <m/>
    <s v="Approved"/>
    <m/>
    <m/>
    <s v="COM"/>
    <m/>
    <m/>
    <s v="Complete"/>
    <m/>
    <s v="READY"/>
    <m/>
  </r>
  <r>
    <x v="1"/>
    <x v="0"/>
    <x v="7"/>
    <m/>
    <x v="5"/>
    <s v="KD"/>
    <s v="KNOX DALLAS"/>
    <x v="31"/>
    <n v="0"/>
    <x v="0"/>
    <s v="NEW"/>
    <s v="8. Shipment"/>
    <d v="2025-04-01T00:00:00"/>
    <d v="2026-04-01T00:00:00"/>
    <m/>
    <x v="2"/>
    <s v="TX"/>
    <x v="0"/>
    <x v="0"/>
    <m/>
    <m/>
    <x v="20"/>
    <x v="0"/>
    <n v="103174.91"/>
    <n v="45565.760000000002"/>
    <x v="7"/>
    <x v="0"/>
    <d v="2025-08-22T00:00:00"/>
    <d v="2026-03-27T00:00:00"/>
    <d v="2026-04-04T00:00:00"/>
    <d v="2026-04-04T00:00:00"/>
    <x v="2"/>
    <x v="2"/>
    <s v="Approved"/>
    <m/>
    <d v="2025-06-05T00:00:00"/>
    <s v="Approved"/>
    <m/>
    <m/>
    <s v="Approved"/>
    <m/>
    <m/>
    <s v="Approved"/>
    <m/>
    <m/>
    <s v="Approved"/>
    <m/>
    <m/>
    <s v="Approved"/>
    <m/>
    <m/>
    <s v="COM"/>
    <m/>
    <m/>
    <s v="Complete"/>
    <m/>
    <s v="READY"/>
    <m/>
  </r>
  <r>
    <x v="1"/>
    <x v="0"/>
    <x v="7"/>
    <m/>
    <x v="5"/>
    <s v="KD"/>
    <s v="KNOX DALLAS"/>
    <x v="31"/>
    <n v="0"/>
    <x v="0"/>
    <s v="NEW"/>
    <s v="8. Shipment"/>
    <d v="2025-04-01T00:00:00"/>
    <d v="2026-04-01T00:00:00"/>
    <m/>
    <x v="2"/>
    <s v="TX"/>
    <x v="0"/>
    <x v="0"/>
    <m/>
    <m/>
    <x v="20"/>
    <x v="0"/>
    <n v="103174.91"/>
    <n v="22783"/>
    <x v="7"/>
    <x v="0"/>
    <d v="2025-08-22T00:00:00"/>
    <d v="2026-03-27T00:00:00"/>
    <d v="2026-04-04T00:00:00"/>
    <d v="2026-04-04T00:00:00"/>
    <x v="2"/>
    <x v="2"/>
    <s v="Approved"/>
    <m/>
    <d v="2025-06-05T00:00:00"/>
    <s v="Approved"/>
    <m/>
    <m/>
    <s v="Approved"/>
    <m/>
    <m/>
    <s v="Approved"/>
    <m/>
    <m/>
    <s v="Approved"/>
    <m/>
    <m/>
    <s v="Approved"/>
    <m/>
    <m/>
    <s v="COM"/>
    <m/>
    <m/>
    <s v="Complete"/>
    <m/>
    <s v="READY"/>
    <m/>
  </r>
  <r>
    <x v="1"/>
    <x v="0"/>
    <x v="11"/>
    <m/>
    <x v="5"/>
    <s v="KD"/>
    <s v="KNOX DALLAS"/>
    <x v="31"/>
    <n v="0"/>
    <x v="0"/>
    <s v="NEW"/>
    <s v="8. Shipment"/>
    <d v="2025-04-01T00:00:00"/>
    <d v="2026-04-01T00:00:00"/>
    <m/>
    <x v="2"/>
    <s v="TX"/>
    <x v="1"/>
    <x v="1"/>
    <m/>
    <m/>
    <x v="20"/>
    <x v="0"/>
    <n v="103174.91"/>
    <n v="96242"/>
    <x v="8"/>
    <x v="0"/>
    <d v="2025-08-22T00:00:00"/>
    <d v="2026-08-21T00:00:00"/>
    <d v="2026-09-25T00:00:00"/>
    <d v="2026-12-27T00:00:00"/>
    <x v="16"/>
    <x v="17"/>
    <s v="Approved"/>
    <m/>
    <d v="2025-06-05T00:00:00"/>
    <s v="Approved"/>
    <m/>
    <m/>
    <s v="Approved"/>
    <m/>
    <m/>
    <s v="Approved"/>
    <m/>
    <m/>
    <s v="Approved"/>
    <m/>
    <m/>
    <s v="Approved"/>
    <m/>
    <m/>
    <s v="COM"/>
    <m/>
    <s v="COM Pending"/>
    <s v="Complete"/>
    <m/>
    <s v="READY"/>
    <m/>
  </r>
  <r>
    <x v="1"/>
    <x v="0"/>
    <x v="11"/>
    <m/>
    <x v="5"/>
    <s v="KD"/>
    <s v="KNOX DALLAS SUITE"/>
    <x v="32"/>
    <n v="1"/>
    <x v="3"/>
    <s v="REO"/>
    <s v="7. Mass Production"/>
    <d v="2026-03-19T00:00:00"/>
    <d v="2026-01-31T00:00:00"/>
    <m/>
    <x v="2"/>
    <s v="TX"/>
    <x v="5"/>
    <x v="5"/>
    <m/>
    <m/>
    <x v="2"/>
    <x v="0"/>
    <n v="388861"/>
    <n v="97273"/>
    <x v="9"/>
    <x v="0"/>
    <d v="2026-05-15T00:00:00"/>
    <d v="2026-11-13T00:00:00"/>
    <d v="2026-09-25T00:00:00"/>
    <d v="2026-12-27T00:00:00"/>
    <x v="16"/>
    <x v="17"/>
    <s v="Approved"/>
    <m/>
    <d v="2025-10-03T00:00:00"/>
    <s v="Approved"/>
    <m/>
    <m/>
    <s v="Approved"/>
    <m/>
    <m/>
    <s v="Approved"/>
    <m/>
    <m/>
    <s v="Approved"/>
    <m/>
    <m/>
    <s v="N/A"/>
    <m/>
    <m/>
    <s v="COM"/>
    <m/>
    <s v="COM Pending"/>
    <s v="Active"/>
    <m/>
    <s v="NPI: Fabric is com for SW52"/>
    <m/>
  </r>
  <r>
    <x v="1"/>
    <x v="0"/>
    <x v="11"/>
    <m/>
    <x v="5"/>
    <s v="KD"/>
    <s v="KNOX DALLAS SUITE"/>
    <x v="33"/>
    <n v="1"/>
    <x v="3"/>
    <s v="REO"/>
    <s v="7. Mass Production"/>
    <d v="2025-12-10T00:00:00"/>
    <d v="2026-01-31T00:00:00"/>
    <m/>
    <x v="2"/>
    <s v="TX"/>
    <x v="5"/>
    <x v="5"/>
    <m/>
    <m/>
    <x v="2"/>
    <x v="0"/>
    <n v="388861"/>
    <n v="109813"/>
    <x v="10"/>
    <x v="0"/>
    <d v="2026-05-15T00:00:00"/>
    <d v="2026-11-13T00:00:00"/>
    <d v="2026-09-25T00:00:00"/>
    <d v="2026-12-27T00:00:00"/>
    <x v="16"/>
    <x v="17"/>
    <s v="Approved"/>
    <m/>
    <d v="2025-10-03T00:00:00"/>
    <s v="Approved"/>
    <m/>
    <m/>
    <s v="Approved"/>
    <m/>
    <m/>
    <s v="Approved"/>
    <m/>
    <m/>
    <s v="Approved"/>
    <m/>
    <m/>
    <s v="N/A"/>
    <m/>
    <m/>
    <s v="COM"/>
    <m/>
    <s v="COM Pending"/>
    <s v="Active"/>
    <m/>
    <s v="NPI: Fabric is com for SW52"/>
    <m/>
  </r>
  <r>
    <x v="1"/>
    <x v="0"/>
    <x v="11"/>
    <m/>
    <x v="5"/>
    <s v="KD"/>
    <s v="KNOX DALLAS SUITE"/>
    <x v="33"/>
    <n v="0"/>
    <x v="3"/>
    <s v="REO"/>
    <s v="7. Mass Production"/>
    <d v="2025-12-10T00:00:00"/>
    <d v="2026-01-31T00:00:00"/>
    <m/>
    <x v="2"/>
    <s v="TX"/>
    <x v="5"/>
    <x v="5"/>
    <m/>
    <m/>
    <x v="2"/>
    <x v="0"/>
    <n v="388861"/>
    <n v="40348"/>
    <x v="10"/>
    <x v="0"/>
    <d v="2026-05-15T00:00:00"/>
    <d v="2026-11-13T00:00:00"/>
    <d v="2026-09-25T00:00:00"/>
    <d v="2026-12-27T00:00:00"/>
    <x v="16"/>
    <x v="17"/>
    <s v="Approved"/>
    <m/>
    <d v="2025-10-03T00:00:00"/>
    <s v="Approved"/>
    <m/>
    <m/>
    <s v="Approved"/>
    <m/>
    <m/>
    <s v="Approved"/>
    <m/>
    <m/>
    <s v="Approved"/>
    <m/>
    <m/>
    <s v="N/A"/>
    <m/>
    <m/>
    <s v="COM"/>
    <m/>
    <s v="COM Pending"/>
    <s v="Active"/>
    <m/>
    <s v="NPI: Fabric is com for SW52"/>
    <m/>
  </r>
  <r>
    <x v="1"/>
    <x v="0"/>
    <x v="11"/>
    <m/>
    <x v="5"/>
    <s v="KD"/>
    <s v="KNOX DALLAS SUITE"/>
    <x v="33"/>
    <n v="0"/>
    <x v="3"/>
    <s v="REO"/>
    <s v="7. Mass Production"/>
    <d v="2025-12-10T00:00:00"/>
    <d v="2026-01-31T00:00:00"/>
    <m/>
    <x v="2"/>
    <s v="TX"/>
    <x v="5"/>
    <x v="5"/>
    <m/>
    <m/>
    <x v="2"/>
    <x v="0"/>
    <n v="388861"/>
    <n v="57229"/>
    <x v="15"/>
    <x v="0"/>
    <d v="2026-05-15T00:00:00"/>
    <d v="2026-11-13T00:00:00"/>
    <d v="2026-09-25T00:00:00"/>
    <d v="2026-12-27T00:00:00"/>
    <x v="16"/>
    <x v="17"/>
    <s v="Approved"/>
    <m/>
    <d v="2025-10-03T00:00:00"/>
    <s v="Approved"/>
    <m/>
    <m/>
    <s v="Approved"/>
    <m/>
    <m/>
    <s v="Approved"/>
    <m/>
    <m/>
    <s v="Approved"/>
    <m/>
    <m/>
    <s v="N/A"/>
    <m/>
    <m/>
    <s v="COM"/>
    <m/>
    <s v="COM Pending"/>
    <s v="Active"/>
    <m/>
    <s v="NPI: Fabric is com for SW52"/>
    <m/>
  </r>
  <r>
    <x v="1"/>
    <x v="0"/>
    <x v="11"/>
    <m/>
    <x v="5"/>
    <s v="KD"/>
    <s v="KNOX DALLAS INSPECTION COVERS"/>
    <x v="34"/>
    <n v="1"/>
    <x v="4"/>
    <s v="NEW"/>
    <s v="5. Production Readiness"/>
    <d v="2026-10-07T00:00:00"/>
    <d v="2026-10-08T00:00:00"/>
    <m/>
    <x v="2"/>
    <s v="TX"/>
    <x v="0"/>
    <x v="0"/>
    <m/>
    <m/>
    <x v="21"/>
    <x v="7"/>
    <n v="2680"/>
    <n v="2680"/>
    <x v="15"/>
    <x v="0"/>
    <m/>
    <m/>
    <s v="TBC"/>
    <s v="TBC"/>
    <x v="9"/>
    <x v="9"/>
    <s v="In Progress"/>
    <m/>
    <m/>
    <s v="In Progress"/>
    <m/>
    <m/>
    <s v="N/A"/>
    <m/>
    <m/>
    <s v="N/A"/>
    <m/>
    <m/>
    <s v="N/A"/>
    <m/>
    <m/>
    <s v="N/A"/>
    <m/>
    <m/>
    <s v="N/A"/>
    <m/>
    <m/>
    <s v="Active"/>
    <m/>
    <s v="NPI: In progress: Drawing, Veneer/Wood for SW TBC"/>
    <m/>
  </r>
  <r>
    <x v="1"/>
    <x v="0"/>
    <x v="6"/>
    <m/>
    <x v="6"/>
    <s v="AHMADIAH"/>
    <s v="MARRIOTT KHOBAR"/>
    <x v="35"/>
    <n v="1"/>
    <x v="2"/>
    <s v="NEW"/>
    <m/>
    <m/>
    <s v="-"/>
    <m/>
    <x v="5"/>
    <s v="Saudi Arabia"/>
    <x v="0"/>
    <x v="0"/>
    <m/>
    <m/>
    <x v="22"/>
    <x v="0"/>
    <m/>
    <m/>
    <x v="20"/>
    <x v="3"/>
    <s v="-"/>
    <m/>
    <d v="2026-04-04T00:00:00"/>
    <d v="2026-04-04T00:00:00"/>
    <x v="2"/>
    <x v="2"/>
    <m/>
    <m/>
    <m/>
    <m/>
    <m/>
    <m/>
    <m/>
    <m/>
    <m/>
    <m/>
    <m/>
    <m/>
    <m/>
    <m/>
    <m/>
    <m/>
    <m/>
    <m/>
    <m/>
    <m/>
    <m/>
    <s v="Complete"/>
    <m/>
    <s v="NPI: All development items approved/closed for SW14"/>
    <m/>
  </r>
  <r>
    <x v="2"/>
    <x v="0"/>
    <x v="9"/>
    <m/>
    <x v="7"/>
    <s v="MH"/>
    <s v="MH HOTEL PROJECT"/>
    <x v="36"/>
    <n v="1"/>
    <x v="0"/>
    <s v="NEW"/>
    <s v="8. Shipment"/>
    <d v="2026-02-26T00:00:00"/>
    <d v="2026-02-13T00:00:00"/>
    <m/>
    <x v="2"/>
    <s v="NC"/>
    <x v="0"/>
    <x v="0"/>
    <m/>
    <m/>
    <x v="9"/>
    <x v="0"/>
    <n v="48755"/>
    <n v="48755"/>
    <x v="1"/>
    <x v="0"/>
    <d v="2026-06-10T00:00:00"/>
    <m/>
    <d v="2026-04-04T00:00:00"/>
    <d v="2026-04-04T00:00:00"/>
    <x v="2"/>
    <x v="2"/>
    <s v="Approved"/>
    <m/>
    <m/>
    <s v="Approved"/>
    <m/>
    <m/>
    <s v="N/A"/>
    <m/>
    <m/>
    <s v="Approved"/>
    <m/>
    <m/>
    <s v="N/A"/>
    <m/>
    <m/>
    <s v="N/A"/>
    <m/>
    <m/>
    <s v="N/A"/>
    <m/>
    <m/>
    <s v="Complete"/>
    <m/>
    <s v="READY"/>
    <m/>
  </r>
  <r>
    <x v="1"/>
    <x v="0"/>
    <x v="2"/>
    <m/>
    <x v="8"/>
    <s v="MOHI"/>
    <s v="MOHI APPELLATION"/>
    <x v="37"/>
    <n v="1"/>
    <x v="0"/>
    <s v="NEW"/>
    <s v="8. Shipment"/>
    <d v="2025-09-05T00:00:00"/>
    <d v="2025-09-13T00:00:00"/>
    <d v="2025-12-09T00:00:00"/>
    <x v="2"/>
    <s v="CA"/>
    <x v="0"/>
    <x v="0"/>
    <m/>
    <m/>
    <x v="23"/>
    <x v="0"/>
    <n v="357775"/>
    <n v="178386"/>
    <x v="0"/>
    <x v="0"/>
    <s v="-"/>
    <m/>
    <d v="2026-04-04T00:00:00"/>
    <d v="2026-04-04T00:00:00"/>
    <x v="2"/>
    <x v="2"/>
    <s v="Approved"/>
    <m/>
    <m/>
    <s v="Approved"/>
    <m/>
    <m/>
    <s v="Approved"/>
    <m/>
    <m/>
    <s v="Approved"/>
    <m/>
    <m/>
    <s v="Approved"/>
    <m/>
    <m/>
    <s v="N/A"/>
    <m/>
    <m/>
    <s v="In Progress"/>
    <m/>
    <m/>
    <s v="Complete"/>
    <m/>
    <s v="READY"/>
    <m/>
  </r>
  <r>
    <x v="1"/>
    <x v="0"/>
    <x v="2"/>
    <m/>
    <x v="8"/>
    <s v="MOHI"/>
    <s v="MOHI APPELLATION"/>
    <x v="37"/>
    <n v="0"/>
    <x v="0"/>
    <s v="NEW"/>
    <s v="8. Shipment"/>
    <d v="2025-09-05T00:00:00"/>
    <d v="2025-09-13T00:00:00"/>
    <d v="2025-12-09T00:00:00"/>
    <x v="2"/>
    <s v="CA"/>
    <x v="0"/>
    <x v="0"/>
    <m/>
    <m/>
    <x v="23"/>
    <x v="0"/>
    <n v="357775"/>
    <n v="179389"/>
    <x v="1"/>
    <x v="0"/>
    <s v="-"/>
    <m/>
    <d v="2026-04-04T00:00:00"/>
    <d v="2026-04-04T00:00:00"/>
    <x v="2"/>
    <x v="2"/>
    <s v="Approved"/>
    <m/>
    <m/>
    <s v="Approved"/>
    <m/>
    <m/>
    <s v="Approved"/>
    <m/>
    <m/>
    <s v="Approved"/>
    <m/>
    <m/>
    <s v="Approved"/>
    <m/>
    <m/>
    <s v="N/A"/>
    <m/>
    <m/>
    <s v="In Progress"/>
    <m/>
    <m/>
    <s v="Complete"/>
    <m/>
    <s v="READY"/>
    <m/>
  </r>
  <r>
    <x v="1"/>
    <x v="0"/>
    <x v="5"/>
    <s v="Aaron Newell"/>
    <x v="8"/>
    <s v="MOHI"/>
    <s v="MOHI APPELLATION"/>
    <x v="38"/>
    <n v="1"/>
    <x v="3"/>
    <s v="NEW"/>
    <s v="7. Mass Production"/>
    <d v="2026-05-02T00:00:00"/>
    <d v="2026-05-02T00:00:00"/>
    <m/>
    <x v="2"/>
    <s v="CA"/>
    <x v="1"/>
    <x v="1"/>
    <m/>
    <m/>
    <x v="24"/>
    <x v="0"/>
    <n v="100242"/>
    <n v="49464"/>
    <x v="9"/>
    <x v="0"/>
    <s v="-"/>
    <m/>
    <d v="2026-09-25T00:00:00"/>
    <d v="2026-10-09T00:00:00"/>
    <x v="16"/>
    <x v="18"/>
    <s v="Approved"/>
    <m/>
    <d v="2026-06-18T00:00:00"/>
    <s v="Approved"/>
    <m/>
    <m/>
    <s v="Approved"/>
    <m/>
    <m/>
    <s v="Approved"/>
    <m/>
    <m/>
    <s v="N/A"/>
    <m/>
    <m/>
    <s v="N/A"/>
    <m/>
    <m/>
    <s v="Approved"/>
    <m/>
    <m/>
    <s v="Active"/>
    <m/>
    <s v="NPI: All development items approved/closed for SW41"/>
    <s v="Waiting boooking"/>
  </r>
  <r>
    <x v="1"/>
    <x v="0"/>
    <x v="5"/>
    <s v="Aaron Newell"/>
    <x v="8"/>
    <s v="MOHI"/>
    <s v="MOHI APPELLATION"/>
    <x v="38"/>
    <n v="0"/>
    <x v="3"/>
    <s v="NEW"/>
    <s v="7. Mass Production"/>
    <d v="2026-05-02T00:00:00"/>
    <d v="2026-05-02T00:00:00"/>
    <m/>
    <x v="2"/>
    <s v="CA"/>
    <x v="1"/>
    <x v="1"/>
    <m/>
    <m/>
    <x v="24"/>
    <x v="0"/>
    <n v="100242"/>
    <n v="50779"/>
    <x v="9"/>
    <x v="0"/>
    <s v="-"/>
    <m/>
    <d v="2026-09-25T00:00:00"/>
    <d v="2026-10-09T00:00:00"/>
    <x v="16"/>
    <x v="18"/>
    <s v="Approved"/>
    <m/>
    <d v="2026-06-18T00:00:00"/>
    <s v="Approved"/>
    <m/>
    <m/>
    <s v="Approved"/>
    <m/>
    <m/>
    <s v="Approved"/>
    <m/>
    <m/>
    <s v="N/A"/>
    <m/>
    <m/>
    <s v="N/A"/>
    <m/>
    <m/>
    <s v="Approved"/>
    <m/>
    <m/>
    <s v="Active"/>
    <m/>
    <s v="NPI: All development items approved/closed for SW41"/>
    <s v="Waiting boooking"/>
  </r>
  <r>
    <x v="1"/>
    <x v="0"/>
    <x v="8"/>
    <m/>
    <x v="2"/>
    <s v="L&amp;S"/>
    <s v="RITZ CARLTON COTTON BAY"/>
    <x v="39"/>
    <n v="1"/>
    <x v="1"/>
    <s v="NEW"/>
    <s v="3. Prototype Readiness"/>
    <d v="2025-04-11T00:00:00"/>
    <s v="-"/>
    <m/>
    <x v="0"/>
    <s v="Bahamas"/>
    <x v="1"/>
    <x v="1"/>
    <m/>
    <m/>
    <x v="25"/>
    <x v="0"/>
    <n v="3134000"/>
    <n v="1044666.66666667"/>
    <x v="17"/>
    <x v="1"/>
    <s v="-"/>
    <m/>
    <d v="2026-04-04T00:00:00"/>
    <d v="2026-04-04T00:00:00"/>
    <x v="2"/>
    <x v="2"/>
    <s v="Approved"/>
    <m/>
    <m/>
    <s v="Approved"/>
    <m/>
    <m/>
    <m/>
    <m/>
    <m/>
    <m/>
    <m/>
    <m/>
    <m/>
    <m/>
    <m/>
    <m/>
    <m/>
    <m/>
    <m/>
    <m/>
    <m/>
    <s v="Active"/>
    <m/>
    <s v="NPI: All development items approved/closed for SW14"/>
    <m/>
  </r>
  <r>
    <x v="1"/>
    <x v="0"/>
    <x v="8"/>
    <m/>
    <x v="2"/>
    <s v="L&amp;S"/>
    <s v="RITZ CARLTON COTTON BAY"/>
    <x v="39"/>
    <n v="0"/>
    <x v="1"/>
    <s v="NEW"/>
    <s v="3. Prototype Readiness"/>
    <d v="2025-04-11T00:00:00"/>
    <s v="-"/>
    <m/>
    <x v="0"/>
    <s v="Bahamas"/>
    <x v="1"/>
    <x v="1"/>
    <m/>
    <m/>
    <x v="25"/>
    <x v="0"/>
    <n v="3134000"/>
    <n v="1044666.66666667"/>
    <x v="21"/>
    <x v="1"/>
    <s v="-"/>
    <m/>
    <d v="2026-04-04T00:00:00"/>
    <d v="2026-04-04T00:00:00"/>
    <x v="2"/>
    <x v="2"/>
    <s v="Approved"/>
    <m/>
    <m/>
    <s v="Approved"/>
    <m/>
    <m/>
    <m/>
    <m/>
    <m/>
    <m/>
    <m/>
    <m/>
    <m/>
    <m/>
    <m/>
    <m/>
    <m/>
    <m/>
    <m/>
    <m/>
    <m/>
    <s v="Active"/>
    <m/>
    <s v="NPI: All development items approved/closed for SW14"/>
    <m/>
  </r>
  <r>
    <x v="1"/>
    <x v="0"/>
    <x v="8"/>
    <m/>
    <x v="2"/>
    <s v="L&amp;S"/>
    <s v="RITZ CARLTON COTTON BAY"/>
    <x v="39"/>
    <n v="0"/>
    <x v="1"/>
    <s v="NEW"/>
    <s v="3. Prototype Readiness"/>
    <d v="2025-04-11T00:00:00"/>
    <s v="-"/>
    <m/>
    <x v="0"/>
    <s v="Bahamas"/>
    <x v="1"/>
    <x v="1"/>
    <m/>
    <m/>
    <x v="25"/>
    <x v="0"/>
    <n v="3134000"/>
    <n v="1044666.66666667"/>
    <x v="22"/>
    <x v="1"/>
    <s v="-"/>
    <m/>
    <d v="2026-04-04T00:00:00"/>
    <d v="2026-04-04T00:00:00"/>
    <x v="2"/>
    <x v="2"/>
    <s v="Approved"/>
    <m/>
    <m/>
    <s v="Approved"/>
    <m/>
    <m/>
    <m/>
    <m/>
    <m/>
    <m/>
    <m/>
    <m/>
    <m/>
    <m/>
    <m/>
    <m/>
    <m/>
    <m/>
    <m/>
    <m/>
    <m/>
    <s v="Active"/>
    <m/>
    <s v="NPI: All development items approved/closed for SW14"/>
    <m/>
  </r>
  <r>
    <x v="1"/>
    <x v="0"/>
    <x v="9"/>
    <m/>
    <x v="9"/>
    <s v="PLUS CORPORATION"/>
    <s v="SOHO HOUSE TOKYO"/>
    <x v="40"/>
    <n v="1"/>
    <x v="0"/>
    <s v="NEW"/>
    <s v="8. Shipment"/>
    <d v="2025-10-18T00:00:00"/>
    <d v="2026-03-06T00:00:00"/>
    <m/>
    <x v="6"/>
    <s v="Japan"/>
    <x v="0"/>
    <x v="0"/>
    <m/>
    <m/>
    <x v="26"/>
    <x v="0"/>
    <n v="24012"/>
    <n v="21344"/>
    <x v="13"/>
    <x v="0"/>
    <d v="2026-04-18T00:00:00"/>
    <m/>
    <d v="2026-04-04T00:00:00"/>
    <d v="2026-04-04T00:00:00"/>
    <x v="2"/>
    <x v="2"/>
    <s v="Approved"/>
    <m/>
    <d v="2025-10-31T00:00:00"/>
    <s v="Approved"/>
    <m/>
    <d v="2025-11-25T00:00:00"/>
    <s v="Approved"/>
    <m/>
    <d v="2025-11-25T00:00:00"/>
    <s v="Approved"/>
    <m/>
    <d v="2025-11-25T00:00:00"/>
    <s v="N/A"/>
    <m/>
    <m/>
    <s v="N/A"/>
    <m/>
    <m/>
    <s v="COM Received "/>
    <m/>
    <m/>
    <s v="Complete"/>
    <m/>
    <s v="READY"/>
    <m/>
  </r>
  <r>
    <x v="1"/>
    <x v="0"/>
    <x v="9"/>
    <m/>
    <x v="9"/>
    <s v="PLUS CORPORATION"/>
    <s v="SOHO HOUSE TOKYO"/>
    <x v="40"/>
    <n v="0"/>
    <x v="0"/>
    <s v="REO"/>
    <s v="8. Shipment"/>
    <d v="2025-03-03T00:00:00"/>
    <d v="2026-03-06T00:00:00"/>
    <m/>
    <x v="6"/>
    <s v="Japan"/>
    <x v="0"/>
    <x v="0"/>
    <m/>
    <m/>
    <x v="26"/>
    <x v="0"/>
    <n v="24012"/>
    <n v="2668"/>
    <x v="0"/>
    <x v="0"/>
    <d v="2026-04-18T00:00:00"/>
    <m/>
    <d v="2026-04-04T00:00:00"/>
    <d v="2026-04-04T00:00:00"/>
    <x v="2"/>
    <x v="2"/>
    <s v="Approved"/>
    <m/>
    <d v="2025-10-31T00:00:00"/>
    <s v="N/A"/>
    <m/>
    <d v="2025-11-25T00:00:00"/>
    <s v="Approved"/>
    <m/>
    <d v="2025-11-25T00:00:00"/>
    <s v="Approved"/>
    <m/>
    <d v="2025-11-25T00:00:00"/>
    <s v="N/A"/>
    <m/>
    <m/>
    <s v="N/A"/>
    <m/>
    <m/>
    <s v="COM Received "/>
    <m/>
    <m/>
    <s v="Complete"/>
    <m/>
    <s v="READY"/>
    <m/>
  </r>
  <r>
    <x v="1"/>
    <x v="0"/>
    <x v="9"/>
    <m/>
    <x v="10"/>
    <s v="SPECTRUM"/>
    <s v="1122 MADISON "/>
    <x v="41"/>
    <n v="1"/>
    <x v="0"/>
    <s v="NEW"/>
    <s v="8. Shipment"/>
    <d v="2026-03-11T00:00:00"/>
    <d v="2026-03-13T00:00:00"/>
    <d v="2026-04-02T00:00:00"/>
    <x v="2"/>
    <s v="NY"/>
    <x v="0"/>
    <x v="0"/>
    <m/>
    <m/>
    <x v="27"/>
    <x v="0"/>
    <n v="93065.64"/>
    <n v="80755"/>
    <x v="2"/>
    <x v="0"/>
    <d v="2026-06-26T00:00:00"/>
    <m/>
    <d v="2026-04-04T00:00:00"/>
    <d v="2026-04-04T00:00:00"/>
    <x v="2"/>
    <x v="2"/>
    <s v="Approved"/>
    <m/>
    <d v="2026-04-04T00:00:00"/>
    <s v="Approved"/>
    <m/>
    <d v="2026-06-08T00:00:00"/>
    <s v="N/A"/>
    <m/>
    <m/>
    <s v="Approved"/>
    <m/>
    <d v="2026-05-27T00:00:00"/>
    <s v="Approved"/>
    <m/>
    <d v="2026-03-13T00:00:00"/>
    <s v="N/A"/>
    <m/>
    <m/>
    <s v="N/A"/>
    <m/>
    <m/>
    <s v="Complete"/>
    <m/>
    <s v="READY"/>
    <m/>
  </r>
  <r>
    <x v="1"/>
    <x v="0"/>
    <x v="9"/>
    <m/>
    <x v="10"/>
    <s v="SPECTRUM"/>
    <s v="1122 MADISON "/>
    <x v="41"/>
    <n v="0"/>
    <x v="0"/>
    <s v="NEW"/>
    <s v="8. Shipment"/>
    <d v="2026-03-11T00:00:00"/>
    <d v="2026-03-13T00:00:00"/>
    <d v="2026-04-02T00:00:00"/>
    <x v="2"/>
    <s v="NY"/>
    <x v="0"/>
    <x v="0"/>
    <m/>
    <m/>
    <x v="27"/>
    <x v="0"/>
    <n v="93065.64"/>
    <n v="12310"/>
    <x v="2"/>
    <x v="0"/>
    <d v="2026-06-26T00:00:00"/>
    <m/>
    <d v="2026-04-04T00:00:00"/>
    <d v="2026-04-04T00:00:00"/>
    <x v="2"/>
    <x v="2"/>
    <s v="Approved"/>
    <m/>
    <d v="2026-04-04T00:00:00"/>
    <s v="Approved"/>
    <m/>
    <d v="2026-06-08T00:00:00"/>
    <s v="N/A"/>
    <m/>
    <m/>
    <s v="Approved"/>
    <m/>
    <d v="2026-05-27T00:00:00"/>
    <s v="Approved"/>
    <m/>
    <d v="2026-03-13T00:00:00"/>
    <s v="N/A"/>
    <m/>
    <m/>
    <s v="N/A"/>
    <m/>
    <m/>
    <s v="Complete"/>
    <m/>
    <s v="READY"/>
    <m/>
  </r>
  <r>
    <x v="3"/>
    <x v="0"/>
    <x v="9"/>
    <m/>
    <x v="11"/>
    <s v="RSC"/>
    <s v="THẢO ĐIỀN OFFICE"/>
    <x v="42"/>
    <n v="1"/>
    <x v="0"/>
    <s v="NEW"/>
    <s v="8. Shipment"/>
    <m/>
    <s v="-"/>
    <m/>
    <x v="7"/>
    <s v="Vietnam"/>
    <x v="0"/>
    <x v="0"/>
    <m/>
    <m/>
    <x v="19"/>
    <x v="0"/>
    <n v="10003.5"/>
    <n v="10003.5"/>
    <x v="13"/>
    <x v="0"/>
    <d v="2026-04-03T00:00:00"/>
    <m/>
    <d v="2026-04-04T00:00:00"/>
    <d v="2026-04-04T00:00:00"/>
    <x v="2"/>
    <x v="2"/>
    <s v="Approved"/>
    <m/>
    <d v="2026-01-15T00:00:00"/>
    <s v="Approved"/>
    <m/>
    <d v="2026-01-15T00:00:00"/>
    <m/>
    <m/>
    <s v="Approved"/>
    <n v="46037"/>
    <m/>
    <s v="Approved"/>
    <n v="46037"/>
    <m/>
    <m/>
    <s v="N/A"/>
    <m/>
    <m/>
    <s v="N/A"/>
    <m/>
    <m/>
    <s v="Complete"/>
    <m/>
    <s v="READY"/>
    <m/>
  </r>
  <r>
    <x v="1"/>
    <x v="0"/>
    <x v="7"/>
    <m/>
    <x v="12"/>
    <s v="TRIMA"/>
    <s v="JRH"/>
    <x v="43"/>
    <n v="1"/>
    <x v="0"/>
    <s v="NEW"/>
    <s v="8. Shipment"/>
    <d v="2026-03-03T00:00:00"/>
    <d v="2026-03-09T00:00:00"/>
    <m/>
    <x v="8"/>
    <s v="Jamaica"/>
    <x v="0"/>
    <x v="0"/>
    <m/>
    <m/>
    <x v="28"/>
    <x v="0"/>
    <n v="1022211"/>
    <n v="525145.19999999995"/>
    <x v="2"/>
    <x v="0"/>
    <d v="2026-07-31T00:00:00"/>
    <d v="2026-08-31T00:00:00"/>
    <d v="2026-07-13T00:00:00"/>
    <d v="2026-09-04T00:00:00"/>
    <x v="17"/>
    <x v="3"/>
    <s v="Approved"/>
    <m/>
    <d v="2026-05-22T00:00:00"/>
    <s v="Approved"/>
    <m/>
    <m/>
    <s v="N/A"/>
    <m/>
    <m/>
    <s v="Approved"/>
    <m/>
    <m/>
    <s v="N/A"/>
    <m/>
    <m/>
    <s v="N/A"/>
    <m/>
    <m/>
    <s v="COM Pending"/>
    <m/>
    <d v="2026-06-05T00:00:00"/>
    <s v="Complete"/>
    <m/>
    <s v="READY"/>
    <m/>
  </r>
  <r>
    <x v="1"/>
    <x v="0"/>
    <x v="7"/>
    <m/>
    <x v="12"/>
    <s v="TRIMA"/>
    <s v="JRH"/>
    <x v="43"/>
    <n v="0"/>
    <x v="0"/>
    <s v="NEW"/>
    <s v="8. Shipment"/>
    <d v="2026-03-03T00:00:00"/>
    <d v="2026-03-09T00:00:00"/>
    <m/>
    <x v="8"/>
    <s v="Jamaica"/>
    <x v="0"/>
    <x v="0"/>
    <m/>
    <m/>
    <x v="28"/>
    <x v="0"/>
    <n v="1022211"/>
    <n v="471952.96"/>
    <x v="3"/>
    <x v="0"/>
    <d v="2026-07-31T00:00:00"/>
    <d v="2026-08-31T00:00:00"/>
    <d v="2026-07-13T00:00:00"/>
    <d v="2026-09-04T00:00:00"/>
    <x v="17"/>
    <x v="3"/>
    <s v="Approved"/>
    <m/>
    <d v="2026-05-22T00:00:00"/>
    <s v="Approved"/>
    <m/>
    <m/>
    <s v="N/A"/>
    <m/>
    <m/>
    <s v="Approved"/>
    <m/>
    <m/>
    <s v="N/A"/>
    <m/>
    <m/>
    <s v="N/A"/>
    <m/>
    <m/>
    <s v="COM Pending"/>
    <m/>
    <d v="2026-06-05T00:00:00"/>
    <s v="Complete"/>
    <m/>
    <s v="READY"/>
    <m/>
  </r>
  <r>
    <x v="1"/>
    <x v="0"/>
    <x v="7"/>
    <m/>
    <x v="12"/>
    <s v="TRIMA"/>
    <s v="JRH"/>
    <x v="43"/>
    <n v="0"/>
    <x v="0"/>
    <s v="NEW"/>
    <s v="6. Pilot Run"/>
    <d v="2026-03-03T00:00:00"/>
    <d v="2026-03-09T00:00:00"/>
    <m/>
    <x v="8"/>
    <s v="Jamaica"/>
    <x v="1"/>
    <x v="1"/>
    <m/>
    <m/>
    <x v="28"/>
    <x v="0"/>
    <n v="1022211"/>
    <n v="38212.51"/>
    <x v="8"/>
    <x v="0"/>
    <d v="2026-07-31T00:00:00"/>
    <d v="2026-08-31T00:00:00"/>
    <d v="2026-07-13T00:00:00"/>
    <d v="2026-09-11T00:00:00"/>
    <x v="17"/>
    <x v="6"/>
    <s v="Approved"/>
    <m/>
    <d v="2026-05-22T00:00:00"/>
    <s v="Approved"/>
    <m/>
    <m/>
    <s v="N/A"/>
    <m/>
    <m/>
    <s v="Approved"/>
    <m/>
    <m/>
    <s v="N/A"/>
    <m/>
    <m/>
    <s v="N/A"/>
    <m/>
    <m/>
    <s v="COM Pending"/>
    <m/>
    <d v="2026-06-05T00:00:00"/>
    <s v="Complete"/>
    <m/>
    <s v="READY"/>
    <m/>
  </r>
  <r>
    <x v="1"/>
    <x v="1"/>
    <x v="9"/>
    <m/>
    <x v="2"/>
    <s v="L&amp;S"/>
    <s v="ELYSEE HOTEL"/>
    <x v="25"/>
    <n v="1"/>
    <x v="0"/>
    <s v="NEW"/>
    <s v="8. Shipment"/>
    <d v="2026-01-05T00:00:00"/>
    <d v="2025-12-18T00:00:00"/>
    <m/>
    <x v="2"/>
    <s v="NY"/>
    <x v="1"/>
    <x v="1"/>
    <m/>
    <m/>
    <x v="29"/>
    <x v="0"/>
    <n v="3015.9900000000002"/>
    <n v="3015.9900000000002"/>
    <x v="8"/>
    <x v="0"/>
    <s v="-"/>
    <m/>
    <d v="2026-08-08T00:00:00"/>
    <d v="2026-09-12T00:00:00"/>
    <x v="12"/>
    <x v="6"/>
    <s v="Approved"/>
    <m/>
    <m/>
    <s v="Approved"/>
    <m/>
    <m/>
    <s v="Approved"/>
    <m/>
    <m/>
    <s v="Approved"/>
    <m/>
    <m/>
    <s v="Approved"/>
    <m/>
    <m/>
    <s v="N/A"/>
    <m/>
    <m/>
    <s v="COM Received"/>
    <m/>
    <m/>
    <s v="Complete"/>
    <m/>
    <s v="READY"/>
    <s v="Completed, waiting to load cont"/>
  </r>
  <r>
    <x v="1"/>
    <x v="1"/>
    <x v="3"/>
    <m/>
    <x v="13"/>
    <s v="BROOKFIELD"/>
    <s v="PARK HYATT VANCOUVER"/>
    <x v="44"/>
    <n v="1"/>
    <x v="0"/>
    <s v="NEW"/>
    <s v="8. Shipment"/>
    <d v="2026-01-15T00:00:00"/>
    <d v="2026-02-02T00:00:00"/>
    <m/>
    <x v="1"/>
    <s v="Canada"/>
    <x v="0"/>
    <x v="0"/>
    <m/>
    <m/>
    <x v="3"/>
    <x v="0"/>
    <n v="14470.66"/>
    <n v="14470.66"/>
    <x v="0"/>
    <x v="0"/>
    <d v="2026-05-08T00:00:00"/>
    <m/>
    <d v="2026-04-04T00:00:00"/>
    <d v="2026-04-04T00:00:00"/>
    <x v="2"/>
    <x v="2"/>
    <s v="Approved"/>
    <m/>
    <m/>
    <s v="Approved"/>
    <m/>
    <m/>
    <s v="In Progress"/>
    <m/>
    <m/>
    <s v="In Progress"/>
    <m/>
    <m/>
    <s v="In Progress"/>
    <m/>
    <m/>
    <s v="In Progress"/>
    <m/>
    <m/>
    <s v="COM"/>
    <m/>
    <m/>
    <s v="Complete"/>
    <m/>
    <s v="READY"/>
    <m/>
  </r>
  <r>
    <x v="1"/>
    <x v="0"/>
    <x v="3"/>
    <m/>
    <x v="13"/>
    <s v="BROOKFIELD"/>
    <s v="PARK HYATT VANCOUVER"/>
    <x v="44"/>
    <n v="1"/>
    <x v="1"/>
    <s v="NEW"/>
    <s v="4. Prototype Build"/>
    <m/>
    <m/>
    <m/>
    <x v="1"/>
    <s v="Canada"/>
    <x v="3"/>
    <x v="3"/>
    <m/>
    <m/>
    <x v="3"/>
    <x v="0"/>
    <n v="802234"/>
    <n v="401117"/>
    <x v="14"/>
    <x v="1"/>
    <s v="-"/>
    <m/>
    <s v="TBC"/>
    <s v="TBC"/>
    <x v="9"/>
    <x v="9"/>
    <s v="Not Started "/>
    <m/>
    <m/>
    <s v="Not Started"/>
    <m/>
    <m/>
    <s v="Not Started "/>
    <m/>
    <m/>
    <s v="Not Started "/>
    <m/>
    <m/>
    <s v="Not Started "/>
    <m/>
    <m/>
    <s v="Not Started "/>
    <m/>
    <m/>
    <s v="Not Started "/>
    <m/>
    <m/>
    <s v="Active"/>
    <m/>
    <s v="NPI: Not started: Veneer/Wood for SW TBC"/>
    <m/>
  </r>
  <r>
    <x v="1"/>
    <x v="0"/>
    <x v="3"/>
    <m/>
    <x v="13"/>
    <s v="BROOKFIELD"/>
    <s v="PARK HYATT VANCOUVER"/>
    <x v="44"/>
    <n v="0"/>
    <x v="1"/>
    <s v="NEW"/>
    <s v="4. Prototype Build"/>
    <m/>
    <m/>
    <m/>
    <x v="1"/>
    <s v="Canada"/>
    <x v="3"/>
    <x v="3"/>
    <m/>
    <m/>
    <x v="3"/>
    <x v="0"/>
    <n v="802234"/>
    <n v="401117"/>
    <x v="4"/>
    <x v="1"/>
    <s v="-"/>
    <m/>
    <s v="TBC"/>
    <s v="TBC"/>
    <x v="9"/>
    <x v="9"/>
    <s v="Not Started "/>
    <m/>
    <m/>
    <s v="Not Started"/>
    <m/>
    <m/>
    <s v="Not Started "/>
    <m/>
    <m/>
    <s v="Not Started "/>
    <m/>
    <m/>
    <s v="Not Started "/>
    <m/>
    <m/>
    <s v="Not Started "/>
    <m/>
    <m/>
    <s v="Not Started "/>
    <m/>
    <m/>
    <s v="Active"/>
    <m/>
    <s v="NPI: Not started: Veneer/Wood for SW TBC"/>
    <m/>
  </r>
  <r>
    <x v="1"/>
    <x v="1"/>
    <x v="12"/>
    <m/>
    <x v="3"/>
    <s v="FLEETWOOD "/>
    <s v="W-HOTEL-LAS-VEGAS"/>
    <x v="45"/>
    <n v="1"/>
    <x v="0"/>
    <s v="NEW"/>
    <s v="8. Shipment"/>
    <d v="2025-10-09T00:00:00"/>
    <d v="2025-11-12T00:00:00"/>
    <m/>
    <x v="2"/>
    <s v="NV"/>
    <x v="0"/>
    <x v="0"/>
    <m/>
    <m/>
    <x v="5"/>
    <x v="0"/>
    <n v="15271.3"/>
    <n v="15271.3"/>
    <x v="13"/>
    <x v="0"/>
    <s v="-"/>
    <m/>
    <d v="2026-04-04T00:00:00"/>
    <d v="2026-04-04T00:00:00"/>
    <x v="2"/>
    <x v="2"/>
    <s v="Approved"/>
    <m/>
    <m/>
    <s v="Approved"/>
    <m/>
    <m/>
    <s v="Approved"/>
    <m/>
    <m/>
    <s v="Approved"/>
    <m/>
    <m/>
    <s v="Approved"/>
    <m/>
    <m/>
    <s v="In Progress"/>
    <m/>
    <m/>
    <s v="COM"/>
    <m/>
    <m/>
    <s v="Complete"/>
    <m/>
    <s v="READY"/>
    <m/>
  </r>
  <r>
    <x v="1"/>
    <x v="0"/>
    <x v="1"/>
    <s v="Elaine"/>
    <x v="3"/>
    <s v="FLEETWOOD "/>
    <s v="W-HOTEL-LAS-VEGAS"/>
    <x v="45"/>
    <n v="1"/>
    <x v="1"/>
    <s v="NEW"/>
    <s v="4. Prototype Build"/>
    <d v="2025-10-09T00:00:00"/>
    <s v="PENDING"/>
    <s v="PENDING"/>
    <x v="2"/>
    <s v="NV"/>
    <x v="1"/>
    <x v="1"/>
    <m/>
    <m/>
    <x v="5"/>
    <x v="0"/>
    <n v="3466407"/>
    <n v="1155469"/>
    <x v="14"/>
    <x v="1"/>
    <s v="-"/>
    <m/>
    <s v="TBC"/>
    <s v="TBC"/>
    <x v="9"/>
    <x v="9"/>
    <s v="Not Started "/>
    <m/>
    <m/>
    <s v="Not Started"/>
    <m/>
    <m/>
    <m/>
    <m/>
    <m/>
    <m/>
    <m/>
    <m/>
    <m/>
    <m/>
    <m/>
    <m/>
    <m/>
    <m/>
    <m/>
    <m/>
    <m/>
    <s v="Active"/>
    <m/>
    <s v="NPI: Not started: Veneer/Wood for SW TBC"/>
    <m/>
  </r>
  <r>
    <x v="1"/>
    <x v="0"/>
    <x v="1"/>
    <s v="Elaine"/>
    <x v="3"/>
    <s v="FLEETWOOD "/>
    <s v="W-HOTEL-LAS-VEGAS"/>
    <x v="45"/>
    <n v="0"/>
    <x v="1"/>
    <s v="NEW"/>
    <s v="4. Prototype Build"/>
    <d v="2025-10-09T00:00:00"/>
    <s v="PENDING"/>
    <s v="PENDING"/>
    <x v="2"/>
    <s v="NV"/>
    <x v="1"/>
    <x v="1"/>
    <m/>
    <m/>
    <x v="5"/>
    <x v="0"/>
    <n v="3466407"/>
    <n v="1155469"/>
    <x v="4"/>
    <x v="1"/>
    <s v="-"/>
    <m/>
    <s v="TBC"/>
    <s v="TBC"/>
    <x v="9"/>
    <x v="9"/>
    <s v="Not Started "/>
    <m/>
    <m/>
    <s v="Not Started"/>
    <m/>
    <m/>
    <m/>
    <m/>
    <m/>
    <m/>
    <m/>
    <m/>
    <m/>
    <m/>
    <m/>
    <m/>
    <m/>
    <m/>
    <m/>
    <m/>
    <m/>
    <s v="Active"/>
    <m/>
    <s v="NPI: Not started: Veneer/Wood for SW TBC"/>
    <m/>
  </r>
  <r>
    <x v="1"/>
    <x v="0"/>
    <x v="1"/>
    <s v="Elaine"/>
    <x v="3"/>
    <s v="FLEETWOOD "/>
    <s v="W-HOTEL-LAS-VEGAS"/>
    <x v="45"/>
    <n v="0"/>
    <x v="1"/>
    <s v="NEW"/>
    <s v="4. Prototype Build"/>
    <d v="2025-10-09T00:00:00"/>
    <s v="PENDING"/>
    <s v="PENDING"/>
    <x v="2"/>
    <s v="NV"/>
    <x v="1"/>
    <x v="1"/>
    <m/>
    <m/>
    <x v="5"/>
    <x v="0"/>
    <n v="3466407"/>
    <n v="1155469"/>
    <x v="5"/>
    <x v="1"/>
    <s v="-"/>
    <m/>
    <s v="TBC"/>
    <s v="TBC"/>
    <x v="9"/>
    <x v="9"/>
    <s v="Not Started "/>
    <m/>
    <m/>
    <s v="Not Started"/>
    <m/>
    <m/>
    <m/>
    <m/>
    <m/>
    <m/>
    <m/>
    <m/>
    <m/>
    <m/>
    <m/>
    <m/>
    <m/>
    <m/>
    <m/>
    <m/>
    <m/>
    <s v="Active"/>
    <m/>
    <s v="NPI: Not started: Veneer/Wood for SW TBC"/>
    <m/>
  </r>
  <r>
    <x v="1"/>
    <x v="1"/>
    <x v="9"/>
    <m/>
    <x v="2"/>
    <s v="L&amp;S"/>
    <s v="HARD ROCK SAN JUAN"/>
    <x v="46"/>
    <n v="1"/>
    <x v="8"/>
    <s v="NEW"/>
    <s v="5. Production Readiness"/>
    <d v="2026-04-29T00:00:00"/>
    <d v="2026-06-02T00:00:00"/>
    <d v="2026-03-19T00:00:00"/>
    <x v="2"/>
    <s v="PR"/>
    <x v="1"/>
    <x v="1"/>
    <m/>
    <m/>
    <x v="16"/>
    <x v="1"/>
    <n v="6614.04"/>
    <n v="6614.04"/>
    <x v="8"/>
    <x v="0"/>
    <d v="2026-07-31T00:00:00"/>
    <m/>
    <d v="2026-10-16T00:00:00"/>
    <d v="2026-10-30T00:00:00"/>
    <x v="18"/>
    <x v="7"/>
    <s v="In Progress"/>
    <m/>
    <m/>
    <s v="Pending Approval"/>
    <m/>
    <m/>
    <s v="In Progress"/>
    <m/>
    <m/>
    <s v="Pending Approval"/>
    <m/>
    <m/>
    <s v="Pending approval"/>
    <m/>
    <m/>
    <s v="In Progress"/>
    <m/>
    <m/>
    <s v="N/A"/>
    <m/>
    <m/>
    <s v="Complete"/>
    <m/>
    <s v="NPD: In progress: Drawing, Marble, Electrical; Pending approval: Veneer/Wood, Metal, Mirror for SW44"/>
    <m/>
  </r>
  <r>
    <x v="1"/>
    <x v="0"/>
    <x v="9"/>
    <m/>
    <x v="2"/>
    <s v="L&amp;S"/>
    <s v="HARD ROCK SAN JUAN"/>
    <x v="46"/>
    <n v="1"/>
    <x v="1"/>
    <s v="NEW"/>
    <s v="2. Product &amp; Process Dev"/>
    <m/>
    <m/>
    <m/>
    <x v="2"/>
    <s v="PR"/>
    <x v="6"/>
    <x v="6"/>
    <m/>
    <m/>
    <x v="30"/>
    <x v="0"/>
    <n v="1500000"/>
    <n v="750000"/>
    <x v="23"/>
    <x v="1"/>
    <m/>
    <m/>
    <s v="TBC"/>
    <s v="TBC"/>
    <x v="9"/>
    <x v="9"/>
    <s v="In Progress"/>
    <m/>
    <m/>
    <s v="In Progress"/>
    <m/>
    <m/>
    <m/>
    <m/>
    <m/>
    <m/>
    <m/>
    <m/>
    <m/>
    <m/>
    <m/>
    <m/>
    <m/>
    <m/>
    <m/>
    <m/>
    <m/>
    <s v="Active"/>
    <m/>
    <s v="NPI: In progress: Drawing, Veneer/Wood for SW TBC"/>
    <m/>
  </r>
  <r>
    <x v="1"/>
    <x v="0"/>
    <x v="9"/>
    <m/>
    <x v="2"/>
    <s v="L&amp;S"/>
    <s v="HARD ROCK SAN JUAN"/>
    <x v="46"/>
    <n v="0"/>
    <x v="1"/>
    <s v="NEW"/>
    <s v="2. Product &amp; Process Dev"/>
    <m/>
    <m/>
    <m/>
    <x v="2"/>
    <s v="PR"/>
    <x v="6"/>
    <x v="6"/>
    <m/>
    <m/>
    <x v="30"/>
    <x v="0"/>
    <n v="1500000"/>
    <n v="750000"/>
    <x v="17"/>
    <x v="1"/>
    <m/>
    <m/>
    <s v="TBC"/>
    <s v="TBC"/>
    <x v="9"/>
    <x v="9"/>
    <s v="In Progress"/>
    <m/>
    <m/>
    <s v="In Progress"/>
    <m/>
    <m/>
    <m/>
    <m/>
    <m/>
    <m/>
    <m/>
    <m/>
    <m/>
    <m/>
    <m/>
    <m/>
    <m/>
    <m/>
    <m/>
    <m/>
    <m/>
    <s v="Active"/>
    <m/>
    <s v="NPI: In progress: Drawing, Veneer/Wood for SW TBC"/>
    <m/>
  </r>
  <r>
    <x v="1"/>
    <x v="1"/>
    <x v="3"/>
    <m/>
    <x v="10"/>
    <s v="SPECTRUM"/>
    <s v="OTMB VANITY"/>
    <x v="47"/>
    <n v="1"/>
    <x v="3"/>
    <s v="NEW"/>
    <s v="7. Mass Production"/>
    <d v="2026-03-10T00:00:00"/>
    <d v="2026-03-18T00:00:00"/>
    <m/>
    <x v="2"/>
    <s v="NY"/>
    <x v="1"/>
    <x v="1"/>
    <m/>
    <m/>
    <x v="28"/>
    <x v="8"/>
    <n v="4027.44"/>
    <n v="3273"/>
    <x v="3"/>
    <x v="0"/>
    <s v="-"/>
    <m/>
    <d v="2026-09-11T00:00:00"/>
    <d v="2026-10-02T00:00:00"/>
    <x v="6"/>
    <x v="19"/>
    <s v="Approved"/>
    <m/>
    <m/>
    <s v="Approved"/>
    <m/>
    <m/>
    <s v="N/A"/>
    <m/>
    <m/>
    <s v="Approved"/>
    <m/>
    <m/>
    <s v="Approved"/>
    <m/>
    <m/>
    <s v="N/A"/>
    <m/>
    <m/>
    <s v="N/A"/>
    <m/>
    <m/>
    <s v="Active"/>
    <m/>
    <s v="NPD: All development items approved/closed for SW40"/>
    <m/>
  </r>
  <r>
    <x v="1"/>
    <x v="0"/>
    <x v="3"/>
    <m/>
    <x v="10"/>
    <s v="SPECTRUM"/>
    <s v="OTMB VANITY"/>
    <x v="47"/>
    <n v="1"/>
    <x v="1"/>
    <s v="NEW"/>
    <s v="4. Prototype Build"/>
    <m/>
    <s v="-"/>
    <m/>
    <x v="2"/>
    <s v="NY"/>
    <x v="1"/>
    <x v="1"/>
    <m/>
    <m/>
    <x v="28"/>
    <x v="0"/>
    <n v="179782"/>
    <n v="179782"/>
    <x v="19"/>
    <x v="1"/>
    <s v="-"/>
    <m/>
    <s v="TBC"/>
    <s v="TBC"/>
    <x v="9"/>
    <x v="9"/>
    <s v="Not Started "/>
    <m/>
    <m/>
    <s v="Not Started"/>
    <m/>
    <m/>
    <s v="N/A"/>
    <m/>
    <m/>
    <s v="Not Started "/>
    <m/>
    <m/>
    <s v="Not Started "/>
    <m/>
    <m/>
    <s v="Not Started "/>
    <m/>
    <m/>
    <s v="Not Started "/>
    <m/>
    <m/>
    <s v="Active"/>
    <m/>
    <s v="NPI: Not started: Veneer/Wood for SW TBC"/>
    <m/>
  </r>
  <r>
    <x v="1"/>
    <x v="1"/>
    <x v="1"/>
    <m/>
    <x v="14"/>
    <s v="AYALA"/>
    <s v="KHOBAR HILTON CANOPY HOTEL"/>
    <x v="48"/>
    <n v="1"/>
    <x v="0"/>
    <s v="NEW"/>
    <s v="8. Shipment"/>
    <d v="2026-05-14T00:00:00"/>
    <d v="2026-06-04T00:00:00"/>
    <d v="2026-06-24T00:00:00"/>
    <x v="5"/>
    <s v="Saudi Arabia"/>
    <x v="1"/>
    <x v="1"/>
    <m/>
    <m/>
    <x v="3"/>
    <x v="9"/>
    <n v="7901.24"/>
    <n v="7901.24"/>
    <x v="3"/>
    <x v="0"/>
    <d v="2026-08-03T00:00:00"/>
    <d v="2026-08-07T00:00:00"/>
    <d v="2026-08-28T00:00:00"/>
    <d v="2026-08-28T00:00:00"/>
    <x v="19"/>
    <x v="12"/>
    <s v="In Progress"/>
    <m/>
    <m/>
    <s v="In Progress"/>
    <m/>
    <m/>
    <s v="Approved"/>
    <m/>
    <d v="2026-06-23T00:00:00"/>
    <s v="Pending Approval"/>
    <m/>
    <m/>
    <s v="N/A"/>
    <m/>
    <m/>
    <s v="N/A"/>
    <m/>
    <m/>
    <s v="COM"/>
    <m/>
    <d v="2026-07-07T00:00:00"/>
    <s v="Complete"/>
    <m/>
    <s v="READY"/>
    <m/>
  </r>
  <r>
    <x v="1"/>
    <x v="1"/>
    <x v="1"/>
    <m/>
    <x v="15"/>
    <s v="BENJAMIN"/>
    <s v="HACIENDA HOTEL LISBON PORTUGAL "/>
    <x v="49"/>
    <n v="1"/>
    <x v="3"/>
    <s v="NEW"/>
    <s v="3. Prototype Readiness (BOM)"/>
    <d v="2026-06-29T00:00:00"/>
    <d v="2026-07-30T00:00:00"/>
    <m/>
    <x v="3"/>
    <s v="Portugal"/>
    <x v="1"/>
    <x v="1"/>
    <m/>
    <m/>
    <x v="31"/>
    <x v="10"/>
    <n v="32000"/>
    <n v="32000"/>
    <x v="15"/>
    <x v="0"/>
    <m/>
    <m/>
    <d v="2026-11-13T00:00:00"/>
    <d v="2026-12-04T00:00:00"/>
    <x v="20"/>
    <x v="20"/>
    <s v="In Progress"/>
    <d v="2026-09-26T00:00:00"/>
    <m/>
    <s v="In Progress"/>
    <d v="2026-09-26T00:00:00"/>
    <m/>
    <s v="In Progress"/>
    <d v="2026-09-26T00:00:00"/>
    <m/>
    <s v="In Progress"/>
    <d v="2026-09-26T00:00:00"/>
    <m/>
    <s v="N/A"/>
    <m/>
    <m/>
    <s v="N/A"/>
    <m/>
    <m/>
    <s v="COM Pending"/>
    <m/>
    <m/>
    <s v="Active"/>
    <m/>
    <s v="NPD: In progress: Drawing, Veneer/Wood, Marble, Metal; Fabric is com pending; need approval by 26-Sep-26 for SW49"/>
    <m/>
  </r>
  <r>
    <x v="1"/>
    <x v="0"/>
    <x v="1"/>
    <m/>
    <x v="15"/>
    <s v="BENJAMIN"/>
    <s v="HACIENDA HOTEL LISBON PORTUGAL "/>
    <x v="49"/>
    <n v="1"/>
    <x v="1"/>
    <s v="NEW"/>
    <s v="2. Product &amp; Process Dev"/>
    <m/>
    <m/>
    <m/>
    <x v="3"/>
    <s v="Portugal"/>
    <x v="7"/>
    <x v="7"/>
    <m/>
    <m/>
    <x v="32"/>
    <x v="0"/>
    <n v="596794"/>
    <n v="596794"/>
    <x v="4"/>
    <x v="1"/>
    <m/>
    <m/>
    <s v="TBC"/>
    <s v="TBC"/>
    <x v="9"/>
    <x v="9"/>
    <s v="Not Started"/>
    <m/>
    <m/>
    <s v="Not Started"/>
    <m/>
    <m/>
    <m/>
    <m/>
    <m/>
    <m/>
    <m/>
    <m/>
    <m/>
    <m/>
    <m/>
    <m/>
    <m/>
    <m/>
    <m/>
    <m/>
    <m/>
    <s v="Active"/>
    <m/>
    <s v="NPI: Not started: Drawing, Veneer/Wood for SW TBC"/>
    <m/>
  </r>
  <r>
    <x v="0"/>
    <x v="0"/>
    <x v="13"/>
    <s v="Sue Bilstad"/>
    <x v="0"/>
    <s v="RH"/>
    <s v="FOX HARBOR"/>
    <x v="3"/>
    <n v="0"/>
    <x v="0"/>
    <s v="NEW"/>
    <s v="8. Shipment"/>
    <d v="2025-09-17T00:00:00"/>
    <m/>
    <m/>
    <x v="1"/>
    <s v="CA"/>
    <x v="0"/>
    <x v="0"/>
    <m/>
    <m/>
    <x v="0"/>
    <x v="0"/>
    <n v="71837"/>
    <n v="71837"/>
    <x v="24"/>
    <x v="0"/>
    <m/>
    <m/>
    <d v="2025-01-17T00:00:00"/>
    <d v="2025-01-17T00:00:00"/>
    <x v="21"/>
    <x v="21"/>
    <s v="Approved"/>
    <m/>
    <m/>
    <s v="Approved"/>
    <m/>
    <m/>
    <s v="N/A"/>
    <m/>
    <m/>
    <s v="Approved"/>
    <m/>
    <m/>
    <s v="N/A"/>
    <m/>
    <m/>
    <s v="N/A"/>
    <m/>
    <m/>
    <s v="COM"/>
    <m/>
    <m/>
    <s v="Complete"/>
    <s v="Yes"/>
    <s v="READY"/>
    <m/>
  </r>
  <r>
    <x v="1"/>
    <x v="0"/>
    <x v="5"/>
    <m/>
    <x v="16"/>
    <s v="WOODHAUS"/>
    <s v="KNOX HENDERSON"/>
    <x v="50"/>
    <n v="1"/>
    <x v="0"/>
    <s v="NEW"/>
    <s v="8. Shipment"/>
    <d v="2026-04-16T00:00:00"/>
    <d v="2026-05-16T00:00:00"/>
    <m/>
    <x v="2"/>
    <s v="TX"/>
    <x v="0"/>
    <x v="0"/>
    <m/>
    <m/>
    <x v="5"/>
    <x v="0"/>
    <n v="22198"/>
    <n v="22198"/>
    <x v="3"/>
    <x v="0"/>
    <d v="2026-07-15T00:00:00"/>
    <d v="2026-07-31T00:00:00"/>
    <d v="2026-08-04T00:00:00"/>
    <d v="2026-08-04T00:00:00"/>
    <x v="12"/>
    <x v="15"/>
    <s v="Approved"/>
    <m/>
    <d v="2026-05-14T00:00:00"/>
    <s v="Approved"/>
    <m/>
    <m/>
    <s v="N/A"/>
    <m/>
    <m/>
    <s v="N/A"/>
    <m/>
    <m/>
    <s v="N/A"/>
    <m/>
    <m/>
    <s v="N/A"/>
    <m/>
    <m/>
    <s v="N/A"/>
    <m/>
    <m/>
    <s v="Complete"/>
    <m/>
    <s v="READY"/>
    <m/>
  </r>
  <r>
    <x v="1"/>
    <x v="0"/>
    <x v="9"/>
    <m/>
    <x v="12"/>
    <s v="TRIMA"/>
    <s v="JOIA TIERRA DEL SOL"/>
    <x v="51"/>
    <n v="1"/>
    <x v="5"/>
    <s v="NEW"/>
    <s v="1. Preliminary Design"/>
    <m/>
    <m/>
    <m/>
    <x v="9"/>
    <s v="Aruba"/>
    <x v="1"/>
    <x v="1"/>
    <m/>
    <m/>
    <x v="33"/>
    <x v="0"/>
    <n v="1131814"/>
    <n v="1131814"/>
    <x v="5"/>
    <x v="1"/>
    <m/>
    <m/>
    <s v="TBC"/>
    <s v="TBC"/>
    <x v="9"/>
    <x v="9"/>
    <s v="Not Started "/>
    <m/>
    <m/>
    <m/>
    <m/>
    <m/>
    <m/>
    <m/>
    <m/>
    <m/>
    <m/>
    <m/>
    <m/>
    <m/>
    <m/>
    <m/>
    <m/>
    <m/>
    <m/>
    <m/>
    <m/>
    <s v="Active"/>
    <m/>
    <s v="NPI: All development items approved/closed for SW TBC"/>
    <m/>
  </r>
  <r>
    <x v="1"/>
    <x v="0"/>
    <x v="9"/>
    <m/>
    <x v="12"/>
    <s v="TRIMA"/>
    <s v="JOIA TIERRA DEL SOL"/>
    <x v="51"/>
    <n v="0"/>
    <x v="5"/>
    <s v="NEW"/>
    <s v="1. Preliminary Design"/>
    <m/>
    <m/>
    <m/>
    <x v="9"/>
    <s v="Aruba"/>
    <x v="1"/>
    <x v="1"/>
    <m/>
    <m/>
    <x v="33"/>
    <x v="0"/>
    <n v="1131814"/>
    <n v="1131814"/>
    <x v="6"/>
    <x v="1"/>
    <m/>
    <m/>
    <s v="TBC"/>
    <s v="TBC"/>
    <x v="9"/>
    <x v="9"/>
    <s v="Not Started "/>
    <m/>
    <m/>
    <m/>
    <m/>
    <m/>
    <m/>
    <m/>
    <m/>
    <m/>
    <m/>
    <m/>
    <m/>
    <m/>
    <m/>
    <m/>
    <m/>
    <m/>
    <m/>
    <m/>
    <m/>
    <s v="Active"/>
    <m/>
    <s v="NPI: All development items approved/closed for SW TBC"/>
    <m/>
  </r>
  <r>
    <x v="0"/>
    <x v="0"/>
    <x v="8"/>
    <s v="Madison Lay"/>
    <x v="0"/>
    <s v="RH"/>
    <s v="RED SEA"/>
    <x v="52"/>
    <n v="1"/>
    <x v="1"/>
    <s v="NEW"/>
    <s v="1. Preliminary Design"/>
    <m/>
    <m/>
    <m/>
    <x v="5"/>
    <s v="SA"/>
    <x v="1"/>
    <x v="1"/>
    <m/>
    <m/>
    <x v="33"/>
    <x v="0"/>
    <n v="1000000"/>
    <n v="1000000"/>
    <x v="23"/>
    <x v="1"/>
    <m/>
    <m/>
    <d v="2026-09-11T00:00:00"/>
    <d v="2026-09-25T00:00:00"/>
    <x v="6"/>
    <x v="22"/>
    <s v="Not Started "/>
    <m/>
    <m/>
    <m/>
    <m/>
    <m/>
    <m/>
    <m/>
    <m/>
    <m/>
    <m/>
    <m/>
    <m/>
    <m/>
    <m/>
    <m/>
    <m/>
    <m/>
    <m/>
    <m/>
    <m/>
    <s v="Active"/>
    <s v="Yes"/>
    <s v="NPI: All development items approved/closed for SW39"/>
    <m/>
  </r>
  <r>
    <x v="0"/>
    <x v="0"/>
    <x v="1"/>
    <s v="Madison Lay"/>
    <x v="0"/>
    <s v="RH"/>
    <s v="VICEROY SUGAR BEACH - ASH WOOD VERSION"/>
    <x v="53"/>
    <n v="1"/>
    <x v="0"/>
    <s v="NEW"/>
    <s v="7. Mass Production"/>
    <d v="2026-03-23T00:00:00"/>
    <d v="2026-04-06T00:00:00"/>
    <m/>
    <x v="10"/>
    <s v="Saint Lucia"/>
    <x v="1"/>
    <x v="1"/>
    <m/>
    <m/>
    <x v="13"/>
    <x v="0"/>
    <n v="149029"/>
    <n v="74514.5"/>
    <x v="8"/>
    <x v="0"/>
    <d v="2026-08-07T00:00:00"/>
    <d v="2026-08-07T00:00:00"/>
    <d v="2026-09-26T00:00:00"/>
    <d v="2026-09-26T00:00:00"/>
    <x v="16"/>
    <x v="22"/>
    <s v="Approved"/>
    <m/>
    <m/>
    <s v="Approved"/>
    <m/>
    <m/>
    <s v="Approved"/>
    <m/>
    <m/>
    <s v="Approved"/>
    <m/>
    <m/>
    <s v="Approved"/>
    <m/>
    <m/>
    <s v="Approved"/>
    <m/>
    <m/>
    <s v="COM Received"/>
    <m/>
    <m/>
    <s v="Complete"/>
    <s v="Yes"/>
    <s v="READY"/>
    <m/>
  </r>
  <r>
    <x v="0"/>
    <x v="0"/>
    <x v="1"/>
    <s v="Madison Lay"/>
    <x v="0"/>
    <s v="RH"/>
    <s v="VICEROY SUGAR BEACH - ASH WOOD VERSION"/>
    <x v="53"/>
    <n v="0"/>
    <x v="0"/>
    <s v="NEW"/>
    <s v="7. Mass Production"/>
    <d v="2026-03-23T00:00:00"/>
    <d v="2026-04-06T00:00:00"/>
    <m/>
    <x v="10"/>
    <s v="Saint Lucia"/>
    <x v="1"/>
    <x v="1"/>
    <m/>
    <m/>
    <x v="13"/>
    <x v="0"/>
    <n v="149029"/>
    <n v="74514.5"/>
    <x v="8"/>
    <x v="0"/>
    <d v="2026-08-07T00:00:00"/>
    <d v="2026-08-07T00:00:00"/>
    <d v="2026-09-26T00:00:00"/>
    <d v="2026-09-26T00:00:00"/>
    <x v="16"/>
    <x v="22"/>
    <s v="Approved"/>
    <m/>
    <m/>
    <s v="Approved"/>
    <m/>
    <m/>
    <s v="Approved"/>
    <m/>
    <m/>
    <s v="Approved"/>
    <m/>
    <m/>
    <s v="Approved"/>
    <m/>
    <m/>
    <s v="Approved"/>
    <m/>
    <m/>
    <s v="COM Received"/>
    <m/>
    <m/>
    <s v="Complete"/>
    <s v="Yes"/>
    <s v="READY"/>
    <m/>
  </r>
  <r>
    <x v="1"/>
    <x v="0"/>
    <x v="9"/>
    <m/>
    <x v="2"/>
    <s v="L&amp;S"/>
    <s v="SILVERSANDS GRAND ANSE"/>
    <x v="54"/>
    <n v="1"/>
    <x v="9"/>
    <s v="NEW"/>
    <s v="1. Preliminary Design"/>
    <m/>
    <m/>
    <m/>
    <x v="11"/>
    <s v="St. George's:"/>
    <x v="0"/>
    <x v="0"/>
    <m/>
    <m/>
    <x v="34"/>
    <x v="0"/>
    <n v="371262"/>
    <n v="371262"/>
    <x v="12"/>
    <x v="2"/>
    <m/>
    <m/>
    <m/>
    <m/>
    <x v="22"/>
    <x v="23"/>
    <m/>
    <m/>
    <m/>
    <m/>
    <m/>
    <m/>
    <m/>
    <m/>
    <m/>
    <m/>
    <m/>
    <m/>
    <m/>
    <m/>
    <m/>
    <m/>
    <m/>
    <m/>
    <m/>
    <m/>
    <m/>
    <s v="Complete"/>
    <m/>
    <s v="NPI: All development items approved/closed"/>
    <m/>
  </r>
  <r>
    <x v="1"/>
    <x v="1"/>
    <x v="3"/>
    <m/>
    <x v="10"/>
    <s v="SPECTRUM"/>
    <s v="PROJECT 550"/>
    <x v="55"/>
    <n v="1"/>
    <x v="3"/>
    <s v="NEW"/>
    <s v="7. Mass Production"/>
    <d v="2026-03-26T00:00:00"/>
    <m/>
    <m/>
    <x v="2"/>
    <s v="TBD"/>
    <x v="1"/>
    <x v="1"/>
    <m/>
    <m/>
    <x v="28"/>
    <x v="8"/>
    <n v="6938.58"/>
    <n v="6938.58"/>
    <x v="3"/>
    <x v="0"/>
    <m/>
    <m/>
    <d v="2026-09-11T00:00:00"/>
    <d v="2026-10-02T00:00:00"/>
    <x v="6"/>
    <x v="19"/>
    <s v="Approved"/>
    <m/>
    <m/>
    <s v="Approved"/>
    <m/>
    <m/>
    <s v="In Progress"/>
    <m/>
    <m/>
    <s v="In Progress"/>
    <m/>
    <m/>
    <s v="In Progress"/>
    <m/>
    <m/>
    <s v="In Progress"/>
    <m/>
    <m/>
    <m/>
    <m/>
    <m/>
    <s v="Active"/>
    <m/>
    <s v="NPD: In progress: Marble, Metal, Mirror, Electrical for SW40"/>
    <m/>
  </r>
  <r>
    <x v="1"/>
    <x v="0"/>
    <x v="3"/>
    <m/>
    <x v="10"/>
    <s v="SPECTRUM"/>
    <s v="PROJECT 550"/>
    <x v="55"/>
    <n v="1"/>
    <x v="1"/>
    <s v="NEW"/>
    <s v="2. Product &amp; Process Dev"/>
    <d v="2026-03-26T00:00:00"/>
    <m/>
    <m/>
    <x v="2"/>
    <s v="TBD"/>
    <x v="1"/>
    <x v="1"/>
    <m/>
    <m/>
    <x v="20"/>
    <x v="0"/>
    <n v="361028.77"/>
    <n v="361028.77"/>
    <x v="16"/>
    <x v="1"/>
    <m/>
    <m/>
    <s v="TBC"/>
    <s v="TBC"/>
    <x v="9"/>
    <x v="9"/>
    <s v="In Progress"/>
    <m/>
    <m/>
    <s v="In Progress"/>
    <m/>
    <m/>
    <s v="In Progress"/>
    <m/>
    <m/>
    <s v="In Progress"/>
    <m/>
    <m/>
    <s v="In Progress"/>
    <m/>
    <m/>
    <s v="In Progress"/>
    <m/>
    <m/>
    <m/>
    <m/>
    <m/>
    <s v="Active"/>
    <m/>
    <s v="NPI: In progress: Drawing, Veneer/Wood, Marble, Metal, Mirror, Electrical for SW TBC"/>
    <m/>
  </r>
  <r>
    <x v="1"/>
    <x v="1"/>
    <x v="3"/>
    <s v="Erika"/>
    <x v="3"/>
    <s v="FLEETWOOD "/>
    <s v="AUBERGE HOUSTON MR"/>
    <x v="56"/>
    <n v="1"/>
    <x v="7"/>
    <s v="NEW"/>
    <s v="7. Mass Production"/>
    <d v="2026-03-31T00:00:00"/>
    <d v="2026-05-08T00:00:00"/>
    <d v="2026-05-29T00:00:00"/>
    <x v="2"/>
    <s v="TX"/>
    <x v="1"/>
    <x v="1"/>
    <m/>
    <m/>
    <x v="28"/>
    <x v="8"/>
    <n v="12609.46"/>
    <n v="15040.19"/>
    <x v="8"/>
    <x v="0"/>
    <s v="ON HOLD"/>
    <s v="ON HOLD"/>
    <s v="ON HOLD"/>
    <s v="ON HOLD"/>
    <x v="23"/>
    <x v="24"/>
    <s v="Pending Approval"/>
    <m/>
    <m/>
    <s v="Approved"/>
    <m/>
    <d v="2026-08-26T00:00:00"/>
    <s v="Approved"/>
    <m/>
    <d v="2026-08-26T00:00:00"/>
    <s v="In Progress"/>
    <m/>
    <m/>
    <s v="Approved"/>
    <m/>
    <d v="2026-08-26T00:00:00"/>
    <s v="Pending Approval"/>
    <m/>
    <m/>
    <s v="COM Pending"/>
    <m/>
    <m/>
    <s v="Complete"/>
    <m/>
    <s v="NPD: In progress: Metal; Pending approval: Drawing, Electrical; Fabric is com pending for SW ON HOLD"/>
    <m/>
  </r>
  <r>
    <x v="1"/>
    <x v="0"/>
    <x v="3"/>
    <s v="Erika"/>
    <x v="3"/>
    <s v="FLEETWOOD "/>
    <s v="AUBERGE HOUSTON MR"/>
    <x v="56"/>
    <n v="1"/>
    <x v="7"/>
    <s v="NEW"/>
    <s v="1. Preliminary Design"/>
    <d v="2026-05-16T00:00:00"/>
    <m/>
    <m/>
    <x v="2"/>
    <s v="TX"/>
    <x v="3"/>
    <x v="3"/>
    <m/>
    <m/>
    <x v="35"/>
    <x v="0"/>
    <n v="707023.48"/>
    <n v="707023.48"/>
    <x v="12"/>
    <x v="2"/>
    <m/>
    <m/>
    <s v="TBC"/>
    <s v="TBC"/>
    <x v="9"/>
    <x v="9"/>
    <s v="Not Started "/>
    <m/>
    <m/>
    <s v="Not Started "/>
    <m/>
    <m/>
    <s v="Not Started "/>
    <m/>
    <m/>
    <s v="Not Started "/>
    <m/>
    <m/>
    <s v="Not Started "/>
    <m/>
    <m/>
    <s v="Not Started "/>
    <m/>
    <m/>
    <s v="Not Started "/>
    <m/>
    <m/>
    <s v="Complete"/>
    <m/>
    <s v="NPI: All development items approved/closed for SW TBC"/>
    <m/>
  </r>
  <r>
    <x v="0"/>
    <x v="1"/>
    <x v="5"/>
    <s v="Madison Lay"/>
    <x v="0"/>
    <s v="RH"/>
    <s v="AWH TOPNOTCH"/>
    <x v="57"/>
    <n v="1"/>
    <x v="8"/>
    <s v="NEW"/>
    <s v="2. Product &amp; Process Dev"/>
    <d v="2026-04-08T00:00:00"/>
    <m/>
    <m/>
    <x v="2"/>
    <s v="Vermont"/>
    <x v="1"/>
    <x v="1"/>
    <m/>
    <m/>
    <x v="14"/>
    <x v="11"/>
    <n v="31219.1"/>
    <n v="31219.1"/>
    <x v="15"/>
    <x v="0"/>
    <m/>
    <m/>
    <d v="2026-12-11T00:00:00"/>
    <d v="2026-12-25T00:00:00"/>
    <x v="24"/>
    <x v="17"/>
    <s v="Pending Approval"/>
    <m/>
    <m/>
    <s v="Pending Approval"/>
    <m/>
    <m/>
    <s v="Not Started"/>
    <m/>
    <m/>
    <s v="Pending Approval"/>
    <m/>
    <m/>
    <s v="N/A"/>
    <m/>
    <m/>
    <s v="In Progress"/>
    <m/>
    <m/>
    <s v="COM"/>
    <m/>
    <m/>
    <s v="Complete"/>
    <s v="Yes"/>
    <s v="NPD: In progress: Electrical; Pending approval: Drawing, Veneer/Wood, Metal; Not started: Marble; Fabric is com for SW52"/>
    <m/>
  </r>
  <r>
    <x v="0"/>
    <x v="0"/>
    <x v="5"/>
    <s v="Madison Lay"/>
    <x v="0"/>
    <s v="RH"/>
    <s v="AWH TOPNOTCH"/>
    <x v="57"/>
    <n v="1"/>
    <x v="8"/>
    <s v="NEW"/>
    <s v="1. Preliminary Design"/>
    <d v="2026-04-08T00:00:00"/>
    <m/>
    <m/>
    <x v="2"/>
    <s v="Vermont"/>
    <x v="1"/>
    <x v="1"/>
    <m/>
    <m/>
    <x v="14"/>
    <x v="0"/>
    <n v="532175"/>
    <n v="532175"/>
    <x v="14"/>
    <x v="1"/>
    <m/>
    <m/>
    <d v="2026-03-13T00:00:00"/>
    <d v="2026-03-27T00:00:00"/>
    <x v="25"/>
    <x v="25"/>
    <s v="In Progress"/>
    <m/>
    <m/>
    <s v="Pending Approval"/>
    <m/>
    <m/>
    <s v="Not Started"/>
    <m/>
    <m/>
    <s v="Pending Approval"/>
    <m/>
    <m/>
    <s v="N/A"/>
    <m/>
    <m/>
    <s v="In Progress"/>
    <m/>
    <m/>
    <s v="COM"/>
    <m/>
    <m/>
    <s v="Complete"/>
    <s v="Yes"/>
    <s v="NPI: In progress: Drawing, Electrical; Pending approval: Veneer/Wood, Metal; Not started: Marble; Fabric is com for SW13"/>
    <m/>
  </r>
  <r>
    <x v="1"/>
    <x v="0"/>
    <x v="9"/>
    <s v="Erika"/>
    <x v="3"/>
    <s v="FLEETWOOD "/>
    <s v="SPANISH BAY CLUB "/>
    <x v="58"/>
    <n v="1"/>
    <x v="3"/>
    <s v="NEW"/>
    <s v="7. Mass Production"/>
    <d v="2026-04-24T00:00:00"/>
    <d v="2026-04-29T00:00:00"/>
    <d v="2026-05-17T00:00:00"/>
    <x v="2"/>
    <s v="CA"/>
    <x v="8"/>
    <x v="8"/>
    <n v="74"/>
    <m/>
    <x v="35"/>
    <x v="12"/>
    <n v="64112.41"/>
    <n v="64112.41"/>
    <x v="10"/>
    <x v="0"/>
    <d v="2026-11-02T00:00:00"/>
    <d v="2026-11-23T00:00:00"/>
    <d v="2026-11-06T00:00:00"/>
    <d v="2026-11-27T00:00:00"/>
    <x v="11"/>
    <x v="26"/>
    <s v="Approved"/>
    <m/>
    <d v="2026-09-05T00:00:00"/>
    <s v="Approved"/>
    <m/>
    <d v="2026-07-20T00:00:00"/>
    <s v="Approved"/>
    <m/>
    <d v="2026-08-18T00:00:00"/>
    <s v="Approved"/>
    <m/>
    <d v="2026-07-20T00:00:00"/>
    <s v="N/A"/>
    <m/>
    <m/>
    <s v="Approved"/>
    <m/>
    <d v="2026-09-05T00:00:00"/>
    <s v="N/A"/>
    <m/>
    <m/>
    <s v="Active"/>
    <m/>
    <s v="NPI: All development items approved/closed for SW48"/>
    <m/>
  </r>
  <r>
    <x v="1"/>
    <x v="0"/>
    <x v="6"/>
    <m/>
    <x v="1"/>
    <s v="COSMIC REALTY"/>
    <s v="250 FIFTH AVENUE HOTEL"/>
    <x v="24"/>
    <n v="0"/>
    <x v="0"/>
    <s v="NEW"/>
    <s v="8. Shipment"/>
    <m/>
    <m/>
    <m/>
    <x v="2"/>
    <s v="NY"/>
    <x v="0"/>
    <x v="0"/>
    <m/>
    <m/>
    <x v="14"/>
    <x v="0"/>
    <n v="51127"/>
    <n v="51127"/>
    <x v="25"/>
    <x v="0"/>
    <m/>
    <m/>
    <m/>
    <m/>
    <x v="22"/>
    <x v="23"/>
    <s v="Approved"/>
    <m/>
    <m/>
    <s v="Approved"/>
    <m/>
    <m/>
    <s v="Approved"/>
    <m/>
    <m/>
    <s v="Approved"/>
    <m/>
    <m/>
    <s v="Approved"/>
    <m/>
    <m/>
    <s v="Approved"/>
    <m/>
    <m/>
    <s v="COM"/>
    <m/>
    <m/>
    <s v="Complete"/>
    <m/>
    <s v="READY"/>
    <m/>
  </r>
  <r>
    <x v="1"/>
    <x v="0"/>
    <x v="13"/>
    <m/>
    <x v="3"/>
    <s v="FLEETWOOD "/>
    <s v="HWVP PHASE 2"/>
    <x v="59"/>
    <n v="1"/>
    <x v="0"/>
    <s v="NEW"/>
    <s v="8. Shipment"/>
    <m/>
    <m/>
    <m/>
    <x v="2"/>
    <m/>
    <x v="0"/>
    <x v="0"/>
    <m/>
    <m/>
    <x v="19"/>
    <x v="0"/>
    <n v="1601"/>
    <n v="1601"/>
    <x v="24"/>
    <x v="0"/>
    <m/>
    <m/>
    <m/>
    <m/>
    <x v="22"/>
    <x v="23"/>
    <s v="Approved"/>
    <m/>
    <m/>
    <m/>
    <m/>
    <m/>
    <m/>
    <m/>
    <m/>
    <m/>
    <m/>
    <m/>
    <m/>
    <m/>
    <m/>
    <m/>
    <m/>
    <m/>
    <m/>
    <m/>
    <m/>
    <s v="Complete"/>
    <m/>
    <s v="READY"/>
    <m/>
  </r>
  <r>
    <x v="1"/>
    <x v="0"/>
    <x v="13"/>
    <m/>
    <x v="5"/>
    <s v="KD"/>
    <s v="KNOX DALLAS"/>
    <x v="60"/>
    <n v="1"/>
    <x v="0"/>
    <s v="NEW"/>
    <s v="8. Shipment"/>
    <m/>
    <m/>
    <m/>
    <x v="2"/>
    <m/>
    <x v="0"/>
    <x v="0"/>
    <m/>
    <m/>
    <x v="20"/>
    <x v="0"/>
    <n v="362480.94"/>
    <n v="362480.94"/>
    <x v="24"/>
    <x v="0"/>
    <m/>
    <m/>
    <m/>
    <m/>
    <x v="22"/>
    <x v="23"/>
    <s v="Approved"/>
    <m/>
    <m/>
    <s v="Approved"/>
    <m/>
    <m/>
    <s v="Approved"/>
    <m/>
    <m/>
    <s v="Approved"/>
    <m/>
    <m/>
    <s v="Approved"/>
    <m/>
    <m/>
    <s v="Approved"/>
    <m/>
    <m/>
    <s v="COM"/>
    <m/>
    <m/>
    <s v="Complete"/>
    <m/>
    <s v="READY"/>
    <m/>
  </r>
  <r>
    <x v="1"/>
    <x v="0"/>
    <x v="13"/>
    <m/>
    <x v="5"/>
    <s v="KD"/>
    <s v="KNOX DALLAS"/>
    <x v="60"/>
    <n v="0"/>
    <x v="0"/>
    <s v="NEW"/>
    <s v="8. Shipment"/>
    <m/>
    <m/>
    <m/>
    <x v="2"/>
    <m/>
    <x v="0"/>
    <x v="0"/>
    <m/>
    <m/>
    <x v="20"/>
    <x v="0"/>
    <n v="33400"/>
    <n v="33400"/>
    <x v="25"/>
    <x v="0"/>
    <m/>
    <m/>
    <m/>
    <m/>
    <x v="22"/>
    <x v="23"/>
    <s v="Approved"/>
    <m/>
    <m/>
    <s v="Approved"/>
    <m/>
    <m/>
    <s v="Approved"/>
    <m/>
    <m/>
    <s v="Approved"/>
    <m/>
    <m/>
    <s v="Approved"/>
    <m/>
    <m/>
    <s v="Approved"/>
    <m/>
    <m/>
    <s v="COM"/>
    <m/>
    <m/>
    <s v="Complete"/>
    <m/>
    <s v="READY"/>
    <m/>
  </r>
  <r>
    <x v="1"/>
    <x v="0"/>
    <x v="13"/>
    <m/>
    <x v="9"/>
    <s v="PLUS CORPORATION"/>
    <s v="SOHO HOUSE TOKYO"/>
    <x v="61"/>
    <n v="1"/>
    <x v="0"/>
    <s v="NEW"/>
    <s v="8. Shipment"/>
    <m/>
    <m/>
    <m/>
    <x v="12"/>
    <s v="Japan"/>
    <x v="0"/>
    <x v="0"/>
    <m/>
    <m/>
    <x v="26"/>
    <x v="0"/>
    <n v="24407"/>
    <n v="24407"/>
    <x v="24"/>
    <x v="0"/>
    <m/>
    <m/>
    <m/>
    <m/>
    <x v="22"/>
    <x v="23"/>
    <s v="Approved"/>
    <m/>
    <m/>
    <m/>
    <m/>
    <m/>
    <m/>
    <m/>
    <m/>
    <m/>
    <m/>
    <m/>
    <m/>
    <m/>
    <m/>
    <m/>
    <m/>
    <m/>
    <m/>
    <m/>
    <m/>
    <s v="Complete"/>
    <m/>
    <s v="READY"/>
    <m/>
  </r>
  <r>
    <x v="1"/>
    <x v="0"/>
    <x v="13"/>
    <m/>
    <x v="9"/>
    <s v="PLUS CORPORATION"/>
    <s v="SOHO HOUSE TOKYO"/>
    <x v="61"/>
    <n v="0"/>
    <x v="0"/>
    <s v="NEW"/>
    <s v="8. Shipment"/>
    <m/>
    <m/>
    <m/>
    <x v="12"/>
    <s v="Japan"/>
    <x v="0"/>
    <x v="0"/>
    <m/>
    <m/>
    <x v="26"/>
    <x v="0"/>
    <n v="80520"/>
    <n v="80520"/>
    <x v="25"/>
    <x v="0"/>
    <m/>
    <m/>
    <m/>
    <m/>
    <x v="22"/>
    <x v="23"/>
    <s v="Approved"/>
    <m/>
    <m/>
    <m/>
    <m/>
    <m/>
    <m/>
    <m/>
    <m/>
    <m/>
    <m/>
    <m/>
    <m/>
    <m/>
    <m/>
    <m/>
    <m/>
    <m/>
    <m/>
    <m/>
    <m/>
    <s v="Complete"/>
    <m/>
    <s v="READY"/>
    <m/>
  </r>
  <r>
    <x v="0"/>
    <x v="0"/>
    <x v="13"/>
    <s v="Sue Bilstad"/>
    <x v="0"/>
    <s v="RH"/>
    <s v="RH BRANDYWINE"/>
    <x v="62"/>
    <n v="1"/>
    <x v="0"/>
    <s v="NEW"/>
    <s v="8. Shipment"/>
    <m/>
    <m/>
    <m/>
    <x v="2"/>
    <m/>
    <x v="0"/>
    <x v="0"/>
    <m/>
    <m/>
    <x v="4"/>
    <x v="0"/>
    <n v="5432.2"/>
    <n v="5432.2"/>
    <x v="24"/>
    <x v="0"/>
    <m/>
    <m/>
    <m/>
    <m/>
    <x v="22"/>
    <x v="23"/>
    <s v="Approved"/>
    <m/>
    <m/>
    <s v="Approved"/>
    <m/>
    <m/>
    <s v="N/A"/>
    <m/>
    <m/>
    <s v="N/A"/>
    <m/>
    <m/>
    <s v="N/A"/>
    <m/>
    <m/>
    <s v="N/A"/>
    <m/>
    <m/>
    <s v="N/A"/>
    <m/>
    <m/>
    <s v="Complete"/>
    <s v="Yes"/>
    <s v="READY"/>
    <m/>
  </r>
  <r>
    <x v="1"/>
    <x v="1"/>
    <x v="3"/>
    <m/>
    <x v="13"/>
    <s v="BROOKFIELD"/>
    <s v="RITZ CARLTON PHILADELPHIA"/>
    <x v="63"/>
    <n v="1"/>
    <x v="0"/>
    <s v="NEW"/>
    <s v="8. Shipment"/>
    <d v="2026-05-02T00:00:00"/>
    <d v="2026-05-07T00:00:00"/>
    <m/>
    <x v="2"/>
    <s v="PA"/>
    <x v="0"/>
    <x v="0"/>
    <m/>
    <m/>
    <x v="9"/>
    <x v="0"/>
    <n v="11414.99"/>
    <n v="13583.73"/>
    <x v="2"/>
    <x v="0"/>
    <d v="2026-07-17T00:00:00"/>
    <m/>
    <d v="2026-07-17T00:00:00"/>
    <d v="2026-07-17T00:00:00"/>
    <x v="17"/>
    <x v="27"/>
    <s v="Approved"/>
    <m/>
    <m/>
    <s v="Approved"/>
    <m/>
    <m/>
    <s v="Approved"/>
    <m/>
    <m/>
    <s v="Approved"/>
    <m/>
    <m/>
    <s v="N/A"/>
    <m/>
    <m/>
    <s v="Approved"/>
    <m/>
    <m/>
    <s v="COM Received"/>
    <m/>
    <m/>
    <s v="Complete"/>
    <m/>
    <s v="READY"/>
    <m/>
  </r>
  <r>
    <x v="0"/>
    <x v="1"/>
    <x v="1"/>
    <s v="Caroline Dillard"/>
    <x v="0"/>
    <s v="RH"/>
    <s v="CUSTOM MIYU TABLES"/>
    <x v="64"/>
    <n v="1"/>
    <x v="0"/>
    <s v="NEW"/>
    <s v="8. Shipment"/>
    <d v="2026-04-16T00:00:00"/>
    <d v="2026-05-26T00:00:00"/>
    <m/>
    <x v="2"/>
    <s v="US"/>
    <x v="0"/>
    <x v="0"/>
    <m/>
    <m/>
    <x v="30"/>
    <x v="0"/>
    <n v="5617.6"/>
    <n v="5617.6"/>
    <x v="2"/>
    <x v="0"/>
    <d v="2026-09-12T00:00:00"/>
    <d v="2026-09-19T00:00:00"/>
    <d v="2026-07-15T00:00:00"/>
    <d v="2026-07-15T00:00:00"/>
    <x v="17"/>
    <x v="27"/>
    <s v="Approved"/>
    <m/>
    <d v="2026-05-25T00:00:00"/>
    <s v="Approved"/>
    <m/>
    <d v="2026-06-04T00:00:00"/>
    <s v="N/A"/>
    <m/>
    <m/>
    <s v="N/A"/>
    <m/>
    <m/>
    <s v="Approved"/>
    <m/>
    <m/>
    <s v="N/A"/>
    <m/>
    <m/>
    <s v="N/A"/>
    <m/>
    <m/>
    <s v="Complete"/>
    <s v="Yes"/>
    <s v="READY"/>
    <m/>
  </r>
  <r>
    <x v="0"/>
    <x v="1"/>
    <x v="5"/>
    <s v="Sue Bilstad"/>
    <x v="0"/>
    <s v="RH"/>
    <s v="GRAND HYATT DENVER"/>
    <x v="65"/>
    <n v="1"/>
    <x v="3"/>
    <s v="NEW"/>
    <s v="4. Prototype Build"/>
    <d v="2026-04-24T00:00:00"/>
    <d v="2026-07-03T00:00:00"/>
    <m/>
    <x v="2"/>
    <s v="CO"/>
    <x v="1"/>
    <x v="1"/>
    <m/>
    <m/>
    <x v="4"/>
    <x v="13"/>
    <n v="5542.32"/>
    <n v="5542.32"/>
    <x v="9"/>
    <x v="0"/>
    <m/>
    <m/>
    <d v="2026-10-29T00:00:00"/>
    <d v="2026-10-29T00:00:00"/>
    <x v="7"/>
    <x v="7"/>
    <s v="Approved"/>
    <m/>
    <d v="2026-09-07T00:00:00"/>
    <s v="Approved"/>
    <m/>
    <d v="2026-07-24T00:00:00"/>
    <s v="N/A"/>
    <m/>
    <m/>
    <s v="N/A"/>
    <m/>
    <m/>
    <s v="N/A"/>
    <m/>
    <m/>
    <s v="Approved"/>
    <m/>
    <d v="2026-09-07T00:00:00"/>
    <s v="COM Received"/>
    <m/>
    <d v="2026-08-21T00:00:00"/>
    <s v="Active"/>
    <s v="Yes"/>
    <s v="NPD: Fabric is com received for SW44"/>
    <m/>
  </r>
  <r>
    <x v="0"/>
    <x v="0"/>
    <x v="8"/>
    <s v="Caroline Dillard"/>
    <x v="0"/>
    <s v="RH"/>
    <s v="COMPETITIVE EDGE "/>
    <x v="66"/>
    <n v="1"/>
    <x v="5"/>
    <s v="NEW"/>
    <s v="2. Product &amp; Process Dev"/>
    <d v="2026-04-29T00:00:00"/>
    <m/>
    <m/>
    <x v="2"/>
    <m/>
    <x v="1"/>
    <x v="1"/>
    <m/>
    <m/>
    <x v="21"/>
    <x v="0"/>
    <n v="847691"/>
    <n v="847691"/>
    <x v="12"/>
    <x v="2"/>
    <m/>
    <m/>
    <s v="TBC"/>
    <s v="TBC"/>
    <x v="9"/>
    <x v="9"/>
    <s v="Not Started"/>
    <m/>
    <m/>
    <s v="Not Started"/>
    <m/>
    <m/>
    <m/>
    <m/>
    <m/>
    <m/>
    <m/>
    <m/>
    <m/>
    <m/>
    <m/>
    <m/>
    <m/>
    <m/>
    <m/>
    <m/>
    <m/>
    <s v="Active"/>
    <s v="Yes"/>
    <s v="NPI: Not started: Drawing, Veneer/Wood for SW TBC"/>
    <m/>
  </r>
  <r>
    <x v="1"/>
    <x v="0"/>
    <x v="9"/>
    <m/>
    <x v="3"/>
    <s v="FLEETWOOD "/>
    <s v="WALDORF ASTORIA DEER VALLEY"/>
    <x v="67"/>
    <n v="1"/>
    <x v="5"/>
    <s v="NEW"/>
    <s v="1. Preliminary Design"/>
    <d v="2026-05-02T00:00:00"/>
    <m/>
    <m/>
    <x v="2"/>
    <m/>
    <x v="1"/>
    <x v="1"/>
    <m/>
    <m/>
    <x v="24"/>
    <x v="0"/>
    <n v="5665882.9800000004"/>
    <n v="1133176.5960000001"/>
    <x v="4"/>
    <x v="1"/>
    <m/>
    <m/>
    <m/>
    <m/>
    <x v="22"/>
    <x v="23"/>
    <m/>
    <m/>
    <m/>
    <m/>
    <m/>
    <m/>
    <m/>
    <m/>
    <m/>
    <m/>
    <m/>
    <m/>
    <m/>
    <m/>
    <m/>
    <m/>
    <m/>
    <m/>
    <m/>
    <m/>
    <m/>
    <s v="Active"/>
    <m/>
    <s v="NPI: All development items approved/closed"/>
    <m/>
  </r>
  <r>
    <x v="1"/>
    <x v="0"/>
    <x v="9"/>
    <m/>
    <x v="3"/>
    <s v="FLEETWOOD "/>
    <s v="WALDORF ASTORIA DEER VALLEY"/>
    <x v="67"/>
    <n v="0"/>
    <x v="5"/>
    <s v="NEW"/>
    <s v="1. Preliminary Design"/>
    <d v="2026-05-02T00:00:00"/>
    <m/>
    <m/>
    <x v="2"/>
    <m/>
    <x v="1"/>
    <x v="1"/>
    <m/>
    <m/>
    <x v="24"/>
    <x v="0"/>
    <n v="5665882.9800000004"/>
    <n v="1133176.5960000001"/>
    <x v="5"/>
    <x v="1"/>
    <m/>
    <m/>
    <m/>
    <m/>
    <x v="22"/>
    <x v="23"/>
    <m/>
    <m/>
    <m/>
    <m/>
    <m/>
    <m/>
    <m/>
    <m/>
    <m/>
    <m/>
    <m/>
    <m/>
    <m/>
    <m/>
    <m/>
    <m/>
    <m/>
    <m/>
    <m/>
    <m/>
    <m/>
    <s v="Active"/>
    <m/>
    <s v="NPI: All development items approved/closed"/>
    <m/>
  </r>
  <r>
    <x v="1"/>
    <x v="0"/>
    <x v="9"/>
    <m/>
    <x v="3"/>
    <s v="FLEETWOOD "/>
    <s v="WALDORF ASTORIA DEER VALLEY"/>
    <x v="67"/>
    <n v="0"/>
    <x v="5"/>
    <s v="NEW"/>
    <s v="1. Preliminary Design"/>
    <d v="2026-05-02T00:00:00"/>
    <m/>
    <m/>
    <x v="2"/>
    <m/>
    <x v="1"/>
    <x v="1"/>
    <m/>
    <m/>
    <x v="24"/>
    <x v="0"/>
    <n v="5665882.9800000004"/>
    <n v="1133176.5960000001"/>
    <x v="6"/>
    <x v="1"/>
    <m/>
    <m/>
    <m/>
    <m/>
    <x v="22"/>
    <x v="23"/>
    <m/>
    <m/>
    <m/>
    <m/>
    <m/>
    <m/>
    <m/>
    <m/>
    <m/>
    <m/>
    <m/>
    <m/>
    <m/>
    <m/>
    <m/>
    <m/>
    <m/>
    <m/>
    <m/>
    <m/>
    <m/>
    <s v="Active"/>
    <m/>
    <s v="NPI: All development items approved/closed"/>
    <m/>
  </r>
  <r>
    <x v="1"/>
    <x v="0"/>
    <x v="9"/>
    <m/>
    <x v="3"/>
    <s v="FLEETWOOD "/>
    <s v="WALDORF ASTORIA DEER VALLEY"/>
    <x v="67"/>
    <n v="0"/>
    <x v="5"/>
    <s v="NEW"/>
    <s v="1. Preliminary Design"/>
    <d v="2026-05-02T00:00:00"/>
    <m/>
    <m/>
    <x v="2"/>
    <m/>
    <x v="1"/>
    <x v="1"/>
    <m/>
    <m/>
    <x v="24"/>
    <x v="0"/>
    <n v="5665882.9800000004"/>
    <n v="1133176.5960000001"/>
    <x v="23"/>
    <x v="1"/>
    <m/>
    <m/>
    <m/>
    <m/>
    <x v="22"/>
    <x v="23"/>
    <m/>
    <m/>
    <m/>
    <m/>
    <m/>
    <m/>
    <m/>
    <m/>
    <m/>
    <m/>
    <m/>
    <m/>
    <m/>
    <m/>
    <m/>
    <m/>
    <m/>
    <m/>
    <m/>
    <m/>
    <m/>
    <s v="Active"/>
    <m/>
    <s v="NPI: All development items approved/closed"/>
    <m/>
  </r>
  <r>
    <x v="1"/>
    <x v="0"/>
    <x v="9"/>
    <m/>
    <x v="3"/>
    <s v="FLEETWOOD "/>
    <s v="WALDORF ASTORIA DEER VALLEY"/>
    <x v="67"/>
    <n v="0"/>
    <x v="5"/>
    <s v="NEW"/>
    <s v="1. Preliminary Design"/>
    <d v="2026-05-02T00:00:00"/>
    <m/>
    <m/>
    <x v="2"/>
    <m/>
    <x v="1"/>
    <x v="1"/>
    <m/>
    <m/>
    <x v="24"/>
    <x v="0"/>
    <n v="5665882.9800000004"/>
    <n v="1133176.5960000001"/>
    <x v="17"/>
    <x v="1"/>
    <m/>
    <m/>
    <m/>
    <m/>
    <x v="22"/>
    <x v="23"/>
    <m/>
    <m/>
    <m/>
    <m/>
    <m/>
    <m/>
    <m/>
    <m/>
    <m/>
    <m/>
    <m/>
    <m/>
    <m/>
    <m/>
    <m/>
    <m/>
    <m/>
    <m/>
    <m/>
    <m/>
    <m/>
    <s v="Active"/>
    <m/>
    <s v="NPI: All development items approved/closed"/>
    <m/>
  </r>
  <r>
    <x v="1"/>
    <x v="0"/>
    <x v="9"/>
    <s v="Erika"/>
    <x v="3"/>
    <s v="FLEETWOOD "/>
    <s v="PEBBLE BEACH CASA PALMERO"/>
    <x v="68"/>
    <n v="1"/>
    <x v="0"/>
    <s v="NEW"/>
    <s v="7. Mass Production"/>
    <d v="2026-05-02T00:00:00"/>
    <d v="2026-05-13T00:00:00"/>
    <d v="2026-06-05T00:00:00"/>
    <x v="2"/>
    <s v="CA"/>
    <x v="1"/>
    <x v="1"/>
    <n v="25"/>
    <m/>
    <x v="4"/>
    <x v="14"/>
    <n v="13541.25"/>
    <n v="13541.25"/>
    <x v="9"/>
    <x v="0"/>
    <d v="2026-09-05T00:00:00"/>
    <d v="2026-09-05T00:00:00"/>
    <d v="2026-10-09T00:00:00"/>
    <d v="2026-10-09T00:00:00"/>
    <x v="26"/>
    <x v="18"/>
    <s v="Approved"/>
    <m/>
    <d v="2026-06-27T00:00:00"/>
    <s v="Approved"/>
    <m/>
    <d v="2026-07-10T00:00:00"/>
    <s v="N/A"/>
    <m/>
    <m/>
    <s v="Approved"/>
    <m/>
    <d v="2026-07-10T00:00:00"/>
    <s v="Approved"/>
    <m/>
    <d v="2026-07-24T00:00:00"/>
    <s v="N/A"/>
    <m/>
    <m/>
    <s v="N/A"/>
    <m/>
    <m/>
    <s v="Complete"/>
    <m/>
    <s v="READY"/>
    <s v="James Le will come for final inspection before packing 10-Oct"/>
  </r>
  <r>
    <x v="0"/>
    <x v="1"/>
    <x v="1"/>
    <s v="Monica Cuevas"/>
    <x v="0"/>
    <s v="RH"/>
    <s v="SUNRIVER RESORT "/>
    <x v="69"/>
    <n v="1"/>
    <x v="0"/>
    <s v="NEW"/>
    <s v="8. Shipment"/>
    <d v="2026-05-02T00:00:00"/>
    <d v="2026-05-12T00:00:00"/>
    <m/>
    <x v="2"/>
    <s v="US"/>
    <x v="0"/>
    <x v="0"/>
    <m/>
    <m/>
    <x v="6"/>
    <x v="0"/>
    <n v="1017.32"/>
    <n v="1017.32"/>
    <x v="1"/>
    <x v="0"/>
    <d v="2026-06-22T00:00:00"/>
    <d v="2026-06-26T00:00:00"/>
    <d v="2026-06-29T00:00:00"/>
    <d v="2026-06-29T00:00:00"/>
    <x v="4"/>
    <x v="28"/>
    <s v="Approved"/>
    <m/>
    <d v="2026-05-16T00:00:00"/>
    <s v="Approved"/>
    <m/>
    <d v="2026-05-16T00:00:00"/>
    <s v="N/A"/>
    <m/>
    <m/>
    <s v="Approved"/>
    <m/>
    <d v="2026-05-16T00:00:00"/>
    <s v="N/A"/>
    <m/>
    <m/>
    <s v="N/A"/>
    <m/>
    <m/>
    <s v="N/A"/>
    <m/>
    <m/>
    <s v="Complete"/>
    <s v="Yes"/>
    <s v="READY"/>
    <m/>
  </r>
  <r>
    <x v="0"/>
    <x v="0"/>
    <x v="11"/>
    <s v="Monica Cuevas"/>
    <x v="0"/>
    <s v="RH"/>
    <s v="SUNRIVER RESORT "/>
    <x v="69"/>
    <n v="1"/>
    <x v="3"/>
    <s v="NEW"/>
    <s v="3. Prototype Readiness (BOM)"/>
    <d v="2026-09-18T00:00:00"/>
    <d v="2026-10-02T00:00:00"/>
    <m/>
    <x v="2"/>
    <s v="US"/>
    <x v="8"/>
    <x v="9"/>
    <n v="8"/>
    <m/>
    <x v="29"/>
    <x v="15"/>
    <n v="36622.71"/>
    <n v="36622.71"/>
    <x v="19"/>
    <x v="1"/>
    <d v="2026-03-06T00:00:00"/>
    <d v="2026-03-06T00:00:00"/>
    <d v="2027-03-26T00:00:00"/>
    <d v="2027-04-02T00:00:00"/>
    <x v="27"/>
    <x v="29"/>
    <s v="In Progress"/>
    <d v="2026-10-30T00:00:00"/>
    <s v="Schedule to submit 16-23 Oct"/>
    <s v="In Progress"/>
    <d v="2026-10-30T00:00:00"/>
    <s v="Just received control sample 5-Oct"/>
    <s v="In Progress"/>
    <d v="2026-10-30T00:00:00"/>
    <m/>
    <s v="In Progress"/>
    <d v="2026-10-30T00:00:00"/>
    <m/>
    <s v="N/A"/>
    <m/>
    <m/>
    <s v="N/A"/>
    <m/>
    <m/>
    <s v="N/A"/>
    <m/>
    <m/>
    <s v="Active"/>
    <s v="Yes"/>
    <s v="NPI: In progress: Drawing, Veneer/Wood, Marble, Metal; need approval by 30-Oct-26 for SW14"/>
    <m/>
  </r>
  <r>
    <x v="1"/>
    <x v="0"/>
    <x v="3"/>
    <m/>
    <x v="13"/>
    <s v="BROOKFIELD"/>
    <s v="RITZ CARLTON PHILADELPHIA"/>
    <x v="63"/>
    <n v="1"/>
    <x v="6"/>
    <s v="NEW"/>
    <s v="1. Preliminary Design"/>
    <m/>
    <m/>
    <m/>
    <x v="2"/>
    <s v="PA"/>
    <x v="1"/>
    <x v="1"/>
    <m/>
    <m/>
    <x v="7"/>
    <x v="0"/>
    <n v="1985002.77"/>
    <n v="400000"/>
    <x v="11"/>
    <x v="1"/>
    <m/>
    <m/>
    <s v="TBC"/>
    <s v="TBC"/>
    <x v="9"/>
    <x v="9"/>
    <s v="Not Started "/>
    <m/>
    <m/>
    <s v="Not Started "/>
    <m/>
    <m/>
    <s v="Not Started "/>
    <m/>
    <m/>
    <s v="Not Started "/>
    <m/>
    <m/>
    <s v="N/A"/>
    <m/>
    <m/>
    <s v="Not Started "/>
    <m/>
    <m/>
    <s v="Not Started "/>
    <m/>
    <m/>
    <s v="Complete"/>
    <m/>
    <s v="NPI: All development items approved/closed for SW TBC"/>
    <m/>
  </r>
  <r>
    <x v="1"/>
    <x v="0"/>
    <x v="3"/>
    <m/>
    <x v="13"/>
    <s v="BROOKFIELD"/>
    <s v="RITZ CARLTON PHILADELPHIA"/>
    <x v="63"/>
    <n v="0"/>
    <x v="6"/>
    <s v="NEW"/>
    <s v="1. Preliminary Design"/>
    <m/>
    <m/>
    <m/>
    <x v="2"/>
    <s v="PA"/>
    <x v="1"/>
    <x v="1"/>
    <m/>
    <m/>
    <x v="7"/>
    <x v="0"/>
    <n v="1985002.77"/>
    <n v="792500"/>
    <x v="19"/>
    <x v="1"/>
    <m/>
    <m/>
    <s v="TBC"/>
    <s v="TBC"/>
    <x v="9"/>
    <x v="9"/>
    <s v="Not Started "/>
    <m/>
    <m/>
    <s v="Not Started "/>
    <m/>
    <m/>
    <s v="Not Started "/>
    <m/>
    <m/>
    <s v="Not Started "/>
    <m/>
    <m/>
    <s v="N/A"/>
    <m/>
    <m/>
    <s v="Not Started "/>
    <m/>
    <m/>
    <s v="Not Started "/>
    <m/>
    <m/>
    <s v="Complete"/>
    <m/>
    <s v="NPI: All development items approved/closed for SW TBC"/>
    <m/>
  </r>
  <r>
    <x v="1"/>
    <x v="0"/>
    <x v="3"/>
    <m/>
    <x v="13"/>
    <s v="BROOKFIELD"/>
    <s v="RITZ CARLTON PHILADELPHIA"/>
    <x v="63"/>
    <n v="0"/>
    <x v="6"/>
    <s v="NEW"/>
    <s v="1. Preliminary Design"/>
    <m/>
    <m/>
    <m/>
    <x v="2"/>
    <s v="PA"/>
    <x v="1"/>
    <x v="1"/>
    <m/>
    <m/>
    <x v="7"/>
    <x v="0"/>
    <n v="1985002.77"/>
    <n v="792500"/>
    <x v="16"/>
    <x v="1"/>
    <m/>
    <m/>
    <s v="TBC"/>
    <s v="TBC"/>
    <x v="9"/>
    <x v="9"/>
    <s v="Not Started "/>
    <m/>
    <m/>
    <s v="Not Started "/>
    <m/>
    <m/>
    <s v="Not Started "/>
    <m/>
    <m/>
    <s v="Not Started "/>
    <m/>
    <m/>
    <s v="N/A"/>
    <m/>
    <m/>
    <s v="Not Started "/>
    <m/>
    <m/>
    <s v="Not Started "/>
    <m/>
    <m/>
    <s v="Complete"/>
    <m/>
    <s v="NPI: All development items approved/closed for SW TBC"/>
    <m/>
  </r>
  <r>
    <x v="1"/>
    <x v="0"/>
    <x v="1"/>
    <m/>
    <x v="14"/>
    <s v="AYALA"/>
    <s v="KHOBAR HILTON CANOPY HOTEL"/>
    <x v="48"/>
    <n v="1"/>
    <x v="1"/>
    <s v="NEW"/>
    <s v="1. Preliminary Design"/>
    <m/>
    <m/>
    <m/>
    <x v="5"/>
    <s v="Saudi Arabia"/>
    <x v="1"/>
    <x v="1"/>
    <m/>
    <m/>
    <x v="3"/>
    <x v="0"/>
    <n v="897832"/>
    <n v="897832"/>
    <x v="16"/>
    <x v="1"/>
    <m/>
    <m/>
    <d v="2027-03-01T00:00:00"/>
    <d v="2027-03-22T00:00:00"/>
    <x v="28"/>
    <x v="30"/>
    <s v="Not Started "/>
    <m/>
    <m/>
    <s v="Not Started "/>
    <m/>
    <m/>
    <s v="Not Started "/>
    <m/>
    <m/>
    <s v="Not Started "/>
    <m/>
    <m/>
    <s v="Not Started "/>
    <m/>
    <m/>
    <s v="Not Started "/>
    <m/>
    <m/>
    <s v="Not Started "/>
    <m/>
    <m/>
    <s v="Active"/>
    <m/>
    <s v="NPI: All development items approved/closed for SW13"/>
    <m/>
  </r>
  <r>
    <x v="1"/>
    <x v="0"/>
    <x v="0"/>
    <m/>
    <x v="12"/>
    <s v="TRIMA"/>
    <s v="ASIATICO RESTAURANT "/>
    <x v="70"/>
    <n v="1"/>
    <x v="0"/>
    <s v="NEW"/>
    <s v="8. Shipment"/>
    <d v="2026-05-10T00:00:00"/>
    <m/>
    <m/>
    <x v="8"/>
    <s v="Jamaica"/>
    <x v="9"/>
    <x v="10"/>
    <m/>
    <m/>
    <x v="36"/>
    <x v="0"/>
    <n v="169383.67"/>
    <n v="46234.26"/>
    <x v="3"/>
    <x v="0"/>
    <m/>
    <m/>
    <d v="2026-08-26T00:00:00"/>
    <d v="2026-10-02T00:00:00"/>
    <x v="19"/>
    <x v="19"/>
    <s v="Approved"/>
    <m/>
    <m/>
    <s v="Approved"/>
    <m/>
    <m/>
    <s v="Approved"/>
    <m/>
    <m/>
    <s v="Approved"/>
    <m/>
    <m/>
    <s v="Approved"/>
    <m/>
    <m/>
    <s v="Approved"/>
    <m/>
    <m/>
    <s v="COM Received"/>
    <m/>
    <m/>
    <s v="Complete"/>
    <m/>
    <s v="READY"/>
    <m/>
  </r>
  <r>
    <x v="1"/>
    <x v="0"/>
    <x v="0"/>
    <m/>
    <x v="12"/>
    <s v="TRIMA"/>
    <s v="ASIATICO RESTAURANT "/>
    <x v="70"/>
    <n v="0"/>
    <x v="0"/>
    <s v="NEW"/>
    <s v="7. Mass Production"/>
    <d v="2026-05-10T00:00:00"/>
    <m/>
    <m/>
    <x v="8"/>
    <s v="Jamaica"/>
    <x v="9"/>
    <x v="10"/>
    <m/>
    <m/>
    <x v="36"/>
    <x v="0"/>
    <n v="169383.67"/>
    <n v="122196"/>
    <x v="8"/>
    <x v="0"/>
    <m/>
    <m/>
    <d v="2026-08-26T00:00:00"/>
    <d v="2026-10-02T00:00:00"/>
    <x v="19"/>
    <x v="19"/>
    <s v="Approved"/>
    <m/>
    <m/>
    <s v="Approved"/>
    <m/>
    <m/>
    <s v="Approved"/>
    <m/>
    <m/>
    <s v="Approved"/>
    <m/>
    <m/>
    <s v="Approved"/>
    <m/>
    <m/>
    <s v="Approved"/>
    <m/>
    <m/>
    <s v="COM Received"/>
    <m/>
    <m/>
    <s v="Complete"/>
    <m/>
    <s v="READY"/>
    <m/>
  </r>
  <r>
    <x v="0"/>
    <x v="1"/>
    <x v="1"/>
    <m/>
    <x v="0"/>
    <s v="RH"/>
    <s v="MONTAUK YACHT CLUB"/>
    <x v="71"/>
    <n v="1"/>
    <x v="6"/>
    <s v="NEW"/>
    <s v="1. Preliminary Design"/>
    <d v="2026-05-21T00:00:00"/>
    <m/>
    <m/>
    <x v="2"/>
    <s v="NY"/>
    <x v="0"/>
    <x v="0"/>
    <m/>
    <m/>
    <x v="30"/>
    <x v="0"/>
    <n v="12433.68"/>
    <n v="12433.68"/>
    <x v="3"/>
    <x v="0"/>
    <d v="2026-08-14T00:00:00"/>
    <d v="2026-08-14T00:00:00"/>
    <d v="2026-08-14T00:00:00"/>
    <d v="2026-08-14T00:00:00"/>
    <x v="29"/>
    <x v="31"/>
    <s v="Not Started"/>
    <m/>
    <m/>
    <s v="Not Started"/>
    <m/>
    <m/>
    <s v="Not Started"/>
    <m/>
    <m/>
    <s v="Not Started"/>
    <m/>
    <m/>
    <s v="N/A"/>
    <m/>
    <m/>
    <s v="Not Started"/>
    <m/>
    <m/>
    <s v="Not Started"/>
    <m/>
    <m/>
    <s v="Complete"/>
    <s v="Yes"/>
    <s v="NPD: Not started: Drawing, Veneer/Wood, Marble, Metal, Electrical, Fabric for SW33"/>
    <m/>
  </r>
  <r>
    <x v="0"/>
    <x v="0"/>
    <x v="1"/>
    <m/>
    <x v="0"/>
    <s v="RH"/>
    <s v="MONTAUK YACHT CLUB"/>
    <x v="71"/>
    <n v="1"/>
    <x v="6"/>
    <s v="NEW"/>
    <s v="1. Preliminary Design"/>
    <d v="2026-05-21T00:00:00"/>
    <m/>
    <m/>
    <x v="2"/>
    <s v="NY"/>
    <x v="0"/>
    <x v="0"/>
    <m/>
    <m/>
    <x v="30"/>
    <x v="0"/>
    <n v="1100000"/>
    <n v="1100000"/>
    <x v="4"/>
    <x v="1"/>
    <m/>
    <m/>
    <m/>
    <m/>
    <x v="22"/>
    <x v="23"/>
    <s v="Not Started"/>
    <m/>
    <m/>
    <s v="Not Started"/>
    <m/>
    <m/>
    <s v="Not Started"/>
    <m/>
    <m/>
    <s v="Not Started"/>
    <m/>
    <m/>
    <s v="N/A"/>
    <m/>
    <m/>
    <s v="Not Started"/>
    <m/>
    <m/>
    <s v="Not Started"/>
    <m/>
    <m/>
    <s v="Complete"/>
    <s v="Yes"/>
    <s v="NPI: Not started: Drawing, Veneer/Wood, Marble, Metal, Electrical, Fabric"/>
    <m/>
  </r>
  <r>
    <x v="1"/>
    <x v="0"/>
    <x v="3"/>
    <m/>
    <x v="17"/>
    <s v="HBA"/>
    <s v="HILTON PASADENA"/>
    <x v="72"/>
    <n v="1"/>
    <x v="3"/>
    <s v="NEW"/>
    <s v="5. Production Readiness"/>
    <d v="2026-05-19T00:00:00"/>
    <m/>
    <m/>
    <x v="2"/>
    <s v="CA"/>
    <x v="1"/>
    <x v="1"/>
    <m/>
    <m/>
    <x v="30"/>
    <x v="0"/>
    <n v="22890.480000000003"/>
    <n v="22890.480000000003"/>
    <x v="9"/>
    <x v="0"/>
    <d v="2026-08-01T00:00:00"/>
    <d v="2026-08-01T00:00:00"/>
    <d v="2026-10-09T00:00:00"/>
    <d v="2026-10-09T00:00:00"/>
    <x v="26"/>
    <x v="18"/>
    <s v="Approved"/>
    <m/>
    <m/>
    <s v="Approved"/>
    <m/>
    <m/>
    <s v="Approved"/>
    <m/>
    <m/>
    <s v="Approved"/>
    <m/>
    <m/>
    <s v="N/A"/>
    <m/>
    <m/>
    <s v="N/A"/>
    <m/>
    <m/>
    <s v="In Progress"/>
    <m/>
    <m/>
    <s v="Active"/>
    <m/>
    <s v="NPI: In progress: Fabric for SW41"/>
    <m/>
  </r>
  <r>
    <x v="1"/>
    <x v="0"/>
    <x v="9"/>
    <m/>
    <x v="3"/>
    <s v="FLEETWOOD "/>
    <s v="FAIRMONT HOTEL WINNIPEG"/>
    <x v="73"/>
    <n v="1"/>
    <x v="2"/>
    <s v="NEW"/>
    <s v="1. Preliminary Design"/>
    <d v="2026-06-05T00:00:00"/>
    <m/>
    <m/>
    <x v="1"/>
    <m/>
    <x v="3"/>
    <x v="3"/>
    <m/>
    <m/>
    <x v="36"/>
    <x v="0"/>
    <n v="79655.520000000033"/>
    <n v="79655.520000000033"/>
    <x v="12"/>
    <x v="2"/>
    <m/>
    <m/>
    <s v="TBC"/>
    <s v="TBC"/>
    <x v="9"/>
    <x v="9"/>
    <m/>
    <m/>
    <m/>
    <m/>
    <m/>
    <m/>
    <m/>
    <m/>
    <m/>
    <m/>
    <m/>
    <m/>
    <m/>
    <m/>
    <m/>
    <m/>
    <m/>
    <m/>
    <m/>
    <m/>
    <m/>
    <s v="Complete"/>
    <m/>
    <s v="NPI: All development items approved/closed for SW TBC"/>
    <m/>
  </r>
  <r>
    <x v="1"/>
    <x v="1"/>
    <x v="3"/>
    <m/>
    <x v="2"/>
    <s v="L&amp;S"/>
    <s v="THE STANDARD MIAMI HOTEL"/>
    <x v="74"/>
    <n v="1"/>
    <x v="7"/>
    <s v="NEW"/>
    <s v="1. Preliminary Design"/>
    <d v="2026-06-05T00:00:00"/>
    <m/>
    <m/>
    <x v="2"/>
    <s v="Miami"/>
    <x v="0"/>
    <x v="0"/>
    <m/>
    <m/>
    <x v="21"/>
    <x v="0"/>
    <n v="2142.3000000000002"/>
    <n v="2142.3000000000002"/>
    <x v="3"/>
    <x v="0"/>
    <d v="2026-08-28T00:00:00"/>
    <d v="2026-08-28T00:00:00"/>
    <d v="2026-08-28T00:00:00"/>
    <d v="2026-08-28T00:00:00"/>
    <x v="19"/>
    <x v="12"/>
    <s v="In Progress"/>
    <m/>
    <m/>
    <s v="In Progress"/>
    <m/>
    <m/>
    <s v="In Progress"/>
    <m/>
    <m/>
    <s v="In Progress"/>
    <m/>
    <m/>
    <s v="Pending approval"/>
    <m/>
    <m/>
    <s v="N/A"/>
    <m/>
    <m/>
    <s v="COM"/>
    <m/>
    <m/>
    <s v="Complete"/>
    <m/>
    <s v="NPD: In progress: Drawing, Veneer/Wood, Marble, Metal; Pending approval: Mirror; Fabric is com for SW35"/>
    <m/>
  </r>
  <r>
    <x v="1"/>
    <x v="0"/>
    <x v="3"/>
    <m/>
    <x v="2"/>
    <s v="L&amp;S"/>
    <s v="THE STANDARD MIAMI HOTEL"/>
    <x v="74"/>
    <n v="1"/>
    <x v="3"/>
    <s v="NEW"/>
    <s v="7. Mass Production"/>
    <d v="2026-06-05T00:00:00"/>
    <d v="2026-06-16T00:00:00"/>
    <m/>
    <x v="2"/>
    <s v="Miami"/>
    <x v="8"/>
    <x v="11"/>
    <m/>
    <m/>
    <x v="8"/>
    <x v="0"/>
    <n v="48791.869999999995"/>
    <n v="48791.869999999995"/>
    <x v="10"/>
    <x v="0"/>
    <d v="2026-10-16T00:00:00"/>
    <d v="2026-10-16T00:00:00"/>
    <d v="2026-11-13T00:00:00"/>
    <d v="2026-12-04T00:00:00"/>
    <x v="20"/>
    <x v="20"/>
    <s v="Approved"/>
    <m/>
    <m/>
    <s v="Approved"/>
    <m/>
    <m/>
    <s v="Approved"/>
    <m/>
    <m/>
    <s v="Approved"/>
    <m/>
    <m/>
    <s v="Approved"/>
    <m/>
    <m/>
    <s v="N/A"/>
    <m/>
    <m/>
    <s v="COM Pending"/>
    <m/>
    <m/>
    <s v="Active"/>
    <m/>
    <s v="NPI: Fabric is com pending for SW49"/>
    <m/>
  </r>
  <r>
    <x v="0"/>
    <x v="0"/>
    <x v="5"/>
    <s v="Monica Cuevas"/>
    <x v="0"/>
    <s v="RH"/>
    <s v="KINDERED KEYSTONE RESORT"/>
    <x v="75"/>
    <n v="1"/>
    <x v="0"/>
    <s v="REO"/>
    <s v="8. Shipment"/>
    <d v="2026-06-03T00:00:00"/>
    <d v="2026-06-03T00:00:00"/>
    <m/>
    <x v="2"/>
    <m/>
    <x v="1"/>
    <x v="1"/>
    <m/>
    <m/>
    <x v="6"/>
    <x v="4"/>
    <n v="1142.75"/>
    <n v="1142.75"/>
    <x v="3"/>
    <x v="0"/>
    <d v="2026-09-04T00:00:00"/>
    <d v="2026-09-04T00:00:00"/>
    <d v="2026-09-04T00:00:00"/>
    <d v="2026-09-04T00:00:00"/>
    <x v="30"/>
    <x v="3"/>
    <s v="Approved"/>
    <m/>
    <d v="2026-06-03T00:00:00"/>
    <s v="Approved"/>
    <m/>
    <d v="2026-06-03T00:00:00"/>
    <s v="N/A"/>
    <m/>
    <m/>
    <s v="N/A"/>
    <m/>
    <m/>
    <s v="N/A"/>
    <m/>
    <m/>
    <s v="N/A"/>
    <m/>
    <m/>
    <s v="COM Received"/>
    <m/>
    <d v="2026-06-03T00:00:00"/>
    <s v="Complete"/>
    <s v="Yes"/>
    <s v="READY"/>
    <m/>
  </r>
  <r>
    <x v="1"/>
    <x v="0"/>
    <x v="5"/>
    <m/>
    <x v="17"/>
    <s v="HBA"/>
    <s v="MARRIOTT GUYANA PUBLIC AREAS "/>
    <x v="76"/>
    <n v="1"/>
    <x v="8"/>
    <s v="NEW"/>
    <s v="1. Preliminary Design"/>
    <d v="2026-06-12T00:00:00"/>
    <m/>
    <m/>
    <x v="13"/>
    <s v="Guyana"/>
    <x v="0"/>
    <x v="0"/>
    <m/>
    <m/>
    <x v="21"/>
    <x v="0"/>
    <n v="25129.08"/>
    <n v="25129.08"/>
    <x v="9"/>
    <x v="0"/>
    <m/>
    <m/>
    <d v="2026-10-16T00:00:00"/>
    <d v="2026-10-16T00:00:00"/>
    <x v="18"/>
    <x v="32"/>
    <s v="Pending Approval"/>
    <m/>
    <m/>
    <s v="Pending Approval"/>
    <m/>
    <m/>
    <s v="N/A"/>
    <m/>
    <m/>
    <s v="N/A"/>
    <m/>
    <m/>
    <s v="N/A"/>
    <m/>
    <m/>
    <s v="N/A"/>
    <m/>
    <m/>
    <s v="N/A"/>
    <m/>
    <m/>
    <s v="Complete"/>
    <m/>
    <s v="NPI: Pending approval: Drawing, Veneer/Wood for SW42"/>
    <m/>
  </r>
  <r>
    <x v="0"/>
    <x v="0"/>
    <x v="14"/>
    <s v="Natasha Funk"/>
    <x v="0"/>
    <s v="RH"/>
    <s v="BELGROVE VILLAS"/>
    <x v="77"/>
    <n v="1"/>
    <x v="0"/>
    <s v="NEW"/>
    <s v="8. Shipment"/>
    <d v="2026-06-12T00:00:00"/>
    <d v="2026-06-17T00:00:00"/>
    <m/>
    <x v="2"/>
    <s v="FL"/>
    <x v="1"/>
    <x v="1"/>
    <m/>
    <m/>
    <x v="6"/>
    <x v="16"/>
    <n v="13398"/>
    <n v="13398"/>
    <x v="8"/>
    <x v="0"/>
    <d v="2026-09-19T00:00:00"/>
    <d v="2026-09-19T00:00:00"/>
    <d v="2026-09-25T00:00:00"/>
    <d v="2026-09-25T00:00:00"/>
    <x v="16"/>
    <x v="22"/>
    <s v="Approved"/>
    <m/>
    <d v="2026-06-17T00:00:00"/>
    <s v="Approved"/>
    <m/>
    <d v="2026-06-17T00:00:00"/>
    <s v="N/A"/>
    <m/>
    <m/>
    <s v="N/A"/>
    <m/>
    <m/>
    <s v="N/A"/>
    <m/>
    <m/>
    <s v="N/A"/>
    <m/>
    <m/>
    <s v="N/A"/>
    <m/>
    <m/>
    <s v="Complete"/>
    <s v="Yes"/>
    <s v="READY"/>
    <m/>
  </r>
  <r>
    <x v="1"/>
    <x v="1"/>
    <x v="1"/>
    <m/>
    <x v="18"/>
    <s v="BISCAYNE"/>
    <s v="PARK_AVENUE_HOTEL"/>
    <x v="78"/>
    <n v="1"/>
    <x v="3"/>
    <s v="NEW"/>
    <s v="4. Prototype Build"/>
    <d v="2026-05-30T00:00:00"/>
    <d v="2026-06-04T00:00:00"/>
    <d v="2026-06-26T00:00:00"/>
    <x v="2"/>
    <s v="CA"/>
    <x v="1"/>
    <x v="1"/>
    <m/>
    <m/>
    <x v="21"/>
    <x v="17"/>
    <n v="2843.6000000000004"/>
    <n v="2843.6000000000004"/>
    <x v="8"/>
    <x v="0"/>
    <d v="2026-08-17T00:00:00"/>
    <d v="2026-08-21T00:00:00"/>
    <d v="2026-09-25T00:00:00"/>
    <d v="2026-09-25T00:00:00"/>
    <x v="16"/>
    <x v="22"/>
    <s v="Approved"/>
    <m/>
    <m/>
    <s v="Approved"/>
    <m/>
    <m/>
    <s v="Approved"/>
    <m/>
    <m/>
    <s v="Approved"/>
    <m/>
    <m/>
    <s v="N/A"/>
    <m/>
    <m/>
    <s v="N/A"/>
    <m/>
    <m/>
    <s v="N/A"/>
    <m/>
    <m/>
    <s v="Active"/>
    <s v="Yes"/>
    <s v="NPD: All development items approved/closed for SW39"/>
    <m/>
  </r>
  <r>
    <x v="1"/>
    <x v="0"/>
    <x v="1"/>
    <m/>
    <x v="18"/>
    <s v="BISCAYNE"/>
    <s v="PARK_AVENUE_HOTEL"/>
    <x v="79"/>
    <n v="1"/>
    <x v="5"/>
    <s v="NEW"/>
    <s v="2. Product &amp; Process Dev"/>
    <m/>
    <d v="2026-06-04T00:00:00"/>
    <m/>
    <x v="2"/>
    <s v="CA"/>
    <x v="2"/>
    <x v="2"/>
    <m/>
    <m/>
    <x v="14"/>
    <x v="0"/>
    <n v="780835.84000000008"/>
    <n v="780835.84000000008"/>
    <x v="12"/>
    <x v="2"/>
    <m/>
    <m/>
    <s v="TBC"/>
    <s v="TBC"/>
    <x v="9"/>
    <x v="9"/>
    <s v="Not Started "/>
    <m/>
    <m/>
    <s v="Not Started"/>
    <m/>
    <m/>
    <s v="Not Started "/>
    <m/>
    <m/>
    <s v="Not Started "/>
    <m/>
    <m/>
    <s v="Not Started "/>
    <m/>
    <m/>
    <s v="Not Started "/>
    <m/>
    <m/>
    <s v="Not Started "/>
    <m/>
    <m/>
    <s v="Active"/>
    <s v="Yes"/>
    <s v="NPI: Not started: Veneer/Wood for SW TBC"/>
    <m/>
  </r>
  <r>
    <x v="0"/>
    <x v="0"/>
    <x v="1"/>
    <s v="Madison Lay"/>
    <x v="0"/>
    <s v="RH"/>
    <s v="CAUDWELL"/>
    <x v="80"/>
    <n v="1"/>
    <x v="0"/>
    <s v="NEW"/>
    <s v="8. Shipment"/>
    <m/>
    <d v="2026-06-17T00:00:00"/>
    <m/>
    <x v="14"/>
    <m/>
    <x v="0"/>
    <x v="0"/>
    <m/>
    <m/>
    <x v="6"/>
    <x v="0"/>
    <n v="499.5"/>
    <n v="499.5"/>
    <x v="2"/>
    <x v="0"/>
    <d v="2026-07-14T00:00:00"/>
    <d v="2026-07-14T00:00:00"/>
    <d v="2026-07-25T00:00:00"/>
    <d v="2026-07-25T00:00:00"/>
    <x v="3"/>
    <x v="33"/>
    <s v="Approved"/>
    <m/>
    <d v="2026-06-17T00:00:00"/>
    <s v="Approved"/>
    <m/>
    <d v="2026-06-17T00:00:00"/>
    <s v="Approved"/>
    <m/>
    <m/>
    <s v="N/A"/>
    <m/>
    <m/>
    <s v="N/A"/>
    <m/>
    <m/>
    <s v="N/A"/>
    <m/>
    <m/>
    <s v="COM"/>
    <m/>
    <d v="2026-06-22T00:00:00"/>
    <s v="Complete"/>
    <s v="Yes"/>
    <s v="READY"/>
    <m/>
  </r>
  <r>
    <x v="0"/>
    <x v="0"/>
    <x v="5"/>
    <s v="Sue Bilstad"/>
    <x v="0"/>
    <s v="RH"/>
    <s v="FOUR SEASONS  DENVER"/>
    <x v="81"/>
    <n v="1"/>
    <x v="1"/>
    <s v="NEW"/>
    <s v="1. Preliminary Design"/>
    <d v="2026-06-23T00:00:00"/>
    <s v="Pending PO "/>
    <m/>
    <x v="2"/>
    <s v="CO"/>
    <x v="4"/>
    <x v="12"/>
    <n v="2"/>
    <m/>
    <x v="4"/>
    <x v="13"/>
    <n v="4003.5"/>
    <n v="4003.5"/>
    <x v="11"/>
    <x v="1"/>
    <m/>
    <m/>
    <d v="2027-01-15T00:00:00"/>
    <d v="2027-01-15T00:00:00"/>
    <x v="31"/>
    <x v="34"/>
    <s v="Pending Approval"/>
    <m/>
    <m/>
    <s v="Pending Approval"/>
    <m/>
    <m/>
    <s v="Pending Approval"/>
    <m/>
    <m/>
    <s v="N/A"/>
    <m/>
    <m/>
    <s v="N/A"/>
    <m/>
    <m/>
    <s v="N/A"/>
    <m/>
    <m/>
    <s v="N/A"/>
    <m/>
    <m/>
    <s v="Active"/>
    <s v="Yes"/>
    <s v="NPI: Pending approval: Drawing, Veneer/Wood, Marble for SW03"/>
    <s v="Need PO this week WK42"/>
  </r>
  <r>
    <x v="0"/>
    <x v="1"/>
    <x v="5"/>
    <m/>
    <x v="0"/>
    <s v="RH"/>
    <s v="MUNISH"/>
    <x v="82"/>
    <n v="1"/>
    <x v="8"/>
    <s v="NEW"/>
    <s v="1. Preliminary Design"/>
    <d v="2026-06-26T00:00:00"/>
    <m/>
    <m/>
    <x v="15"/>
    <m/>
    <x v="0"/>
    <x v="0"/>
    <m/>
    <m/>
    <x v="6"/>
    <x v="0"/>
    <m/>
    <m/>
    <x v="26"/>
    <x v="4"/>
    <m/>
    <m/>
    <m/>
    <m/>
    <x v="22"/>
    <x v="23"/>
    <s v="In Progress"/>
    <m/>
    <m/>
    <s v="In Progress"/>
    <m/>
    <m/>
    <s v="N/A"/>
    <m/>
    <m/>
    <s v="N/A"/>
    <m/>
    <m/>
    <s v="N/A"/>
    <m/>
    <m/>
    <s v="N/A"/>
    <m/>
    <m/>
    <s v="N/A"/>
    <m/>
    <m/>
    <s v="Complete"/>
    <s v="Yes"/>
    <s v="NPD: In progress: Drawing, Veneer/Wood"/>
    <m/>
  </r>
  <r>
    <x v="0"/>
    <x v="0"/>
    <x v="5"/>
    <s v="Monica Cuevas"/>
    <x v="0"/>
    <s v="RH"/>
    <s v="MAUNA LANI"/>
    <x v="83"/>
    <n v="1"/>
    <x v="3"/>
    <s v="REO"/>
    <s v="7. Mass Production"/>
    <d v="2026-06-09T00:00:00"/>
    <d v="2026-08-11T00:00:00"/>
    <m/>
    <x v="2"/>
    <s v="HI"/>
    <x v="1"/>
    <x v="1"/>
    <m/>
    <m/>
    <x v="4"/>
    <x v="18"/>
    <n v="3240"/>
    <n v="3240"/>
    <x v="11"/>
    <x v="1"/>
    <m/>
    <m/>
    <d v="2026-01-08T00:00:00"/>
    <d v="2026-01-08T00:00:00"/>
    <x v="32"/>
    <x v="35"/>
    <s v="Approved"/>
    <m/>
    <d v="2026-08-21T00:00:00"/>
    <s v="Approved"/>
    <m/>
    <d v="2026-08-21T00:00:00"/>
    <s v="N/A"/>
    <m/>
    <m/>
    <s v="Approved"/>
    <m/>
    <d v="2026-08-21T00:00:00"/>
    <s v="N/A"/>
    <m/>
    <m/>
    <s v="N/A"/>
    <m/>
    <m/>
    <s v="N/A"/>
    <m/>
    <m/>
    <s v="Active"/>
    <s v="Yes"/>
    <s v="NPI: All development items approved/closed for SW02"/>
    <m/>
  </r>
  <r>
    <x v="0"/>
    <x v="0"/>
    <x v="1"/>
    <s v="Madison Lay"/>
    <x v="0"/>
    <s v="RH"/>
    <s v="GOLDEN PEAK"/>
    <x v="84"/>
    <n v="1"/>
    <x v="0"/>
    <s v="NEW"/>
    <s v="8. Shipment"/>
    <m/>
    <d v="2026-06-23T00:00:00"/>
    <m/>
    <x v="15"/>
    <m/>
    <x v="0"/>
    <x v="0"/>
    <m/>
    <m/>
    <x v="6"/>
    <x v="0"/>
    <n v="1466"/>
    <n v="1466"/>
    <x v="2"/>
    <x v="0"/>
    <d v="2026-07-20T00:00:00"/>
    <d v="2026-07-25T00:00:00"/>
    <d v="2026-07-27T00:00:00"/>
    <d v="2026-08-01T00:00:00"/>
    <x v="15"/>
    <x v="36"/>
    <s v="Approved"/>
    <m/>
    <d v="2026-06-25T00:00:00"/>
    <s v="Approved"/>
    <m/>
    <d v="2026-06-25T00:00:00"/>
    <s v="Approved"/>
    <m/>
    <m/>
    <s v="N/A"/>
    <m/>
    <m/>
    <s v="N/A"/>
    <m/>
    <m/>
    <s v="N/A"/>
    <m/>
    <m/>
    <s v="N/A"/>
    <m/>
    <s v="NA"/>
    <s v="Complete"/>
    <s v="Yes"/>
    <s v="READY"/>
    <m/>
  </r>
  <r>
    <x v="0"/>
    <x v="0"/>
    <x v="5"/>
    <s v="Caroline Dillard"/>
    <x v="0"/>
    <s v="RH"/>
    <s v="CUSTOM BEDS FOR EU"/>
    <x v="85"/>
    <n v="1"/>
    <x v="1"/>
    <s v="NEW"/>
    <s v="2. Product &amp; Process Dev"/>
    <d v="2026-07-09T00:00:00"/>
    <s v="Pending PO "/>
    <m/>
    <x v="16"/>
    <m/>
    <x v="4"/>
    <x v="13"/>
    <m/>
    <m/>
    <x v="4"/>
    <x v="19"/>
    <n v="8455.52"/>
    <n v="8455.52"/>
    <x v="11"/>
    <x v="1"/>
    <m/>
    <m/>
    <d v="2027-01-08T00:00:00"/>
    <d v="2027-01-08T00:00:00"/>
    <x v="13"/>
    <x v="37"/>
    <s v="Pending Approval"/>
    <d v="2026-10-02T00:00:00"/>
    <m/>
    <s v="In Progress"/>
    <d v="2026-10-02T00:00:00"/>
    <m/>
    <s v="N/A"/>
    <m/>
    <m/>
    <s v="N/A"/>
    <m/>
    <m/>
    <s v="N/A"/>
    <m/>
    <m/>
    <s v="N/A"/>
    <m/>
    <m/>
    <s v="In Progress"/>
    <d v="2026-10-02T00:00:00"/>
    <m/>
    <s v="Active"/>
    <s v="Yes"/>
    <s v="NPI: In progress: Veneer/Wood, Fabric; Pending approval: Drawing; need approval by 2-Oct-26 for SW02"/>
    <s v="Need PO this week WK42"/>
  </r>
  <r>
    <x v="1"/>
    <x v="1"/>
    <x v="7"/>
    <m/>
    <x v="19"/>
    <s v="BWG "/>
    <s v="MUSE POINT APARTMENT"/>
    <x v="86"/>
    <n v="1"/>
    <x v="0"/>
    <s v="NEW"/>
    <s v="3. Prototype Readiness (BOM)"/>
    <d v="2026-07-13T00:00:00"/>
    <m/>
    <m/>
    <x v="17"/>
    <s v="AU"/>
    <x v="1"/>
    <x v="1"/>
    <m/>
    <m/>
    <x v="3"/>
    <x v="20"/>
    <n v="0"/>
    <n v="0"/>
    <x v="8"/>
    <x v="0"/>
    <m/>
    <m/>
    <d v="2026-09-18T00:00:00"/>
    <d v="2026-09-18T00:00:00"/>
    <x v="33"/>
    <x v="16"/>
    <s v="Approved"/>
    <m/>
    <m/>
    <s v="Approved"/>
    <m/>
    <m/>
    <s v="N/A"/>
    <m/>
    <m/>
    <s v="Approved"/>
    <m/>
    <m/>
    <s v="N/A"/>
    <m/>
    <m/>
    <s v="N/A"/>
    <m/>
    <m/>
    <s v="N/A"/>
    <m/>
    <m/>
    <s v="Complete"/>
    <m/>
    <s v="READY"/>
    <m/>
  </r>
  <r>
    <x v="0"/>
    <x v="1"/>
    <x v="5"/>
    <s v="Monica Cuevas"/>
    <x v="0"/>
    <s v="RH"/>
    <s v="DANCING BEAR "/>
    <x v="87"/>
    <n v="1"/>
    <x v="3"/>
    <s v="NEW"/>
    <s v="4. Prototype Build"/>
    <d v="2026-07-18T00:00:00"/>
    <d v="2026-08-25T00:00:00"/>
    <m/>
    <x v="2"/>
    <s v="US"/>
    <x v="1"/>
    <x v="1"/>
    <m/>
    <m/>
    <x v="14"/>
    <x v="14"/>
    <n v="33810.54"/>
    <n v="33810.54"/>
    <x v="10"/>
    <x v="0"/>
    <d v="2026-09-11T00:00:00"/>
    <d v="2026-09-11T00:00:00"/>
    <d v="2026-10-23T00:00:00"/>
    <d v="2026-10-23T00:00:00"/>
    <x v="34"/>
    <x v="38"/>
    <s v="Approved"/>
    <m/>
    <d v="2026-09-11T00:00:00"/>
    <s v="Approved"/>
    <d v="2026-09-11T00:00:00"/>
    <d v="2026-09-09T00:00:00"/>
    <s v="Approved"/>
    <m/>
    <d v="2026-08-27T00:00:00"/>
    <s v="Approved"/>
    <d v="2026-09-11T00:00:00"/>
    <d v="2026-09-04T00:00:00"/>
    <s v="N/A"/>
    <m/>
    <m/>
    <s v="Approved"/>
    <m/>
    <d v="2026-08-27T00:00:00"/>
    <s v="COM Received"/>
    <m/>
    <d v="2026-08-25T00:00:00"/>
    <s v="Active"/>
    <s v="Yes"/>
    <s v="NPD: Fabric is com received for SW43"/>
    <s v="COM Received. Schedule for review with John Lee on 20-Oct."/>
  </r>
  <r>
    <x v="0"/>
    <x v="0"/>
    <x v="5"/>
    <s v="Monica Cuevas"/>
    <x v="0"/>
    <s v="RH"/>
    <s v="DANCING BEAR "/>
    <x v="87"/>
    <n v="1"/>
    <x v="1"/>
    <s v="NEW"/>
    <s v="4. Prototype Build"/>
    <d v="2026-07-18T00:00:00"/>
    <m/>
    <m/>
    <x v="2"/>
    <s v="US"/>
    <x v="1"/>
    <x v="1"/>
    <m/>
    <m/>
    <x v="13"/>
    <x v="21"/>
    <n v="299970.28999999998"/>
    <n v="299970.28999999998"/>
    <x v="14"/>
    <x v="1"/>
    <m/>
    <m/>
    <s v="TBC"/>
    <s v="TBC"/>
    <x v="9"/>
    <x v="9"/>
    <s v="Not Started"/>
    <m/>
    <m/>
    <s v="Not Started"/>
    <m/>
    <m/>
    <s v="Not Started"/>
    <m/>
    <m/>
    <s v="In Progress"/>
    <m/>
    <m/>
    <s v="N/A"/>
    <m/>
    <m/>
    <s v="Not Started"/>
    <m/>
    <m/>
    <s v="Not Started"/>
    <m/>
    <m/>
    <s v="Active"/>
    <s v="Yes"/>
    <s v="NPI: In progress: Metal; Not started: Drawing, Veneer/Wood, Marble, Electrical, Fabric for SW TBC"/>
    <m/>
  </r>
  <r>
    <x v="0"/>
    <x v="1"/>
    <x v="3"/>
    <s v="Madison Lay"/>
    <x v="0"/>
    <s v="RH"/>
    <s v="FOOTES REST"/>
    <x v="88"/>
    <n v="1"/>
    <x v="3"/>
    <s v="NEW"/>
    <s v="3. Prototype Readiness (BOM)"/>
    <d v="2026-07-23T00:00:00"/>
    <m/>
    <m/>
    <x v="2"/>
    <s v="CO"/>
    <x v="1"/>
    <x v="1"/>
    <m/>
    <m/>
    <x v="35"/>
    <x v="22"/>
    <n v="32385.58"/>
    <n v="32385.58"/>
    <x v="10"/>
    <x v="0"/>
    <m/>
    <m/>
    <d v="2026-11-13T00:00:00"/>
    <d v="2026-11-13T00:00:00"/>
    <x v="20"/>
    <x v="39"/>
    <s v="Pending Approval"/>
    <d v="2026-10-02T00:00:00"/>
    <m/>
    <s v="Approved"/>
    <m/>
    <m/>
    <s v="Approved"/>
    <m/>
    <m/>
    <s v="Pending Approval"/>
    <m/>
    <m/>
    <s v="Approved"/>
    <m/>
    <m/>
    <s v="N/A"/>
    <m/>
    <m/>
    <s v="COM Pending"/>
    <d v="2026-09-04T00:00:00"/>
    <m/>
    <s v="Active"/>
    <s v="Yes"/>
    <s v="NPD: Pending approval: Drawing, Metal; Fabric is com pending; need approval by 4-Sep-26 for SW46"/>
    <s v="Pending approval Drawing for Custom Bed End Bench  (M-SE-04), metal finish: Bronze finish which apply for 4 SKU: Custom Wardrobe Unit (M-CB-02) , Beverage Unit (M-CB-03), Bathroom Shelf,  Desk @ Double Queen (M-DE-01)"/>
  </r>
  <r>
    <x v="0"/>
    <x v="0"/>
    <x v="3"/>
    <s v="Madison Lay"/>
    <x v="0"/>
    <s v="RH"/>
    <s v="FOOTES REST"/>
    <x v="88"/>
    <n v="1"/>
    <x v="1"/>
    <s v="NEW"/>
    <s v="2. Product &amp; Process Dev"/>
    <m/>
    <m/>
    <m/>
    <x v="2"/>
    <s v="CO"/>
    <x v="1"/>
    <x v="1"/>
    <m/>
    <m/>
    <x v="5"/>
    <x v="0"/>
    <n v="543005"/>
    <n v="271502.5"/>
    <x v="5"/>
    <x v="1"/>
    <m/>
    <m/>
    <d v="2026-07-17T00:00:00"/>
    <d v="2026-08-21T00:00:00"/>
    <x v="17"/>
    <x v="0"/>
    <s v="Not Started"/>
    <m/>
    <m/>
    <s v="Not Started"/>
    <m/>
    <m/>
    <s v="Pending Approval"/>
    <m/>
    <m/>
    <s v="Pending Approval"/>
    <m/>
    <m/>
    <s v="Pending approval"/>
    <m/>
    <m/>
    <s v="N/A"/>
    <m/>
    <m/>
    <s v="COM"/>
    <m/>
    <m/>
    <s v="Active"/>
    <s v="Yes"/>
    <s v="NPI: Pending approval: Marble, Metal, Mirror; Not started: Drawing, Veneer/Wood; Fabric is com for SW34"/>
    <m/>
  </r>
  <r>
    <x v="0"/>
    <x v="0"/>
    <x v="3"/>
    <s v="Madison Lay"/>
    <x v="0"/>
    <s v="RH"/>
    <s v="FOOTES REST"/>
    <x v="88"/>
    <n v="0"/>
    <x v="1"/>
    <s v="NEW"/>
    <s v="2. Product &amp; Process Dev"/>
    <m/>
    <m/>
    <m/>
    <x v="2"/>
    <s v="CO"/>
    <x v="1"/>
    <x v="1"/>
    <m/>
    <m/>
    <x v="5"/>
    <x v="0"/>
    <n v="543005"/>
    <n v="271502.5"/>
    <x v="6"/>
    <x v="1"/>
    <m/>
    <m/>
    <d v="2026-07-17T00:00:00"/>
    <d v="2026-08-21T00:00:00"/>
    <x v="17"/>
    <x v="0"/>
    <s v="Not Started"/>
    <m/>
    <m/>
    <s v="Not Started"/>
    <m/>
    <m/>
    <s v="Pending Approval"/>
    <m/>
    <m/>
    <s v="Pending Approval"/>
    <m/>
    <m/>
    <s v="Pending approval"/>
    <m/>
    <m/>
    <s v="N/A"/>
    <m/>
    <m/>
    <s v="COM"/>
    <m/>
    <m/>
    <s v="Active"/>
    <s v="Yes"/>
    <s v="NPI: Pending approval: Marble, Metal, Mirror; Not started: Drawing, Veneer/Wood; Fabric is com for SW34"/>
    <m/>
  </r>
  <r>
    <x v="1"/>
    <x v="1"/>
    <x v="1"/>
    <s v="Elaine"/>
    <x v="3"/>
    <s v="FLEETWOOD "/>
    <s v="W-HOTEL-LAS-VEGAS"/>
    <x v="45"/>
    <n v="0"/>
    <x v="0"/>
    <s v="NEW"/>
    <s v="8. Shipment"/>
    <d v="2025-10-09T00:00:00"/>
    <m/>
    <m/>
    <x v="2"/>
    <s v="NV"/>
    <x v="1"/>
    <x v="1"/>
    <m/>
    <m/>
    <x v="21"/>
    <x v="17"/>
    <s v="FOC"/>
    <n v="0"/>
    <x v="8"/>
    <x v="0"/>
    <d v="2026-09-21T00:00:00"/>
    <d v="2026-09-21T00:00:00"/>
    <d v="2026-09-25T00:00:00"/>
    <d v="2026-09-25T00:00:00"/>
    <x v="16"/>
    <x v="22"/>
    <s v="Approved"/>
    <m/>
    <m/>
    <s v="Approved"/>
    <m/>
    <m/>
    <s v="Approved"/>
    <m/>
    <m/>
    <s v="Approved"/>
    <m/>
    <m/>
    <s v="N/A"/>
    <m/>
    <m/>
    <s v="N/A"/>
    <m/>
    <m/>
    <s v="COM Received"/>
    <m/>
    <m/>
    <s v="Complete"/>
    <m/>
    <s v="READY"/>
    <m/>
  </r>
  <r>
    <x v="0"/>
    <x v="0"/>
    <x v="14"/>
    <s v="Madison Lay"/>
    <x v="0"/>
    <s v="RH"/>
    <s v="RITZ CABO VILLA"/>
    <x v="89"/>
    <n v="1"/>
    <x v="5"/>
    <s v="NEW"/>
    <s v="1. Preliminary Design"/>
    <d v="2026-07-24T00:00:00"/>
    <m/>
    <m/>
    <x v="18"/>
    <s v="Mexico"/>
    <x v="3"/>
    <x v="3"/>
    <m/>
    <m/>
    <x v="28"/>
    <x v="23"/>
    <n v="9809"/>
    <n v="9809"/>
    <x v="12"/>
    <x v="2"/>
    <m/>
    <m/>
    <s v="TBC"/>
    <s v="TBC"/>
    <x v="9"/>
    <x v="9"/>
    <s v="Not Started"/>
    <m/>
    <m/>
    <s v="Not Started"/>
    <m/>
    <m/>
    <s v="N/A"/>
    <m/>
    <m/>
    <s v="N/A"/>
    <m/>
    <m/>
    <s v="N/A"/>
    <m/>
    <m/>
    <s v="N/A"/>
    <m/>
    <m/>
    <m/>
    <m/>
    <m/>
    <s v="Active"/>
    <s v="Yes"/>
    <s v="NPI: Not started: Drawing, Veneer/Wood for SW TBC"/>
    <s v="Pending finish confirm for &quot;Aged natural&quot;"/>
  </r>
  <r>
    <x v="1"/>
    <x v="1"/>
    <x v="9"/>
    <s v="Erika"/>
    <x v="3"/>
    <s v="FLEETWOOD "/>
    <s v="BDNY"/>
    <x v="90"/>
    <n v="1"/>
    <x v="0"/>
    <s v="NEW"/>
    <s v="3. Prototype Readiness (BOM)"/>
    <d v="2026-07-21T00:00:00"/>
    <d v="2026-07-21T00:00:00"/>
    <s v="FOC"/>
    <x v="2"/>
    <s v="NY"/>
    <x v="1"/>
    <x v="1"/>
    <n v="2"/>
    <m/>
    <x v="21"/>
    <x v="17"/>
    <s v="FOC"/>
    <n v="0"/>
    <x v="8"/>
    <x v="0"/>
    <d v="2026-09-19T00:00:00"/>
    <d v="2026-09-19T00:00:00"/>
    <d v="2026-10-01T00:00:00"/>
    <d v="2026-10-01T00:00:00"/>
    <x v="35"/>
    <x v="19"/>
    <s v="Approved"/>
    <m/>
    <d v="2026-07-30T00:00:00"/>
    <s v="Approved"/>
    <m/>
    <d v="2026-09-11T00:00:00"/>
    <s v="Approved"/>
    <m/>
    <d v="2026-09-11T00:00:00"/>
    <s v="Approved"/>
    <m/>
    <d v="2026-09-18T00:00:00"/>
    <s v="N/A"/>
    <m/>
    <m/>
    <s v="N/A"/>
    <m/>
    <m/>
    <s v="N/A"/>
    <m/>
    <m/>
    <s v="Complete"/>
    <m/>
    <s v="READY"/>
    <m/>
  </r>
  <r>
    <x v="0"/>
    <x v="0"/>
    <x v="1"/>
    <s v="Madison Lay"/>
    <x v="0"/>
    <s v="RH"/>
    <s v="AHS ONE CANAL CRESENT"/>
    <x v="91"/>
    <n v="1"/>
    <x v="2"/>
    <s v="NEW"/>
    <s v="5. Production Readiness"/>
    <m/>
    <m/>
    <m/>
    <x v="2"/>
    <s v="Florida, Miami"/>
    <x v="1"/>
    <x v="1"/>
    <m/>
    <m/>
    <x v="28"/>
    <x v="0"/>
    <s v="TBC"/>
    <s v="TBC"/>
    <x v="8"/>
    <x v="0"/>
    <m/>
    <m/>
    <d v="2026-09-12T00:00:00"/>
    <d v="2026-09-12T00:00:00"/>
    <x v="6"/>
    <x v="6"/>
    <m/>
    <m/>
    <m/>
    <m/>
    <m/>
    <m/>
    <m/>
    <m/>
    <m/>
    <m/>
    <m/>
    <m/>
    <m/>
    <m/>
    <m/>
    <m/>
    <m/>
    <m/>
    <m/>
    <m/>
    <m/>
    <s v="Complete"/>
    <m/>
    <s v="NPI: All development items approved/closed for SW37"/>
    <s v="Waiting for PO"/>
  </r>
  <r>
    <x v="0"/>
    <x v="0"/>
    <x v="14"/>
    <s v="Monica Cuevas"/>
    <x v="0"/>
    <s v="RH"/>
    <s v="1419 MONUMENT HOTEL"/>
    <x v="92"/>
    <n v="1"/>
    <x v="3"/>
    <s v="NEW"/>
    <s v="7. Mass Production"/>
    <d v="2026-08-05T00:00:00"/>
    <d v="2026-08-07T00:00:00"/>
    <m/>
    <x v="19"/>
    <m/>
    <x v="1"/>
    <x v="1"/>
    <m/>
    <m/>
    <x v="6"/>
    <x v="24"/>
    <n v="6068.79"/>
    <n v="6068.79"/>
    <x v="15"/>
    <x v="0"/>
    <m/>
    <m/>
    <d v="2026-12-04T00:00:00"/>
    <d v="2026-12-04T00:00:00"/>
    <x v="36"/>
    <x v="20"/>
    <s v="Approved"/>
    <m/>
    <d v="2026-08-07T00:00:00"/>
    <s v="Approved"/>
    <m/>
    <d v="2026-08-07T00:00:00"/>
    <s v="Approved"/>
    <m/>
    <d v="2026-08-07T00:00:00"/>
    <s v="Approved"/>
    <m/>
    <d v="2026-08-07T00:00:00"/>
    <s v="N/A"/>
    <m/>
    <m/>
    <s v="N/A"/>
    <m/>
    <m/>
    <s v="N/A"/>
    <m/>
    <m/>
    <s v="Active"/>
    <m/>
    <s v="NPI: All development items approved/closed for SW49"/>
    <m/>
  </r>
  <r>
    <x v="1"/>
    <x v="1"/>
    <x v="11"/>
    <m/>
    <x v="20"/>
    <s v="SH"/>
    <s v="OAKLEY COURT MINI BAR BRIEF"/>
    <x v="93"/>
    <n v="1"/>
    <x v="3"/>
    <s v="NEW"/>
    <s v="3. Prototype Readiness (BOM)"/>
    <m/>
    <d v="2026-09-10T00:00:00"/>
    <m/>
    <x v="14"/>
    <m/>
    <x v="1"/>
    <x v="1"/>
    <m/>
    <m/>
    <x v="6"/>
    <x v="4"/>
    <n v="2230.98"/>
    <n v="2230.98"/>
    <x v="9"/>
    <x v="0"/>
    <m/>
    <m/>
    <d v="2026-11-20T00:00:00"/>
    <d v="2026-11-20T00:00:00"/>
    <x v="5"/>
    <x v="5"/>
    <s v="Approved"/>
    <m/>
    <m/>
    <s v="Approved"/>
    <m/>
    <m/>
    <m/>
    <m/>
    <m/>
    <m/>
    <m/>
    <m/>
    <m/>
    <m/>
    <m/>
    <m/>
    <m/>
    <m/>
    <m/>
    <m/>
    <m/>
    <s v="Active"/>
    <m/>
    <s v="NPD: All development items approved/closed for SW47"/>
    <m/>
  </r>
  <r>
    <x v="1"/>
    <x v="0"/>
    <x v="11"/>
    <m/>
    <x v="20"/>
    <s v="SH"/>
    <s v="OAKLEY COURT MINI BAR BRIEF"/>
    <x v="93"/>
    <n v="1"/>
    <x v="1"/>
    <s v="NEW"/>
    <s v="2. Product &amp; Process Dev"/>
    <m/>
    <m/>
    <m/>
    <x v="14"/>
    <m/>
    <x v="2"/>
    <x v="2"/>
    <m/>
    <m/>
    <x v="28"/>
    <x v="25"/>
    <n v="210727.22"/>
    <n v="210727.22"/>
    <x v="19"/>
    <x v="1"/>
    <m/>
    <m/>
    <d v="2027-04-09T00:00:00"/>
    <d v="2027-04-16T00:00:00"/>
    <x v="37"/>
    <x v="40"/>
    <s v="In Progress"/>
    <m/>
    <m/>
    <s v="In Progress"/>
    <m/>
    <m/>
    <m/>
    <m/>
    <m/>
    <m/>
    <m/>
    <m/>
    <m/>
    <m/>
    <m/>
    <m/>
    <m/>
    <m/>
    <m/>
    <m/>
    <m/>
    <s v="Active"/>
    <m/>
    <s v="NPI: In progress: Drawing, Veneer/Wood for SW16"/>
    <m/>
  </r>
  <r>
    <x v="1"/>
    <x v="0"/>
    <x v="14"/>
    <m/>
    <x v="21"/>
    <s v="AG"/>
    <s v="8 EATON LANE"/>
    <x v="94"/>
    <n v="1"/>
    <x v="3"/>
    <s v="NEW"/>
    <s v="7. Mass Production"/>
    <m/>
    <d v="2026-08-05T00:00:00"/>
    <m/>
    <x v="14"/>
    <s v="UK"/>
    <x v="8"/>
    <x v="14"/>
    <m/>
    <m/>
    <x v="19"/>
    <x v="9"/>
    <n v="14883.84"/>
    <n v="14883.84"/>
    <x v="15"/>
    <x v="0"/>
    <d v="2026-11-26T00:00:00"/>
    <d v="2026-11-26T00:00:00"/>
    <d v="2026-12-04T00:00:00"/>
    <d v="2026-12-04T00:00:00"/>
    <x v="36"/>
    <x v="20"/>
    <s v="Approved"/>
    <m/>
    <m/>
    <s v="In Progress"/>
    <m/>
    <m/>
    <m/>
    <m/>
    <m/>
    <m/>
    <m/>
    <m/>
    <m/>
    <m/>
    <m/>
    <m/>
    <m/>
    <m/>
    <m/>
    <m/>
    <m/>
    <s v="Active"/>
    <m/>
    <s v="NPI: In progress: Veneer/Wood for SW49"/>
    <m/>
  </r>
  <r>
    <x v="1"/>
    <x v="0"/>
    <x v="14"/>
    <m/>
    <x v="21"/>
    <s v="AG"/>
    <s v="BOARDROOM FURNITURE"/>
    <x v="95"/>
    <n v="1"/>
    <x v="3"/>
    <s v="NEW"/>
    <s v="7. Mass Production"/>
    <m/>
    <d v="2026-08-11T00:00:00"/>
    <m/>
    <x v="14"/>
    <s v="UK"/>
    <x v="4"/>
    <x v="12"/>
    <m/>
    <m/>
    <x v="4"/>
    <x v="13"/>
    <n v="10410"/>
    <n v="10410"/>
    <x v="10"/>
    <x v="0"/>
    <d v="2026-11-26T00:00:00"/>
    <d v="2026-11-26T00:00:00"/>
    <d v="2026-11-20T00:00:00"/>
    <d v="2026-11-20T00:00:00"/>
    <x v="5"/>
    <x v="5"/>
    <s v="Approved"/>
    <m/>
    <m/>
    <s v="In Progress"/>
    <m/>
    <m/>
    <m/>
    <m/>
    <m/>
    <m/>
    <m/>
    <m/>
    <m/>
    <m/>
    <m/>
    <m/>
    <m/>
    <m/>
    <m/>
    <m/>
    <m/>
    <s v="Active"/>
    <m/>
    <s v="NPI: In progress: Veneer/Wood for SW47"/>
    <m/>
  </r>
  <r>
    <x v="1"/>
    <x v="0"/>
    <x v="14"/>
    <m/>
    <x v="21"/>
    <s v="AG"/>
    <s v="CHARTER STREET TABLES"/>
    <x v="96"/>
    <n v="1"/>
    <x v="3"/>
    <s v="NEW"/>
    <s v="7. Mass Production"/>
    <m/>
    <d v="2026-08-11T00:00:00"/>
    <m/>
    <x v="14"/>
    <s v="UK"/>
    <x v="10"/>
    <x v="14"/>
    <m/>
    <m/>
    <x v="30"/>
    <x v="9"/>
    <n v="16944.240000000002"/>
    <n v="17615.419999999998"/>
    <x v="10"/>
    <x v="0"/>
    <d v="2026-11-26T00:00:00"/>
    <d v="2026-11-26T00:00:00"/>
    <d v="2026-11-20T00:00:00"/>
    <d v="2026-11-20T00:00:00"/>
    <x v="5"/>
    <x v="5"/>
    <s v="Approved"/>
    <m/>
    <m/>
    <s v="In Progress"/>
    <m/>
    <m/>
    <m/>
    <m/>
    <m/>
    <m/>
    <m/>
    <m/>
    <m/>
    <m/>
    <m/>
    <m/>
    <m/>
    <m/>
    <m/>
    <m/>
    <m/>
    <s v="Active"/>
    <m/>
    <s v="NPI: In progress: Veneer/Wood for SW47"/>
    <m/>
  </r>
  <r>
    <x v="0"/>
    <x v="0"/>
    <x v="5"/>
    <s v="Natasha Funk"/>
    <x v="0"/>
    <s v="RH"/>
    <s v="DEER VALLEY  "/>
    <x v="97"/>
    <n v="1"/>
    <x v="5"/>
    <s v="NEW"/>
    <s v="1. Preliminary Design"/>
    <d v="2026-09-11T00:00:00"/>
    <s v="Pending PO "/>
    <m/>
    <x v="2"/>
    <s v="AZ"/>
    <x v="1"/>
    <x v="1"/>
    <m/>
    <m/>
    <x v="28"/>
    <x v="26"/>
    <n v="47893.859999999993"/>
    <n v="47893.859999999993"/>
    <x v="27"/>
    <x v="5"/>
    <m/>
    <m/>
    <s v="TBC"/>
    <s v="TBC"/>
    <x v="9"/>
    <x v="9"/>
    <s v="Pending Approval"/>
    <m/>
    <m/>
    <s v="Pending Approval"/>
    <m/>
    <m/>
    <s v="N/A"/>
    <m/>
    <m/>
    <s v="Pending Approval"/>
    <m/>
    <m/>
    <s v="N/A"/>
    <m/>
    <m/>
    <s v="N/A"/>
    <m/>
    <m/>
    <s v="N/A"/>
    <m/>
    <m/>
    <s v="Active"/>
    <m/>
    <s v="NPI: Pending approval: Drawing, Veneer/Wood, Metal for SW TBC"/>
    <m/>
  </r>
  <r>
    <x v="0"/>
    <x v="0"/>
    <x v="5"/>
    <m/>
    <x v="0"/>
    <s v="RH"/>
    <s v="ALTERRA_DEER VALLEY "/>
    <x v="98"/>
    <n v="1"/>
    <x v="1"/>
    <s v="NEW"/>
    <s v="1. Preliminary Design"/>
    <m/>
    <m/>
    <m/>
    <x v="2"/>
    <s v="AZ"/>
    <x v="1"/>
    <x v="1"/>
    <m/>
    <m/>
    <x v="33"/>
    <x v="0"/>
    <n v="228194"/>
    <n v="228194"/>
    <x v="4"/>
    <x v="1"/>
    <m/>
    <m/>
    <s v="TBC"/>
    <s v="TBC"/>
    <x v="9"/>
    <x v="9"/>
    <s v="Not Started"/>
    <m/>
    <m/>
    <s v="Not Started"/>
    <m/>
    <m/>
    <s v="Not Started"/>
    <m/>
    <m/>
    <s v="In Progress"/>
    <m/>
    <m/>
    <s v="N/A"/>
    <m/>
    <m/>
    <s v="N/A"/>
    <m/>
    <m/>
    <s v="N/A"/>
    <m/>
    <m/>
    <s v="Active"/>
    <m/>
    <s v="NPI: In progress: Metal; Not started: Drawing, Veneer/Wood, Marble for SW TBC"/>
    <m/>
  </r>
  <r>
    <x v="1"/>
    <x v="0"/>
    <x v="15"/>
    <m/>
    <x v="18"/>
    <s v="BISCAYNE"/>
    <s v="SLPS - SUGAR LAND, PUBLIC SPACE"/>
    <x v="99"/>
    <n v="1"/>
    <x v="7"/>
    <s v="NEW"/>
    <s v="2. Product &amp; Process Dev"/>
    <m/>
    <m/>
    <m/>
    <x v="2"/>
    <s v="Texas"/>
    <x v="11"/>
    <x v="15"/>
    <m/>
    <m/>
    <x v="23"/>
    <x v="27"/>
    <n v="156985.75999999995"/>
    <n v="156985.75999999995"/>
    <x v="11"/>
    <x v="1"/>
    <d v="2026-12-11T00:00:00"/>
    <d v="2026-12-11T00:00:00"/>
    <d v="2027-01-01T00:00:00"/>
    <d v="2027-01-29T00:00:00"/>
    <x v="38"/>
    <x v="13"/>
    <s v="In Progress"/>
    <m/>
    <m/>
    <s v="In Progress"/>
    <m/>
    <m/>
    <m/>
    <m/>
    <m/>
    <m/>
    <m/>
    <m/>
    <m/>
    <m/>
    <m/>
    <m/>
    <m/>
    <m/>
    <m/>
    <m/>
    <m/>
    <s v="Complete"/>
    <s v="Yes"/>
    <s v="NPI: In progress: Drawing, Veneer/Wood for SW05"/>
    <m/>
  </r>
  <r>
    <x v="1"/>
    <x v="0"/>
    <x v="3"/>
    <m/>
    <x v="18"/>
    <s v="BISCAYNE"/>
    <s v="SLPSC"/>
    <x v="100"/>
    <n v="1"/>
    <x v="3"/>
    <s v="NEW"/>
    <s v="3. Prototype Readiness (BOM)"/>
    <d v="2026-08-18T00:00:00"/>
    <d v="2026-08-17T00:00:00"/>
    <s v="NOT YET"/>
    <x v="2"/>
    <s v="US"/>
    <x v="12"/>
    <x v="16"/>
    <m/>
    <m/>
    <x v="22"/>
    <x v="28"/>
    <n v="83963.209999999992"/>
    <n v="83963.209999999992"/>
    <x v="11"/>
    <x v="1"/>
    <d v="2026-12-11T00:00:00"/>
    <d v="2026-12-11T00:00:00"/>
    <d v="2027-01-01T00:00:00"/>
    <d v="2027-01-22T00:00:00"/>
    <x v="38"/>
    <x v="8"/>
    <s v="In Progress"/>
    <d v="2026-10-02T00:00:00"/>
    <m/>
    <s v="In Progress"/>
    <d v="2026-10-02T00:00:00"/>
    <m/>
    <s v="In Progress"/>
    <d v="2026-10-02T00:00:00"/>
    <m/>
    <s v="In Progress"/>
    <d v="2026-10-02T00:00:00"/>
    <m/>
    <s v="In Progress"/>
    <d v="2026-10-02T00:00:00"/>
    <m/>
    <s v="In Progress"/>
    <d v="2026-10-02T00:00:00"/>
    <m/>
    <s v="COM Pending"/>
    <m/>
    <m/>
    <s v="Active"/>
    <s v="Yes"/>
    <s v="NPI: In progress: Drawing, Veneer/Wood, Marble, Metal, Mirror, Electrical; Fabric is com pending; need approval by 2-Oct-26 for SW04"/>
    <m/>
  </r>
  <r>
    <x v="1"/>
    <x v="0"/>
    <x v="14"/>
    <s v="Erika"/>
    <x v="3"/>
    <s v="FLEETWOOD "/>
    <s v="MGM BELLAGIO"/>
    <x v="101"/>
    <n v="1"/>
    <x v="3"/>
    <s v="NEW"/>
    <s v="5. Production Readiness"/>
    <d v="2026-08-25T00:00:00"/>
    <d v="2026-08-25T00:00:00"/>
    <s v="Re-allocate from Auberge"/>
    <x v="2"/>
    <s v="LV"/>
    <x v="2"/>
    <x v="2"/>
    <n v="1"/>
    <m/>
    <x v="6"/>
    <x v="4"/>
    <n v="3202"/>
    <n v="3202"/>
    <x v="15"/>
    <x v="0"/>
    <d v="2026-12-16T00:00:00"/>
    <d v="2026-12-16T00:00:00"/>
    <d v="2026-12-04T00:00:00"/>
    <d v="2026-12-04T00:00:00"/>
    <x v="36"/>
    <x v="20"/>
    <s v="Approved"/>
    <m/>
    <d v="2026-09-07T00:00:00"/>
    <s v="Approved"/>
    <m/>
    <d v="2026-09-11T00:00:00"/>
    <s v="Approved"/>
    <m/>
    <d v="2026-09-11T00:00:00"/>
    <s v="Approved"/>
    <m/>
    <d v="2026-09-14T00:00:00"/>
    <s v="N/A"/>
    <m/>
    <m/>
    <s v="N/A"/>
    <m/>
    <m/>
    <s v="N/A"/>
    <m/>
    <m/>
    <s v="Active"/>
    <m/>
    <s v="NPI: All development items approved/closed for SW49"/>
    <s v="Schedule for Fleetwood WW inspection W45"/>
  </r>
  <r>
    <x v="0"/>
    <x v="1"/>
    <x v="7"/>
    <s v="Madison Lay"/>
    <x v="0"/>
    <s v="RH"/>
    <s v="FOUR SEASON DUBROVNIK"/>
    <x v="102"/>
    <n v="1"/>
    <x v="8"/>
    <s v="NEW"/>
    <s v="1. Preliminary Design"/>
    <m/>
    <m/>
    <m/>
    <x v="16"/>
    <m/>
    <x v="0"/>
    <x v="0"/>
    <m/>
    <m/>
    <x v="36"/>
    <x v="29"/>
    <n v="13804.520000000004"/>
    <n v="13804.520000000004"/>
    <x v="15"/>
    <x v="0"/>
    <m/>
    <m/>
    <d v="2026-12-11T00:00:00"/>
    <d v="2026-12-25T00:00:00"/>
    <x v="24"/>
    <x v="17"/>
    <s v="In Progress"/>
    <m/>
    <m/>
    <m/>
    <m/>
    <m/>
    <m/>
    <m/>
    <m/>
    <m/>
    <m/>
    <m/>
    <m/>
    <m/>
    <m/>
    <m/>
    <m/>
    <m/>
    <m/>
    <m/>
    <m/>
    <s v="Complete"/>
    <m/>
    <s v="NPD: In progress: Drawing for SW52"/>
    <m/>
  </r>
  <r>
    <x v="0"/>
    <x v="0"/>
    <x v="7"/>
    <s v="Madison Lay"/>
    <x v="0"/>
    <s v="RH"/>
    <s v="FOUR SEASON DUBROVNIK"/>
    <x v="102"/>
    <n v="1"/>
    <x v="8"/>
    <s v="NEW"/>
    <s v="1. Preliminary Design"/>
    <m/>
    <m/>
    <m/>
    <x v="16"/>
    <m/>
    <x v="1"/>
    <x v="1"/>
    <m/>
    <m/>
    <x v="36"/>
    <x v="0"/>
    <n v="1474339"/>
    <n v="737169.5"/>
    <x v="21"/>
    <x v="1"/>
    <m/>
    <m/>
    <m/>
    <m/>
    <x v="22"/>
    <x v="23"/>
    <s v="In Progress"/>
    <m/>
    <m/>
    <m/>
    <m/>
    <m/>
    <m/>
    <m/>
    <m/>
    <m/>
    <m/>
    <m/>
    <m/>
    <m/>
    <m/>
    <m/>
    <m/>
    <m/>
    <m/>
    <m/>
    <m/>
    <s v="Complete"/>
    <m/>
    <s v="NPI: In progress: Drawing"/>
    <m/>
  </r>
  <r>
    <x v="0"/>
    <x v="0"/>
    <x v="7"/>
    <s v="Madison Lay"/>
    <x v="0"/>
    <s v="RH"/>
    <s v="FOUR SEASON DUBROVNIK"/>
    <x v="102"/>
    <n v="0"/>
    <x v="8"/>
    <s v="NEW"/>
    <s v="1. Preliminary Design"/>
    <m/>
    <m/>
    <m/>
    <x v="16"/>
    <m/>
    <x v="1"/>
    <x v="1"/>
    <m/>
    <m/>
    <x v="36"/>
    <x v="0"/>
    <n v="1474339"/>
    <n v="737169.5"/>
    <x v="22"/>
    <x v="1"/>
    <m/>
    <m/>
    <m/>
    <m/>
    <x v="22"/>
    <x v="23"/>
    <s v="In Progress"/>
    <m/>
    <m/>
    <m/>
    <m/>
    <m/>
    <m/>
    <m/>
    <m/>
    <m/>
    <m/>
    <m/>
    <m/>
    <m/>
    <m/>
    <m/>
    <m/>
    <m/>
    <m/>
    <m/>
    <m/>
    <s v="Complete"/>
    <m/>
    <s v="NPI: In progress: Drawing"/>
    <m/>
  </r>
  <r>
    <x v="1"/>
    <x v="1"/>
    <x v="14"/>
    <m/>
    <x v="18"/>
    <s v="BISCAYNE"/>
    <s v="AGV MODEL ROOM"/>
    <x v="103"/>
    <n v="1"/>
    <x v="3"/>
    <s v="NEW"/>
    <s v="2. Product &amp; Process Dev"/>
    <d v="2026-08-29T00:00:00"/>
    <d v="2026-08-29T00:00:00"/>
    <d v="2026-09-25T00:00:00"/>
    <x v="2"/>
    <s v="US"/>
    <x v="1"/>
    <x v="1"/>
    <m/>
    <m/>
    <x v="35"/>
    <x v="16"/>
    <n v="17279"/>
    <n v="17279"/>
    <x v="11"/>
    <x v="1"/>
    <d v="2026-12-25T00:00:00"/>
    <d v="2026-12-25T00:00:00"/>
    <d v="2027-01-15T00:00:00"/>
    <d v="2027-01-15T00:00:00"/>
    <x v="31"/>
    <x v="34"/>
    <s v="In Progress"/>
    <d v="2026-10-02T00:00:00"/>
    <m/>
    <s v="In Progress"/>
    <d v="2026-10-02T00:00:00"/>
    <m/>
    <s v="In Progress"/>
    <d v="2026-10-02T00:00:00"/>
    <m/>
    <s v="In Progress"/>
    <d v="2026-10-02T00:00:00"/>
    <m/>
    <s v="N/A"/>
    <m/>
    <m/>
    <s v="In Progress"/>
    <m/>
    <m/>
    <s v="COM Pending"/>
    <m/>
    <m/>
    <s v="Active"/>
    <s v="Yes"/>
    <s v="NPD: In progress: Drawing, Veneer/Wood, Marble, Metal, Electrical; Fabric is com pending; need approval by 2-Oct-26 for SW03"/>
    <m/>
  </r>
  <r>
    <x v="1"/>
    <x v="1"/>
    <x v="14"/>
    <m/>
    <x v="18"/>
    <s v="BISCAYNE"/>
    <s v="AGV MODEL ROOM-EXTRA"/>
    <x v="104"/>
    <n v="1"/>
    <x v="10"/>
    <s v="NEW"/>
    <s v="2. Product &amp; Process Dev"/>
    <d v="2026-08-29T00:00:00"/>
    <d v="2026-08-29T00:00:00"/>
    <d v="2026-09-25T00:00:00"/>
    <x v="2"/>
    <s v="US"/>
    <x v="1"/>
    <x v="1"/>
    <m/>
    <m/>
    <x v="19"/>
    <x v="30"/>
    <n v="7473"/>
    <n v="7473"/>
    <x v="11"/>
    <x v="1"/>
    <d v="2026-12-25T00:00:00"/>
    <d v="2026-12-25T00:00:00"/>
    <d v="2027-01-01T00:00:00"/>
    <d v="2027-01-08T00:00:00"/>
    <x v="38"/>
    <x v="37"/>
    <s v="In Progress"/>
    <d v="2026-10-02T00:00:00"/>
    <m/>
    <s v="In Progress"/>
    <d v="2026-10-02T00:00:00"/>
    <m/>
    <s v="In Progress"/>
    <d v="2026-10-02T00:00:00"/>
    <m/>
    <s v="In Progress"/>
    <d v="2026-10-02T00:00:00"/>
    <m/>
    <s v="N/A"/>
    <m/>
    <m/>
    <s v="In Progress"/>
    <m/>
    <m/>
    <s v="COM Pending"/>
    <m/>
    <m/>
    <s v="Complete"/>
    <s v="Yes"/>
    <s v="NPD: In progress: Drawing, Veneer/Wood, Marble, Metal, Electrical; Fabric is com pending; need approval by 2-Oct-26 for SW02"/>
    <m/>
  </r>
  <r>
    <x v="1"/>
    <x v="1"/>
    <x v="14"/>
    <m/>
    <x v="18"/>
    <s v="BISCAYNE"/>
    <s v="AGSR - ARIZONA GRAND SUITES - MODEL ROOM"/>
    <x v="105"/>
    <n v="1"/>
    <x v="3"/>
    <s v="NEW"/>
    <s v="2. Product &amp; Process Dev"/>
    <d v="2026-08-29T00:00:00"/>
    <d v="2026-08-29T00:00:00"/>
    <d v="2026-09-25T00:00:00"/>
    <x v="2"/>
    <s v="US"/>
    <x v="1"/>
    <x v="1"/>
    <m/>
    <m/>
    <x v="16"/>
    <x v="31"/>
    <n v="11993"/>
    <n v="11993"/>
    <x v="11"/>
    <x v="1"/>
    <d v="2026-12-25T00:00:00"/>
    <d v="2026-12-25T00:00:00"/>
    <d v="2027-01-15T00:00:00"/>
    <d v="2027-01-15T00:00:00"/>
    <x v="31"/>
    <x v="34"/>
    <s v="In Progress"/>
    <d v="2026-10-02T00:00:00"/>
    <m/>
    <s v="In Progress"/>
    <d v="2026-10-02T00:00:00"/>
    <m/>
    <s v="In Progress"/>
    <d v="2026-10-02T00:00:00"/>
    <m/>
    <s v="In Progress"/>
    <d v="2026-10-02T00:00:00"/>
    <m/>
    <s v="N/A"/>
    <m/>
    <m/>
    <s v="In Progress"/>
    <m/>
    <m/>
    <s v="COM Pending"/>
    <m/>
    <m/>
    <s v="Active"/>
    <s v="Yes"/>
    <s v="NPD: In progress: Drawing, Veneer/Wood, Marble, Metal, Electrical; Fabric is com pending; need approval by 2-Oct-26 for SW03"/>
    <m/>
  </r>
  <r>
    <x v="1"/>
    <x v="1"/>
    <x v="14"/>
    <m/>
    <x v="18"/>
    <s v="BISCAYNE"/>
    <s v="AGSR - ARIZONA GRAND SUITES - EXTRA"/>
    <x v="106"/>
    <n v="1"/>
    <x v="3"/>
    <s v="NEW"/>
    <s v="2. Product &amp; Process Dev"/>
    <d v="2026-08-29T00:00:00"/>
    <d v="2026-08-29T00:00:00"/>
    <d v="2026-09-25T00:00:00"/>
    <x v="2"/>
    <s v="US"/>
    <x v="1"/>
    <x v="1"/>
    <m/>
    <m/>
    <x v="9"/>
    <x v="19"/>
    <n v="4270.1200000000008"/>
    <n v="4270.1200000000008"/>
    <x v="11"/>
    <x v="1"/>
    <d v="2026-12-25T00:00:00"/>
    <d v="2026-12-25T00:00:00"/>
    <d v="2027-01-15T00:00:00"/>
    <d v="2027-01-15T00:00:00"/>
    <x v="31"/>
    <x v="34"/>
    <s v="In Progress"/>
    <d v="2026-10-02T00:00:00"/>
    <m/>
    <s v="In Progress"/>
    <d v="2026-10-02T00:00:00"/>
    <m/>
    <s v="In Progress"/>
    <d v="2026-10-02T00:00:00"/>
    <m/>
    <s v="In Progress"/>
    <d v="2026-10-02T00:00:00"/>
    <m/>
    <s v="N/A"/>
    <m/>
    <m/>
    <s v="In Progress"/>
    <m/>
    <m/>
    <s v="COM Pending"/>
    <m/>
    <m/>
    <s v="Active"/>
    <s v="Yes"/>
    <s v="NPD: In progress: Drawing, Veneer/Wood, Marble, Metal, Electrical; Fabric is com pending; need approval by 2-Oct-26 for SW03"/>
    <m/>
  </r>
  <r>
    <x v="1"/>
    <x v="0"/>
    <x v="14"/>
    <m/>
    <x v="18"/>
    <s v="BISCAYNE"/>
    <s v="AGSR - ARIZONA GRAND SUITES - MODEL ROOM"/>
    <x v="105"/>
    <n v="1"/>
    <x v="1"/>
    <s v="NEW"/>
    <s v="1. Preliminary Design"/>
    <m/>
    <m/>
    <m/>
    <x v="2"/>
    <s v="US"/>
    <x v="1"/>
    <x v="1"/>
    <m/>
    <m/>
    <x v="33"/>
    <x v="0"/>
    <n v="3000000"/>
    <n v="1000000"/>
    <x v="14"/>
    <x v="1"/>
    <m/>
    <m/>
    <s v="TBC"/>
    <s v="TBC"/>
    <x v="9"/>
    <x v="9"/>
    <s v="Not Started"/>
    <m/>
    <m/>
    <s v="Not Started"/>
    <m/>
    <m/>
    <s v="Not Started"/>
    <m/>
    <m/>
    <s v="Not Started "/>
    <m/>
    <m/>
    <s v="Not Started "/>
    <m/>
    <m/>
    <s v="Not Started "/>
    <m/>
    <m/>
    <s v="Not Started "/>
    <m/>
    <m/>
    <s v="Active"/>
    <s v="Yes"/>
    <s v="NPI: Not started: Drawing, Veneer/Wood, Marble for SW TBC"/>
    <m/>
  </r>
  <r>
    <x v="1"/>
    <x v="0"/>
    <x v="14"/>
    <m/>
    <x v="18"/>
    <s v="BISCAYNE"/>
    <s v="AGSR - ARIZONA GRAND SUITES - MODEL ROOM"/>
    <x v="105"/>
    <n v="0"/>
    <x v="1"/>
    <s v="NEW"/>
    <s v="1. Preliminary Design"/>
    <m/>
    <m/>
    <m/>
    <x v="2"/>
    <s v="US"/>
    <x v="1"/>
    <x v="1"/>
    <m/>
    <m/>
    <x v="33"/>
    <x v="0"/>
    <n v="3000000"/>
    <n v="1000000"/>
    <x v="4"/>
    <x v="1"/>
    <m/>
    <m/>
    <s v="TBC"/>
    <s v="TBC"/>
    <x v="9"/>
    <x v="9"/>
    <s v="Not Started"/>
    <m/>
    <m/>
    <s v="Not Started"/>
    <m/>
    <m/>
    <s v="Not Started"/>
    <m/>
    <m/>
    <s v="Not Started "/>
    <m/>
    <m/>
    <s v="Not Started "/>
    <m/>
    <m/>
    <s v="Not Started "/>
    <m/>
    <m/>
    <s v="Not Started "/>
    <m/>
    <m/>
    <s v="Active"/>
    <s v="Yes"/>
    <s v="NPI: Not started: Drawing, Veneer/Wood, Marble for SW TBC"/>
    <m/>
  </r>
  <r>
    <x v="1"/>
    <x v="0"/>
    <x v="14"/>
    <m/>
    <x v="18"/>
    <s v="BISCAYNE"/>
    <s v="AGSR - ARIZONA GRAND SUITES - MODEL ROOM"/>
    <x v="105"/>
    <n v="0"/>
    <x v="1"/>
    <s v="NEW"/>
    <s v="1. Preliminary Design"/>
    <m/>
    <m/>
    <m/>
    <x v="2"/>
    <s v="US"/>
    <x v="1"/>
    <x v="1"/>
    <m/>
    <m/>
    <x v="33"/>
    <x v="0"/>
    <n v="3000000"/>
    <n v="1000000"/>
    <x v="5"/>
    <x v="1"/>
    <m/>
    <m/>
    <s v="TBC"/>
    <s v="TBC"/>
    <x v="9"/>
    <x v="9"/>
    <s v="Not Started"/>
    <m/>
    <m/>
    <s v="Not Started"/>
    <m/>
    <m/>
    <s v="Not Started"/>
    <m/>
    <m/>
    <s v="Not Started "/>
    <m/>
    <m/>
    <s v="Not Started "/>
    <m/>
    <m/>
    <s v="Not Started "/>
    <m/>
    <m/>
    <s v="Not Started "/>
    <m/>
    <m/>
    <s v="Active"/>
    <s v="Yes"/>
    <s v="NPI: Not started: Drawing, Veneer/Wood, Marble for SW TBC"/>
    <m/>
  </r>
  <r>
    <x v="1"/>
    <x v="1"/>
    <x v="14"/>
    <m/>
    <x v="18"/>
    <s v="BISCAYNE"/>
    <s v="SPA"/>
    <x v="107"/>
    <n v="1"/>
    <x v="3"/>
    <s v="NEW"/>
    <s v="2. Product &amp; Process Dev"/>
    <d v="2026-09-02T00:00:00"/>
    <d v="2026-08-31T00:00:00"/>
    <d v="2026-09-25T00:00:00"/>
    <x v="2"/>
    <s v="US"/>
    <x v="1"/>
    <x v="1"/>
    <m/>
    <m/>
    <x v="30"/>
    <x v="32"/>
    <n v="8153.75"/>
    <n v="8153.75"/>
    <x v="11"/>
    <x v="1"/>
    <m/>
    <m/>
    <d v="2027-01-22T00:00:00"/>
    <d v="2027-01-22T00:00:00"/>
    <x v="8"/>
    <x v="8"/>
    <s v="In Progress"/>
    <d v="2026-10-02T00:00:00"/>
    <m/>
    <s v="In Progress"/>
    <d v="2026-10-02T00:00:00"/>
    <m/>
    <s v="In Progress"/>
    <d v="2026-10-02T00:00:00"/>
    <m/>
    <s v="In Progress"/>
    <d v="2026-10-02T00:00:00"/>
    <m/>
    <s v="N/A"/>
    <m/>
    <m/>
    <s v="In Progress"/>
    <m/>
    <m/>
    <s v="COM Pending"/>
    <m/>
    <m/>
    <s v="Active"/>
    <s v="Yes"/>
    <s v="NPD: In progress: Drawing, Veneer/Wood, Marble, Metal, Electrical; Fabric is com pending; need approval by 2-Oct-26 for SW04"/>
    <s v="Deposit invoice sent Sep/11th "/>
  </r>
  <r>
    <x v="1"/>
    <x v="0"/>
    <x v="14"/>
    <m/>
    <x v="18"/>
    <s v="BISCAYNE"/>
    <s v="OLY PA"/>
    <x v="108"/>
    <n v="1"/>
    <x v="4"/>
    <s v="NEW"/>
    <s v="2. Product &amp; Process Dev"/>
    <m/>
    <d v="2026-07-10T00:00:00"/>
    <m/>
    <x v="2"/>
    <s v="Pennsylvania"/>
    <x v="0"/>
    <x v="0"/>
    <m/>
    <m/>
    <x v="6"/>
    <x v="17"/>
    <n v="2908"/>
    <n v="2908"/>
    <x v="19"/>
    <x v="1"/>
    <m/>
    <m/>
    <d v="2027-03-05T00:00:00"/>
    <d v="2027-03-05T00:00:00"/>
    <x v="28"/>
    <x v="41"/>
    <s v="In Progress"/>
    <d v="2027-10-22T00:00:00"/>
    <m/>
    <m/>
    <m/>
    <m/>
    <m/>
    <m/>
    <m/>
    <m/>
    <m/>
    <m/>
    <m/>
    <m/>
    <m/>
    <m/>
    <m/>
    <m/>
    <m/>
    <m/>
    <m/>
    <s v="Active"/>
    <s v="Yes"/>
    <s v="NPI: In progress: Drawing; need approval by 22-Oct-27 for SW10"/>
    <m/>
  </r>
  <r>
    <x v="1"/>
    <x v="0"/>
    <x v="11"/>
    <m/>
    <x v="22"/>
    <s v="MJM"/>
    <s v="CABIN PROJECT"/>
    <x v="109"/>
    <n v="1"/>
    <x v="6"/>
    <s v="NEW"/>
    <s v="2. Product &amp; Process Dev"/>
    <m/>
    <m/>
    <m/>
    <x v="2"/>
    <m/>
    <x v="1"/>
    <x v="1"/>
    <m/>
    <m/>
    <x v="21"/>
    <x v="33"/>
    <n v="371000"/>
    <n v="185500"/>
    <x v="11"/>
    <x v="1"/>
    <m/>
    <m/>
    <d v="2027-01-22T00:00:00"/>
    <d v="2027-01-22T00:00:00"/>
    <x v="8"/>
    <x v="8"/>
    <s v="In Progress"/>
    <m/>
    <m/>
    <m/>
    <m/>
    <m/>
    <m/>
    <m/>
    <m/>
    <m/>
    <m/>
    <m/>
    <m/>
    <m/>
    <m/>
    <m/>
    <m/>
    <m/>
    <m/>
    <m/>
    <m/>
    <s v="Complete"/>
    <m/>
    <s v="NPI: In progress: Drawing for SW04"/>
    <m/>
  </r>
  <r>
    <x v="1"/>
    <x v="0"/>
    <x v="11"/>
    <m/>
    <x v="22"/>
    <s v="MJM"/>
    <s v="CABIN PROJECT"/>
    <x v="109"/>
    <n v="0"/>
    <x v="6"/>
    <s v="NEW"/>
    <s v="2. Product &amp; Process Dev"/>
    <m/>
    <m/>
    <m/>
    <x v="2"/>
    <m/>
    <x v="1"/>
    <x v="1"/>
    <m/>
    <m/>
    <x v="21"/>
    <x v="33"/>
    <n v="371000"/>
    <n v="185500"/>
    <x v="19"/>
    <x v="1"/>
    <m/>
    <m/>
    <d v="2027-01-08T00:00:00"/>
    <d v="2027-02-26T00:00:00"/>
    <x v="13"/>
    <x v="42"/>
    <s v="In Progress"/>
    <m/>
    <m/>
    <m/>
    <m/>
    <m/>
    <m/>
    <m/>
    <m/>
    <m/>
    <m/>
    <m/>
    <m/>
    <m/>
    <m/>
    <m/>
    <m/>
    <m/>
    <m/>
    <m/>
    <m/>
    <s v="Complete"/>
    <m/>
    <s v="NPI: In progress: Drawing for SW09"/>
    <m/>
  </r>
  <r>
    <x v="0"/>
    <x v="1"/>
    <x v="5"/>
    <s v="Madison Lay"/>
    <x v="0"/>
    <s v="RH"/>
    <s v="OPS-0069737 TRIBECA CONDOS - VANITIES"/>
    <x v="110"/>
    <n v="1"/>
    <x v="8"/>
    <s v="NEW"/>
    <s v="1. Preliminary Design"/>
    <d v="2026-09-04T00:00:00"/>
    <m/>
    <m/>
    <x v="2"/>
    <s v="NY"/>
    <x v="1"/>
    <x v="1"/>
    <m/>
    <m/>
    <x v="4"/>
    <x v="13"/>
    <n v="4632.5600000000004"/>
    <n v="4632.5600000000004"/>
    <x v="15"/>
    <x v="0"/>
    <m/>
    <m/>
    <d v="2026-12-11T00:00:00"/>
    <d v="2026-12-11T00:00:00"/>
    <x v="24"/>
    <x v="11"/>
    <s v="In Progress"/>
    <m/>
    <m/>
    <s v="Not Started"/>
    <m/>
    <m/>
    <s v="Not Started"/>
    <m/>
    <m/>
    <s v="In Progress"/>
    <m/>
    <m/>
    <s v="N/A"/>
    <m/>
    <m/>
    <s v="N/A"/>
    <m/>
    <m/>
    <s v="N/A"/>
    <m/>
    <m/>
    <s v="Complete"/>
    <m/>
    <e v="#REF!"/>
    <m/>
  </r>
  <r>
    <x v="0"/>
    <x v="0"/>
    <x v="5"/>
    <s v="Madison Lay"/>
    <x v="0"/>
    <s v="RH"/>
    <s v="OPS-0069737 TRIBECA CONDOS - VANITIES"/>
    <x v="110"/>
    <n v="1"/>
    <x v="8"/>
    <s v="NEW"/>
    <s v="1. Preliminary Design"/>
    <d v="2026-09-01T00:00:00"/>
    <m/>
    <m/>
    <x v="2"/>
    <s v="NY"/>
    <x v="1"/>
    <x v="1"/>
    <m/>
    <m/>
    <x v="28"/>
    <x v="34"/>
    <n v="38099.789999999994"/>
    <n v="38099.789999999994"/>
    <x v="12"/>
    <x v="2"/>
    <m/>
    <m/>
    <s v="TBC"/>
    <s v="TBC"/>
    <x v="9"/>
    <x v="9"/>
    <s v="In Progress"/>
    <m/>
    <m/>
    <s v="Not Started"/>
    <m/>
    <m/>
    <s v="Not Started"/>
    <m/>
    <m/>
    <s v="In Progress"/>
    <m/>
    <m/>
    <s v="N/A"/>
    <m/>
    <m/>
    <s v="N/A"/>
    <m/>
    <m/>
    <s v="N/A"/>
    <m/>
    <m/>
    <s v="Complete"/>
    <m/>
    <s v="NPI: In progress: Drawing, Metal; Not started: Veneer/Wood, Marble for SW TBC"/>
    <m/>
  </r>
  <r>
    <x v="1"/>
    <x v="0"/>
    <x v="3"/>
    <m/>
    <x v="23"/>
    <s v="MV"/>
    <s v="CLEVELAND CLINIC"/>
    <x v="111"/>
    <n v="1"/>
    <x v="4"/>
    <s v="NEW"/>
    <s v="1. Preliminary Design"/>
    <d v="2026-09-10T00:00:00"/>
    <d v="2026-10-09T00:00:00"/>
    <s v="Pending Deposit"/>
    <x v="2"/>
    <m/>
    <x v="9"/>
    <x v="10"/>
    <m/>
    <m/>
    <x v="1"/>
    <x v="35"/>
    <n v="77770.73"/>
    <n v="27000"/>
    <x v="11"/>
    <x v="1"/>
    <d v="2027-01-15T00:00:00"/>
    <d v="2027-01-15T00:00:00"/>
    <d v="2027-01-29T00:00:00"/>
    <d v="2027-01-29T00:00:00"/>
    <x v="39"/>
    <x v="13"/>
    <s v="In Progress"/>
    <d v="2026-10-23T00:00:00"/>
    <m/>
    <s v="Not Started"/>
    <m/>
    <m/>
    <m/>
    <m/>
    <m/>
    <m/>
    <m/>
    <m/>
    <m/>
    <m/>
    <m/>
    <m/>
    <m/>
    <m/>
    <m/>
    <m/>
    <m/>
    <s v="Active"/>
    <m/>
    <s v="NPI: In progress: Drawing; Not started: Veneer/Wood; need approval by 23-Oct-26 for SW05"/>
    <m/>
  </r>
  <r>
    <x v="1"/>
    <x v="0"/>
    <x v="3"/>
    <m/>
    <x v="23"/>
    <s v="MV"/>
    <s v="CLEVELAND CLINIC"/>
    <x v="111"/>
    <n v="0"/>
    <x v="4"/>
    <s v="NEW"/>
    <s v="1. Preliminary Design"/>
    <d v="2026-09-10T00:00:00"/>
    <d v="2026-10-09T00:00:00"/>
    <s v="Pending Deposit"/>
    <x v="2"/>
    <m/>
    <x v="9"/>
    <x v="10"/>
    <m/>
    <m/>
    <x v="1"/>
    <x v="35"/>
    <n v="77770.73"/>
    <n v="50770.729999999996"/>
    <x v="19"/>
    <x v="1"/>
    <d v="2027-01-15T00:00:00"/>
    <d v="2027-01-15T00:00:00"/>
    <d v="2027-02-26T00:00:00"/>
    <d v="2027-03-19T00:00:00"/>
    <x v="40"/>
    <x v="43"/>
    <s v="In Progress"/>
    <d v="2026-10-23T00:00:00"/>
    <m/>
    <s v="Not Started"/>
    <m/>
    <m/>
    <m/>
    <m/>
    <m/>
    <m/>
    <m/>
    <m/>
    <m/>
    <m/>
    <m/>
    <m/>
    <m/>
    <m/>
    <m/>
    <m/>
    <m/>
    <s v="Active"/>
    <m/>
    <s v="NPI: In progress: Drawing; Not started: Veneer/Wood; need approval by 23-Oct-26 for SW12"/>
    <m/>
  </r>
  <r>
    <x v="0"/>
    <x v="0"/>
    <x v="5"/>
    <s v="Sue Bilstad"/>
    <x v="0"/>
    <s v="RH"/>
    <s v="MONTAGE PENDRY BARBADOS"/>
    <x v="112"/>
    <n v="1"/>
    <x v="3"/>
    <s v="NEW"/>
    <s v="7. Mass Production"/>
    <d v="2026-06-08T00:00:00"/>
    <d v="2026-09-01T00:00:00"/>
    <m/>
    <x v="2"/>
    <s v="US"/>
    <x v="1"/>
    <x v="1"/>
    <m/>
    <m/>
    <x v="6"/>
    <x v="36"/>
    <n v="5839.5599999999995"/>
    <n v="5839.5599999999995"/>
    <x v="10"/>
    <x v="0"/>
    <m/>
    <m/>
    <d v="2026-11-20T00:00:00"/>
    <d v="2026-11-20T00:00:00"/>
    <x v="5"/>
    <x v="5"/>
    <s v="Approved"/>
    <m/>
    <d v="2026-08-20T00:00:00"/>
    <s v="Approved"/>
    <m/>
    <d v="2026-08-20T00:00:00"/>
    <s v="N/A"/>
    <m/>
    <m/>
    <s v="N/A"/>
    <m/>
    <m/>
    <s v="N/A"/>
    <m/>
    <m/>
    <s v="N/A"/>
    <m/>
    <m/>
    <s v="N/A"/>
    <m/>
    <m/>
    <s v="Active"/>
    <m/>
    <s v="NPI: All development items approved/closed for SW47"/>
    <m/>
  </r>
  <r>
    <x v="1"/>
    <x v="1"/>
    <x v="11"/>
    <m/>
    <x v="10"/>
    <s v="SPECTRUM"/>
    <s v="PROJECT 550 POCKET DOORS"/>
    <x v="113"/>
    <n v="1"/>
    <x v="4"/>
    <s v="NEW"/>
    <s v="1. Preliminary Design"/>
    <d v="2026-03-09T00:00:00"/>
    <d v="2026-10-11T00:00:00"/>
    <s v="Pending Deposit"/>
    <x v="2"/>
    <m/>
    <x v="1"/>
    <x v="1"/>
    <m/>
    <m/>
    <x v="6"/>
    <x v="4"/>
    <n v="730.3"/>
    <n v="730.3"/>
    <x v="10"/>
    <x v="0"/>
    <m/>
    <m/>
    <d v="2026-11-27T00:00:00"/>
    <d v="2026-11-27T00:00:00"/>
    <x v="41"/>
    <x v="26"/>
    <s v="In Progress"/>
    <d v="2027-10-15T00:00:00"/>
    <m/>
    <s v="In Progress"/>
    <m/>
    <m/>
    <m/>
    <m/>
    <m/>
    <m/>
    <m/>
    <m/>
    <m/>
    <m/>
    <m/>
    <m/>
    <m/>
    <m/>
    <m/>
    <m/>
    <m/>
    <s v="Active"/>
    <m/>
    <s v="NPD: In progress: Drawing, Veneer/Wood; need approval by 15-Oct-27 for SW48"/>
    <m/>
  </r>
  <r>
    <x v="1"/>
    <x v="0"/>
    <x v="11"/>
    <m/>
    <x v="10"/>
    <s v="SPECTRUM"/>
    <s v="PROJECT 550 POCKET DOORS"/>
    <x v="113"/>
    <n v="1"/>
    <x v="1"/>
    <s v="NEW"/>
    <s v="1. Preliminary Design"/>
    <m/>
    <m/>
    <m/>
    <x v="2"/>
    <m/>
    <x v="1"/>
    <x v="1"/>
    <m/>
    <m/>
    <x v="4"/>
    <x v="37"/>
    <n v="41833"/>
    <n v="41833"/>
    <x v="16"/>
    <x v="1"/>
    <m/>
    <m/>
    <s v="TBC"/>
    <s v="TBC"/>
    <x v="9"/>
    <x v="9"/>
    <s v="Not Started"/>
    <m/>
    <m/>
    <s v="Not Started"/>
    <m/>
    <m/>
    <m/>
    <m/>
    <m/>
    <m/>
    <m/>
    <m/>
    <m/>
    <m/>
    <m/>
    <m/>
    <m/>
    <m/>
    <m/>
    <m/>
    <m/>
    <s v="Active"/>
    <m/>
    <s v="NPI: Not started: Drawing, Veneer/Wood for SW TBC"/>
    <m/>
  </r>
  <r>
    <x v="0"/>
    <x v="0"/>
    <x v="11"/>
    <m/>
    <x v="0"/>
    <s v="RH"/>
    <s v=" FOUR SEASONS LAS VEGAS"/>
    <x v="114"/>
    <n v="1"/>
    <x v="1"/>
    <s v="NEW"/>
    <s v="1. Preliminary Design"/>
    <m/>
    <m/>
    <m/>
    <x v="2"/>
    <s v="Nevada"/>
    <x v="0"/>
    <x v="0"/>
    <n v="31"/>
    <n v="19"/>
    <x v="2"/>
    <x v="38"/>
    <n v="358530.94"/>
    <n v="358530.94"/>
    <x v="23"/>
    <x v="1"/>
    <m/>
    <m/>
    <d v="2027-09-03T00:00:00"/>
    <d v="2027-09-03T00:00:00"/>
    <x v="42"/>
    <x v="44"/>
    <s v="Not Started"/>
    <m/>
    <m/>
    <s v="Not Started"/>
    <m/>
    <m/>
    <s v="N/A"/>
    <m/>
    <m/>
    <s v="Not Started"/>
    <m/>
    <m/>
    <s v="N/A"/>
    <m/>
    <m/>
    <s v="N/A"/>
    <m/>
    <m/>
    <s v="Not Started"/>
    <m/>
    <m/>
    <s v="Active"/>
    <m/>
    <s v="NPI: Not started: Drawing, Veneer/Wood, Metal, Fabric for SW36"/>
    <m/>
  </r>
  <r>
    <x v="0"/>
    <x v="0"/>
    <x v="3"/>
    <s v="Madison Lay"/>
    <x v="0"/>
    <s v="RH"/>
    <s v="LAKE OCONEE TENTS"/>
    <x v="115"/>
    <n v="1"/>
    <x v="1"/>
    <s v="NEW"/>
    <s v="1. Preliminary Design"/>
    <m/>
    <s v="Pending PO "/>
    <m/>
    <x v="2"/>
    <s v="Georgia"/>
    <x v="10"/>
    <x v="17"/>
    <m/>
    <m/>
    <x v="19"/>
    <x v="39"/>
    <n v="38935.43"/>
    <n v="38935.43"/>
    <x v="16"/>
    <x v="1"/>
    <m/>
    <m/>
    <s v="TBC"/>
    <s v="TBC"/>
    <x v="9"/>
    <x v="9"/>
    <s v="Not Started"/>
    <m/>
    <m/>
    <s v="Not Started"/>
    <m/>
    <m/>
    <s v="N/A"/>
    <m/>
    <m/>
    <s v="Not Started"/>
    <m/>
    <m/>
    <s v="N/A"/>
    <m/>
    <m/>
    <s v="Not Started"/>
    <m/>
    <m/>
    <s v="COM"/>
    <m/>
    <m/>
    <s v="Active"/>
    <m/>
    <s v="NPI: Not started: Drawing, Veneer/Wood, Metal, Electrical; Fabric is com for SW TBC"/>
    <m/>
  </r>
  <r>
    <x v="1"/>
    <x v="0"/>
    <x v="14"/>
    <m/>
    <x v="18"/>
    <s v="BISCAYNE"/>
    <s v="MCO"/>
    <x v="116"/>
    <n v="1"/>
    <x v="4"/>
    <s v="NEW"/>
    <s v="1. Preliminary Design"/>
    <d v="2026-10-07T00:00:00"/>
    <d v="2026-10-05T00:00:00"/>
    <s v="Pending Deposit"/>
    <x v="2"/>
    <s v="Orlando, Florida"/>
    <x v="0"/>
    <x v="0"/>
    <m/>
    <m/>
    <x v="4"/>
    <x v="40"/>
    <n v="333776"/>
    <n v="333776"/>
    <x v="19"/>
    <x v="1"/>
    <m/>
    <m/>
    <d v="2027-03-05T00:00:00"/>
    <d v="2027-03-15T00:00:00"/>
    <x v="28"/>
    <x v="43"/>
    <s v="In Progress"/>
    <d v="2027-10-22T00:00:00"/>
    <m/>
    <s v="In Progress"/>
    <m/>
    <m/>
    <s v="N/A"/>
    <m/>
    <m/>
    <s v="In Progress"/>
    <m/>
    <m/>
    <s v="N/A"/>
    <m/>
    <m/>
    <s v="N/A"/>
    <m/>
    <m/>
    <s v="COM"/>
    <m/>
    <m/>
    <s v="Active"/>
    <m/>
    <s v="NPI: In progress: Drawing, Veneer/Wood, Metal; Fabric is com; need approval by 22-Oct-27 for SW12"/>
    <m/>
  </r>
  <r>
    <x v="1"/>
    <x v="0"/>
    <x v="1"/>
    <m/>
    <x v="24"/>
    <s v="FAIRFIELD"/>
    <s v="WASHINGTON-DUKE"/>
    <x v="117"/>
    <n v="1"/>
    <x v="5"/>
    <s v="NEW"/>
    <s v="1. Preliminary Design"/>
    <m/>
    <m/>
    <m/>
    <x v="2"/>
    <s v="Washington DC"/>
    <x v="0"/>
    <x v="0"/>
    <m/>
    <m/>
    <x v="21"/>
    <x v="41"/>
    <n v="291481.96000000002"/>
    <n v="291481.96000000002"/>
    <x v="12"/>
    <x v="2"/>
    <m/>
    <m/>
    <s v="TBC"/>
    <s v="TBC"/>
    <x v="9"/>
    <x v="9"/>
    <s v="In Progress"/>
    <m/>
    <m/>
    <s v="In Progress"/>
    <m/>
    <m/>
    <m/>
    <m/>
    <m/>
    <m/>
    <m/>
    <m/>
    <m/>
    <m/>
    <m/>
    <m/>
    <m/>
    <m/>
    <m/>
    <m/>
    <m/>
    <s v="Active"/>
    <m/>
    <s v="NPI: In progress: Drawing, Veneer/Wood for SW TBC"/>
    <m/>
  </r>
  <r>
    <x v="1"/>
    <x v="1"/>
    <x v="1"/>
    <m/>
    <x v="24"/>
    <s v="FAIRFIELD"/>
    <s v="WASHINGTON-DUKE"/>
    <x v="118"/>
    <n v="1"/>
    <x v="1"/>
    <s v="NEW"/>
    <s v="1. Preliminary Design"/>
    <m/>
    <m/>
    <m/>
    <x v="2"/>
    <s v="Washington DC"/>
    <x v="0"/>
    <x v="0"/>
    <m/>
    <m/>
    <x v="21"/>
    <x v="0"/>
    <m/>
    <m/>
    <x v="11"/>
    <x v="1"/>
    <m/>
    <m/>
    <s v="TBC"/>
    <s v="TBC"/>
    <x v="9"/>
    <x v="9"/>
    <s v="In Progress"/>
    <m/>
    <m/>
    <s v="In Progress"/>
    <m/>
    <m/>
    <m/>
    <m/>
    <m/>
    <m/>
    <m/>
    <m/>
    <m/>
    <m/>
    <m/>
    <m/>
    <m/>
    <m/>
    <m/>
    <m/>
    <m/>
    <s v="Active"/>
    <m/>
    <s v="NPD: In progress: Drawing, Veneer/Wood for SW TBC"/>
    <m/>
  </r>
  <r>
    <x v="1"/>
    <x v="1"/>
    <x v="1"/>
    <m/>
    <x v="25"/>
    <s v="MONDO"/>
    <s v="LEXINGTON HOTEL"/>
    <x v="119"/>
    <n v="1"/>
    <x v="1"/>
    <s v="NEW"/>
    <s v="1. Preliminary Design"/>
    <m/>
    <m/>
    <m/>
    <x v="2"/>
    <s v="Lexington"/>
    <x v="0"/>
    <x v="0"/>
    <m/>
    <m/>
    <x v="7"/>
    <x v="0"/>
    <n v="14973.54"/>
    <n v="14973.54"/>
    <x v="11"/>
    <x v="1"/>
    <m/>
    <m/>
    <s v="TBC"/>
    <s v="TBC"/>
    <x v="9"/>
    <x v="9"/>
    <s v="In Progress"/>
    <m/>
    <m/>
    <s v="In Progress"/>
    <m/>
    <m/>
    <m/>
    <m/>
    <m/>
    <m/>
    <m/>
    <m/>
    <m/>
    <m/>
    <m/>
    <m/>
    <m/>
    <m/>
    <m/>
    <m/>
    <m/>
    <s v="Active"/>
    <m/>
    <s v="NPD: In progress: Drawing, Veneer/Wood for SW TBC"/>
    <m/>
  </r>
  <r>
    <x v="4"/>
    <x v="2"/>
    <x v="16"/>
    <m/>
    <x v="26"/>
    <m/>
    <m/>
    <x v="120"/>
    <n v="0"/>
    <x v="11"/>
    <m/>
    <m/>
    <m/>
    <m/>
    <m/>
    <x v="15"/>
    <m/>
    <x v="0"/>
    <x v="0"/>
    <m/>
    <m/>
    <x v="33"/>
    <x v="0"/>
    <m/>
    <m/>
    <x v="26"/>
    <x v="4"/>
    <m/>
    <m/>
    <m/>
    <m/>
    <x v="22"/>
    <x v="23"/>
    <m/>
    <m/>
    <m/>
    <m/>
    <m/>
    <m/>
    <m/>
    <m/>
    <m/>
    <m/>
    <m/>
    <m/>
    <m/>
    <m/>
    <m/>
    <m/>
    <m/>
    <m/>
    <m/>
    <m/>
    <m/>
    <s v=""/>
    <m/>
    <s v="All development items approved/close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B57BCD-39B5-44E7-AC0A-509BD1736038}" name="PivotTable3" cacheId="4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R65" firstHeaderRow="1" firstDataRow="3" firstDataCol="5"/>
  <pivotFields count="58">
    <pivotField axis="axisRow" compact="0" outline="0" showAll="0" sumSubtotal="1">
      <items count="6">
        <item x="0"/>
        <item x="1"/>
        <item x="4"/>
        <item x="2"/>
        <item x="3"/>
        <item t="sum"/>
      </items>
    </pivotField>
    <pivotField axis="axisRow" compact="0" outline="0" multipleItemSelectionAllowed="1" showAll="0" defaultSubtotal="0">
      <items count="4">
        <item x="0"/>
        <item h="1" x="1"/>
        <item h="1" x="2"/>
        <item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sortType="ascending" defaultSubtotal="0">
      <items count="133">
        <item m="1" x="123"/>
        <item x="23"/>
        <item x="15"/>
        <item x="27"/>
        <item x="29"/>
        <item x="45"/>
        <item x="31"/>
        <item x="33"/>
        <item x="39"/>
        <item x="37"/>
        <item x="40"/>
        <item x="6"/>
        <item x="3"/>
        <item x="5"/>
        <item x="4"/>
        <item x="14"/>
        <item x="18"/>
        <item x="20"/>
        <item x="94"/>
        <item x="95"/>
        <item x="96"/>
        <item x="48"/>
        <item x="49"/>
        <item x="106"/>
        <item x="105"/>
        <item x="103"/>
        <item x="104"/>
        <item x="116"/>
        <item x="108"/>
        <item x="78"/>
        <item x="99"/>
        <item x="100"/>
        <item x="107"/>
        <item x="44"/>
        <item x="63"/>
        <item x="86"/>
        <item x="24"/>
        <item x="118"/>
        <item x="56"/>
        <item x="90"/>
        <item x="73"/>
        <item x="28"/>
        <item x="59"/>
        <item x="101"/>
        <item x="68"/>
        <item x="58"/>
        <item x="67"/>
        <item m="1" x="131"/>
        <item x="72"/>
        <item x="76"/>
        <item x="60"/>
        <item x="34"/>
        <item x="32"/>
        <item x="25"/>
        <item x="26"/>
        <item x="46"/>
        <item x="74"/>
        <item x="36"/>
        <item m="1" x="130"/>
        <item x="109"/>
        <item m="1" x="129"/>
        <item m="1" x="127"/>
        <item x="38"/>
        <item x="119"/>
        <item x="111"/>
        <item x="61"/>
        <item x="114"/>
        <item x="92"/>
        <item x="91"/>
        <item x="98"/>
        <item m="1" x="128"/>
        <item x="57"/>
        <item x="77"/>
        <item x="80"/>
        <item x="7"/>
        <item x="66"/>
        <item x="85"/>
        <item x="64"/>
        <item x="87"/>
        <item x="97"/>
        <item x="88"/>
        <item x="102"/>
        <item x="81"/>
        <item x="84"/>
        <item x="1"/>
        <item x="0"/>
        <item x="2"/>
        <item x="65"/>
        <item x="8"/>
        <item x="9"/>
        <item x="75"/>
        <item x="115"/>
        <item x="83"/>
        <item m="1" x="126"/>
        <item x="22"/>
        <item x="112"/>
        <item x="71"/>
        <item x="82"/>
        <item x="10"/>
        <item x="11"/>
        <item x="110"/>
        <item x="12"/>
        <item x="52"/>
        <item x="62"/>
        <item x="13"/>
        <item x="16"/>
        <item x="89"/>
        <item x="21"/>
        <item x="17"/>
        <item x="19"/>
        <item x="69"/>
        <item m="1" x="125"/>
        <item x="53"/>
        <item x="42"/>
        <item x="93"/>
        <item x="41"/>
        <item x="47"/>
        <item x="55"/>
        <item x="113"/>
        <item x="30"/>
        <item x="70"/>
        <item x="51"/>
        <item x="43"/>
        <item x="50"/>
        <item x="35"/>
        <item x="79"/>
        <item m="1" x="132"/>
        <item x="117"/>
        <item x="54"/>
        <item m="1" x="122"/>
        <item m="1" x="121"/>
        <item m="1" x="124"/>
        <item x="120"/>
      </items>
    </pivotField>
    <pivotField compact="0" outline="0" showAll="0" defaultSubtotal="0"/>
    <pivotField axis="axisRow" compact="0" outline="0" showAll="0" sumSubtotal="1">
      <items count="13">
        <item x="0"/>
        <item x="3"/>
        <item x="1"/>
        <item h="1" x="2"/>
        <item x="5"/>
        <item h="1" x="7"/>
        <item h="1" x="9"/>
        <item x="4"/>
        <item h="1" x="6"/>
        <item h="1" x="8"/>
        <item h="1" x="11"/>
        <item h="1" x="10"/>
        <item t="sum"/>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39">
        <item x="6"/>
        <item x="4"/>
        <item x="9"/>
        <item x="3"/>
        <item x="7"/>
        <item x="5"/>
        <item x="0"/>
        <item x="2"/>
        <item x="8"/>
        <item x="10"/>
        <item x="11"/>
        <item x="12"/>
        <item x="13"/>
        <item x="14"/>
        <item x="15"/>
        <item x="16"/>
        <item x="17"/>
        <item x="18"/>
        <item x="19"/>
        <item x="20"/>
        <item x="22"/>
        <item x="23"/>
        <item x="24"/>
        <item x="25"/>
        <item x="26"/>
        <item x="27"/>
        <item x="28"/>
        <item x="29"/>
        <item x="30"/>
        <item x="32"/>
        <item x="33"/>
        <item x="34"/>
        <item x="21"/>
        <item x="35"/>
        <item x="36"/>
        <item m="1" x="38"/>
        <item x="31"/>
        <item x="1"/>
        <item m="1" x="37"/>
      </items>
    </pivotField>
    <pivotField compact="0" outline="0" subtotalTop="0" showAll="0" defaultSubtotal="0"/>
    <pivotField compact="0" outline="0" showAll="0" defaultSubtotal="0"/>
    <pivotField dataField="1" compact="0" outline="0" subtotalTop="0" showAll="0" defaultSubtotal="0"/>
    <pivotField name="SM" axis="axisCol" compact="0" outline="0" subtotalTop="0" showAll="0" defaultSubtotal="0">
      <items count="29">
        <item x="24"/>
        <item x="25"/>
        <item x="13"/>
        <item x="7"/>
        <item x="0"/>
        <item x="1"/>
        <item x="2"/>
        <item x="3"/>
        <item x="8"/>
        <item x="9"/>
        <item x="10"/>
        <item x="18"/>
        <item x="19"/>
        <item x="12"/>
        <item x="16"/>
        <item x="15"/>
        <item x="17"/>
        <item x="11"/>
        <item x="20"/>
        <item x="6"/>
        <item x="23"/>
        <item x="14"/>
        <item x="4"/>
        <item x="5"/>
        <item x="26"/>
        <item m="1" x="28"/>
        <item x="21"/>
        <item x="22"/>
        <item x="27"/>
      </items>
    </pivotField>
    <pivotField name="YEAR" axis="axisCol" compact="0" outline="0" subtotalTop="0" showAll="0" defaultSubtotal="0">
      <items count="7">
        <item x="0"/>
        <item h="1" x="1"/>
        <item h="1" x="2"/>
        <item h="1" x="3"/>
        <item h="1" x="4"/>
        <item h="1" m="1" x="6"/>
        <item h="1"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s>
  <rowFields count="5">
    <field x="9"/>
    <field x="0"/>
    <field x="7"/>
    <field x="1"/>
    <field x="21"/>
  </rowFields>
  <rowItems count="62">
    <i>
      <x/>
      <x/>
      <x v="1"/>
      <x/>
      <x v="12"/>
    </i>
    <i r="2">
      <x v="2"/>
      <x/>
      <x/>
    </i>
    <i r="2">
      <x v="12"/>
      <x/>
      <x v="6"/>
    </i>
    <i r="2">
      <x v="13"/>
      <x/>
      <x v="3"/>
    </i>
    <i r="2">
      <x v="14"/>
      <x/>
      <x v="7"/>
    </i>
    <i r="2">
      <x v="72"/>
      <x/>
      <x/>
    </i>
    <i r="2">
      <x v="73"/>
      <x/>
      <x/>
    </i>
    <i r="2">
      <x v="83"/>
      <x/>
      <x/>
    </i>
    <i r="2">
      <x v="84"/>
      <x/>
      <x v="6"/>
    </i>
    <i r="2">
      <x v="85"/>
      <x/>
      <x v="6"/>
    </i>
    <i r="2">
      <x v="88"/>
      <x/>
      <x/>
    </i>
    <i r="2">
      <x v="90"/>
      <x/>
      <x/>
    </i>
    <i r="2">
      <x v="94"/>
      <x/>
      <x/>
    </i>
    <i r="2">
      <x v="98"/>
      <x/>
      <x v="4"/>
    </i>
    <i r="2">
      <x v="103"/>
      <x/>
      <x v="1"/>
    </i>
    <i r="2">
      <x v="104"/>
      <x/>
      <x/>
    </i>
    <i r="2">
      <x v="109"/>
      <x/>
      <x v="5"/>
    </i>
    <i r="2">
      <x v="112"/>
      <x/>
      <x v="12"/>
    </i>
    <i t="sum" r="1">
      <x/>
    </i>
    <i r="1">
      <x v="1"/>
      <x v="3"/>
      <x/>
      <x v="16"/>
    </i>
    <i r="2">
      <x v="4"/>
      <x/>
      <x v="18"/>
    </i>
    <i r="2">
      <x v="6"/>
      <x/>
      <x v="19"/>
    </i>
    <i r="2">
      <x v="9"/>
      <x/>
      <x v="21"/>
    </i>
    <i r="2">
      <x v="10"/>
      <x/>
      <x v="24"/>
    </i>
    <i r="2">
      <x v="36"/>
      <x/>
      <x v="13"/>
    </i>
    <i r="2">
      <x v="42"/>
      <x/>
      <x v="18"/>
    </i>
    <i r="2">
      <x v="44"/>
      <x/>
      <x v="1"/>
    </i>
    <i r="2">
      <x v="50"/>
      <x/>
      <x v="19"/>
    </i>
    <i r="2">
      <x v="53"/>
      <x/>
      <x v="14"/>
    </i>
    <i r="2">
      <x v="65"/>
      <x/>
      <x v="24"/>
    </i>
    <i r="2">
      <x v="115"/>
      <x/>
      <x v="25"/>
    </i>
    <i r="2">
      <x v="120"/>
      <x/>
      <x v="34"/>
    </i>
    <i r="2">
      <x v="122"/>
      <x/>
      <x v="26"/>
    </i>
    <i r="2">
      <x v="123"/>
      <x/>
      <x v="5"/>
    </i>
    <i t="sum" r="1">
      <x v="1"/>
    </i>
    <i r="1">
      <x v="3"/>
      <x v="57"/>
      <x/>
      <x v="2"/>
    </i>
    <i t="sum" r="1">
      <x v="3"/>
    </i>
    <i r="1">
      <x v="4"/>
      <x v="113"/>
      <x/>
      <x v="18"/>
    </i>
    <i t="sum" r="1">
      <x v="4"/>
    </i>
    <i t="sum">
      <x/>
    </i>
    <i>
      <x v="1"/>
      <x/>
      <x v="16"/>
      <x/>
      <x v="9"/>
    </i>
    <i r="2">
      <x v="67"/>
      <x/>
      <x/>
    </i>
    <i r="2">
      <x v="89"/>
      <x/>
      <x/>
    </i>
    <i r="2">
      <x v="95"/>
      <x/>
      <x/>
    </i>
    <i r="2">
      <x v="98"/>
      <x/>
      <x v="4"/>
    </i>
    <i t="sum" r="1">
      <x/>
    </i>
    <i r="1">
      <x v="1"/>
      <x v="7"/>
      <x/>
      <x v="7"/>
    </i>
    <i r="2">
      <x v="18"/>
      <x/>
      <x v="18"/>
    </i>
    <i r="2">
      <x v="19"/>
      <x/>
      <x v="1"/>
    </i>
    <i r="2">
      <x v="20"/>
      <x/>
      <x v="28"/>
    </i>
    <i r="2">
      <x v="43"/>
      <x/>
      <x/>
    </i>
    <i r="2">
      <x v="45"/>
      <x/>
      <x v="33"/>
    </i>
    <i r="2">
      <x v="48"/>
      <x/>
      <x v="28"/>
    </i>
    <i r="2">
      <x v="52"/>
      <x/>
      <x v="7"/>
    </i>
    <i r="2">
      <x v="56"/>
      <x/>
      <x v="8"/>
    </i>
    <i r="2">
      <x v="62"/>
      <x/>
      <x v="22"/>
    </i>
    <i t="sum" r="1">
      <x v="1"/>
    </i>
    <i t="sum">
      <x v="1"/>
    </i>
    <i>
      <x v="7"/>
      <x v="1"/>
      <x v="51"/>
      <x/>
      <x v="32"/>
    </i>
    <i t="sum" r="1">
      <x v="1"/>
    </i>
    <i t="sum">
      <x v="7"/>
    </i>
    <i t="grand">
      <x/>
    </i>
  </rowItems>
  <colFields count="2">
    <field x="26"/>
    <field x="25"/>
  </colFields>
  <colItems count="13">
    <i>
      <x/>
      <x/>
    </i>
    <i r="1">
      <x v="1"/>
    </i>
    <i r="1">
      <x v="2"/>
    </i>
    <i r="1">
      <x v="3"/>
    </i>
    <i r="1">
      <x v="4"/>
    </i>
    <i r="1">
      <x v="5"/>
    </i>
    <i r="1">
      <x v="6"/>
    </i>
    <i r="1">
      <x v="7"/>
    </i>
    <i r="1">
      <x v="8"/>
    </i>
    <i r="1">
      <x v="9"/>
    </i>
    <i r="1">
      <x v="10"/>
    </i>
    <i r="1">
      <x v="15"/>
    </i>
    <i t="grand">
      <x/>
    </i>
  </colItems>
  <dataFields count="1">
    <dataField name="Value" fld="24" baseField="20" baseItem="24" numFmtId="166"/>
  </dataFields>
  <formats count="40">
    <format dxfId="1242">
      <pivotArea dataOnly="0" outline="0" fieldPosition="0">
        <references count="1">
          <reference field="9" count="0" sumSubtotal="1"/>
        </references>
      </pivotArea>
    </format>
    <format dxfId="1241">
      <pivotArea dataOnly="0" outline="0" fieldPosition="0">
        <references count="1">
          <reference field="9" count="0" sumSubtotal="1"/>
        </references>
      </pivotArea>
    </format>
    <format dxfId="1240">
      <pivotArea field="1" type="button" dataOnly="0" labelOnly="1" outline="0" axis="axisRow" fieldPosition="3"/>
    </format>
    <format dxfId="1239">
      <pivotArea field="9" type="button" dataOnly="0" labelOnly="1" outline="0" axis="axisRow" fieldPosition="0"/>
    </format>
    <format dxfId="1238">
      <pivotArea field="7" type="button" dataOnly="0" labelOnly="1" outline="0" axis="axisRow" fieldPosition="2"/>
    </format>
    <format dxfId="1237">
      <pivotArea field="0" type="button" dataOnly="0" labelOnly="1" outline="0" axis="axisRow" fieldPosition="1"/>
    </format>
    <format dxfId="1236">
      <pivotArea dataOnly="0" labelOnly="1" grandCol="1" outline="0" fieldPosition="0"/>
    </format>
    <format dxfId="1235">
      <pivotArea field="1" type="button" dataOnly="0" labelOnly="1" outline="0" axis="axisRow" fieldPosition="3"/>
    </format>
    <format dxfId="1234">
      <pivotArea field="9" type="button" dataOnly="0" labelOnly="1" outline="0" axis="axisRow" fieldPosition="0"/>
    </format>
    <format dxfId="1233">
      <pivotArea field="7" type="button" dataOnly="0" labelOnly="1" outline="0" axis="axisRow" fieldPosition="2"/>
    </format>
    <format dxfId="1232">
      <pivotArea field="0" type="button" dataOnly="0" labelOnly="1" outline="0" axis="axisRow" fieldPosition="1"/>
    </format>
    <format dxfId="1231">
      <pivotArea dataOnly="0" labelOnly="1" grandCol="1" outline="0" fieldPosition="0"/>
    </format>
    <format dxfId="1230">
      <pivotArea field="21" type="button" dataOnly="0" labelOnly="1" outline="0" axis="axisRow" fieldPosition="4"/>
    </format>
    <format dxfId="1229">
      <pivotArea field="21" type="button" dataOnly="0" labelOnly="1" outline="0" axis="axisRow" fieldPosition="4"/>
    </format>
    <format dxfId="1228">
      <pivotArea field="1" type="button" dataOnly="0" labelOnly="1" outline="0" axis="axisRow" fieldPosition="3"/>
    </format>
    <format dxfId="1227">
      <pivotArea field="9" type="button" dataOnly="0" labelOnly="1" outline="0" axis="axisRow" fieldPosition="0"/>
    </format>
    <format dxfId="1226">
      <pivotArea field="7" type="button" dataOnly="0" labelOnly="1" outline="0" axis="axisRow" fieldPosition="2"/>
    </format>
    <format dxfId="1225">
      <pivotArea field="0" type="button" dataOnly="0" labelOnly="1" outline="0" axis="axisRow" fieldPosition="1"/>
    </format>
    <format dxfId="1224">
      <pivotArea field="21" type="button" dataOnly="0" labelOnly="1" outline="0" axis="axisRow" fieldPosition="4"/>
    </format>
    <format dxfId="1223">
      <pivotArea dataOnly="0" labelOnly="1" grandCol="1" outline="0" fieldPosition="0"/>
    </format>
    <format dxfId="1222">
      <pivotArea field="1" type="button" dataOnly="0" labelOnly="1" outline="0" axis="axisRow" fieldPosition="3"/>
    </format>
    <format dxfId="1221">
      <pivotArea field="9" type="button" dataOnly="0" labelOnly="1" outline="0" axis="axisRow" fieldPosition="0"/>
    </format>
    <format dxfId="1220">
      <pivotArea field="7" type="button" dataOnly="0" labelOnly="1" outline="0" axis="axisRow" fieldPosition="2"/>
    </format>
    <format dxfId="1219">
      <pivotArea field="0" type="button" dataOnly="0" labelOnly="1" outline="0" axis="axisRow" fieldPosition="1"/>
    </format>
    <format dxfId="1218">
      <pivotArea field="21" type="button" dataOnly="0" labelOnly="1" outline="0" axis="axisRow" fieldPosition="4"/>
    </format>
    <format dxfId="1217">
      <pivotArea dataOnly="0" labelOnly="1" grandCol="1" outline="0" fieldPosition="0"/>
    </format>
    <format dxfId="1216">
      <pivotArea field="1" type="button" dataOnly="0" labelOnly="1" outline="0" axis="axisRow" fieldPosition="3"/>
    </format>
    <format dxfId="1215">
      <pivotArea field="9" type="button" dataOnly="0" labelOnly="1" outline="0" axis="axisRow" fieldPosition="0"/>
    </format>
    <format dxfId="1214">
      <pivotArea field="7" type="button" dataOnly="0" labelOnly="1" outline="0" axis="axisRow" fieldPosition="2"/>
    </format>
    <format dxfId="1213">
      <pivotArea field="0" type="button" dataOnly="0" labelOnly="1" outline="0" axis="axisRow" fieldPosition="1"/>
    </format>
    <format dxfId="1212">
      <pivotArea field="21" type="button" dataOnly="0" labelOnly="1" outline="0" axis="axisRow" fieldPosition="4"/>
    </format>
    <format dxfId="1211">
      <pivotArea dataOnly="0" labelOnly="1" grandCol="1" outline="0" fieldPosition="0"/>
    </format>
    <format dxfId="1210">
      <pivotArea field="1" type="button" dataOnly="0" labelOnly="1" outline="0" axis="axisRow" fieldPosition="3"/>
    </format>
    <format dxfId="1209">
      <pivotArea field="9" type="button" dataOnly="0" labelOnly="1" outline="0" axis="axisRow" fieldPosition="0"/>
    </format>
    <format dxfId="1208">
      <pivotArea field="7" type="button" dataOnly="0" labelOnly="1" outline="0" axis="axisRow" fieldPosition="2"/>
    </format>
    <format dxfId="1207">
      <pivotArea field="0" type="button" dataOnly="0" labelOnly="1" outline="0" axis="axisRow" fieldPosition="1"/>
    </format>
    <format dxfId="1206">
      <pivotArea field="21" type="button" dataOnly="0" labelOnly="1" outline="0" axis="axisRow" fieldPosition="4"/>
    </format>
    <format dxfId="1205">
      <pivotArea dataOnly="0" labelOnly="1" grandCol="1" outline="0" fieldPosition="0"/>
    </format>
    <format dxfId="1204">
      <pivotArea outline="0" fieldPosition="0">
        <references count="1">
          <reference field="4294967294" count="1">
            <x v="0"/>
          </reference>
        </references>
      </pivotArea>
    </format>
    <format dxfId="1203">
      <pivotArea dataOnly="0" outline="0" fieldPosition="0">
        <references count="1">
          <reference field="9" count="0" sumSubtotal="1"/>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071042-7CE9-46EA-965F-B94D4897B5FE}"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T1:AK55" firstHeaderRow="1" firstDataRow="3" firstDataCol="5"/>
  <pivotFields count="58">
    <pivotField axis="axisRow" compact="0" outline="0" showAll="0" sumSubtotal="1">
      <items count="5">
        <item x="1"/>
        <item x="0"/>
        <item h="1" x="2"/>
        <item h="1" x="3"/>
        <item t="sum"/>
      </items>
    </pivotField>
    <pivotField axis="axisRow" compact="0" outline="0" multipleItemSelectionAllowed="1" showAll="0" defaultSubtotal="0">
      <items count="2">
        <item h="1" x="1"/>
        <item x="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22">
        <item x="1"/>
        <item x="15"/>
        <item x="3"/>
        <item x="4"/>
        <item x="23"/>
        <item x="16"/>
        <item x="19"/>
        <item x="13"/>
        <item x="5"/>
        <item x="10"/>
        <item x="8"/>
        <item x="12"/>
        <item x="18"/>
        <item x="21"/>
        <item x="22"/>
        <item x="57"/>
        <item x="6"/>
        <item x="20"/>
        <item x="7"/>
        <item x="24"/>
        <item x="25"/>
        <item x="26"/>
        <item x="27"/>
        <item x="28"/>
        <item x="29"/>
        <item x="30"/>
        <item x="60"/>
        <item x="32"/>
        <item x="35"/>
        <item x="36"/>
        <item x="31"/>
        <item x="33"/>
        <item x="37"/>
        <item x="38"/>
        <item x="39"/>
        <item x="40"/>
        <item x="61"/>
        <item x="41"/>
        <item x="42"/>
        <item x="43"/>
        <item x="44"/>
        <item x="45"/>
        <item x="46"/>
        <item x="47"/>
        <item x="48"/>
        <item x="49"/>
        <item x="51"/>
        <item x="52"/>
        <item x="53"/>
        <item x="54"/>
        <item x="55"/>
        <item x="56"/>
        <item x="58"/>
        <item x="59"/>
        <item x="63"/>
        <item x="64"/>
        <item x="65"/>
        <item x="66"/>
        <item x="67"/>
        <item x="68"/>
        <item x="70"/>
        <item x="71"/>
        <item x="72"/>
        <item x="17"/>
        <item x="50"/>
        <item x="73"/>
        <item x="74"/>
        <item x="75"/>
        <item x="14"/>
        <item x="62"/>
        <item x="76"/>
        <item x="77"/>
        <item x="78"/>
        <item x="79"/>
        <item x="80"/>
        <item x="81"/>
        <item x="82"/>
        <item x="84"/>
        <item x="85"/>
        <item x="86"/>
        <item x="87"/>
        <item x="88"/>
        <item x="89"/>
        <item x="90"/>
        <item x="91"/>
        <item x="92"/>
        <item x="93"/>
        <item x="94"/>
        <item x="95"/>
        <item x="96"/>
        <item x="98"/>
        <item x="99"/>
        <item x="100"/>
        <item x="2"/>
        <item x="0"/>
        <item x="101"/>
        <item x="102"/>
        <item x="103"/>
        <item x="105"/>
        <item x="107"/>
        <item x="108"/>
        <item x="110"/>
        <item x="97"/>
        <item x="111"/>
        <item x="109"/>
        <item x="83"/>
        <item x="112"/>
        <item x="69"/>
        <item x="113"/>
        <item x="104"/>
        <item x="106"/>
        <item x="11"/>
        <item x="9"/>
        <item x="34"/>
        <item x="114"/>
        <item m="1" x="120"/>
        <item x="116"/>
        <item x="117"/>
        <item x="118"/>
        <item m="1" x="121"/>
        <item x="115"/>
        <item x="119"/>
      </items>
    </pivotField>
    <pivotField dataField="1" compact="0" outline="0" showAll="0" defaultSubtotal="0"/>
    <pivotField axis="axisRow" compact="0" outline="0" showAll="0" defaultSubtotal="0">
      <items count="11">
        <item x="0"/>
        <item x="3"/>
        <item x="4"/>
        <item x="1"/>
        <item h="1" x="2"/>
        <item h="1" x="5"/>
        <item h="1" x="7"/>
        <item h="1" x="9"/>
        <item h="1" x="6"/>
        <item h="1" x="8"/>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37">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x="32"/>
        <item x="10"/>
        <item x="31"/>
        <item x="1"/>
      </items>
    </pivotField>
    <pivotField compact="0" outline="0" subtotalTop="0" showAll="0" defaultSubtotal="0"/>
    <pivotField compact="0" outline="0" showAll="0" defaultSubtotal="0"/>
    <pivotField compact="0" outline="0" subtotalTop="0" showAll="0" defaultSubtotal="0"/>
    <pivotField name="SM" axis="axisCol" compact="0" outline="0" subtotalTop="0" showAll="0" defaultSubtotal="0">
      <items count="28">
        <item x="24"/>
        <item x="25"/>
        <item x="13"/>
        <item x="7"/>
        <item x="0"/>
        <item x="1"/>
        <item x="2"/>
        <item x="3"/>
        <item x="8"/>
        <item x="9"/>
        <item x="10"/>
        <item x="15"/>
        <item x="11"/>
        <item x="18"/>
        <item x="19"/>
        <item x="16"/>
        <item x="14"/>
        <item x="4"/>
        <item x="5"/>
        <item x="6"/>
        <item x="23"/>
        <item x="17"/>
        <item x="20"/>
        <item x="12"/>
        <item x="26"/>
        <item x="21"/>
        <item x="22"/>
        <item x="27"/>
      </items>
    </pivotField>
    <pivotField name="YEAR" axis="axisCol" compact="0" outline="0" subtotalTop="0" showAll="0" defaultSubtotal="0">
      <items count="6">
        <item x="0"/>
        <item h="1" x="2"/>
        <item h="1" x="1"/>
        <item h="1" x="3"/>
        <item h="1" x="4"/>
        <item h="1"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5">
    <field x="0"/>
    <field x="7"/>
    <field x="1"/>
    <field x="9"/>
    <field x="21"/>
  </rowFields>
  <rowItems count="52">
    <i>
      <x/>
      <x v="19"/>
      <x v="1"/>
      <x/>
      <x v="10"/>
    </i>
    <i r="1">
      <x v="20"/>
      <x v="1"/>
      <x/>
      <x v="11"/>
    </i>
    <i r="1">
      <x v="22"/>
      <x v="1"/>
      <x/>
      <x v="28"/>
    </i>
    <i r="1">
      <x v="24"/>
      <x v="1"/>
      <x/>
      <x v="13"/>
    </i>
    <i r="1">
      <x v="26"/>
      <x v="1"/>
      <x/>
      <x v="14"/>
    </i>
    <i r="1">
      <x v="27"/>
      <x v="1"/>
      <x v="1"/>
      <x v="8"/>
    </i>
    <i r="1">
      <x v="30"/>
      <x v="1"/>
      <x/>
      <x v="14"/>
    </i>
    <i r="1">
      <x v="31"/>
      <x v="1"/>
      <x v="1"/>
      <x v="8"/>
    </i>
    <i r="1">
      <x v="32"/>
      <x v="1"/>
      <x/>
      <x v="17"/>
    </i>
    <i r="1">
      <x v="33"/>
      <x v="1"/>
      <x v="1"/>
      <x v="27"/>
    </i>
    <i r="1">
      <x v="35"/>
      <x v="1"/>
      <x/>
      <x v="19"/>
    </i>
    <i r="1">
      <x v="36"/>
      <x v="1"/>
      <x/>
      <x v="19"/>
    </i>
    <i r="1">
      <x v="37"/>
      <x v="1"/>
      <x/>
      <x v="20"/>
    </i>
    <i r="1">
      <x v="39"/>
      <x v="1"/>
      <x/>
      <x v="21"/>
    </i>
    <i r="1">
      <x v="52"/>
      <x v="1"/>
      <x v="1"/>
      <x v="26"/>
    </i>
    <i r="1">
      <x v="53"/>
      <x v="1"/>
      <x/>
      <x v="13"/>
    </i>
    <i r="1">
      <x v="59"/>
      <x v="1"/>
      <x/>
      <x v="1"/>
    </i>
    <i r="1">
      <x v="60"/>
      <x v="1"/>
      <x/>
      <x v="29"/>
    </i>
    <i r="1">
      <x v="62"/>
      <x v="1"/>
      <x v="1"/>
      <x v="22"/>
    </i>
    <i r="1">
      <x v="64"/>
      <x v="1"/>
      <x/>
      <x v="4"/>
    </i>
    <i r="1">
      <x v="66"/>
      <x v="1"/>
      <x v="1"/>
      <x v="30"/>
    </i>
    <i r="1">
      <x v="87"/>
      <x v="1"/>
      <x v="1"/>
      <x v="13"/>
    </i>
    <i r="1">
      <x v="88"/>
      <x v="1"/>
      <x v="1"/>
      <x v="1"/>
    </i>
    <i r="1">
      <x v="89"/>
      <x v="1"/>
      <x v="1"/>
      <x v="22"/>
    </i>
    <i r="1">
      <x v="95"/>
      <x v="1"/>
      <x v="1"/>
      <x/>
    </i>
    <i r="1">
      <x v="113"/>
      <x v="1"/>
      <x v="2"/>
      <x v="24"/>
    </i>
    <i t="sum">
      <x/>
    </i>
    <i>
      <x v="1"/>
      <x/>
      <x v="1"/>
      <x/>
      <x v="7"/>
    </i>
    <i r="1">
      <x v="1"/>
      <x v="1"/>
      <x/>
      <x/>
    </i>
    <i r="1">
      <x v="2"/>
      <x v="1"/>
      <x/>
      <x v="7"/>
    </i>
    <i r="1">
      <x v="3"/>
      <x v="1"/>
      <x/>
      <x v="8"/>
    </i>
    <i r="1">
      <x v="4"/>
      <x v="1"/>
      <x/>
      <x v="6"/>
    </i>
    <i r="1">
      <x v="6"/>
      <x v="1"/>
      <x/>
      <x v="4"/>
    </i>
    <i r="1">
      <x v="7"/>
      <x v="1"/>
      <x/>
      <x/>
    </i>
    <i r="1">
      <x v="8"/>
      <x v="1"/>
      <x/>
      <x v="2"/>
    </i>
    <i r="1">
      <x v="9"/>
      <x v="1"/>
      <x/>
      <x v="3"/>
    </i>
    <i r="3">
      <x v="1"/>
      <x v="3"/>
    </i>
    <i r="1">
      <x v="10"/>
      <x v="1"/>
      <x/>
      <x/>
    </i>
    <i r="1">
      <x v="12"/>
      <x v="1"/>
      <x v="1"/>
      <x v="34"/>
    </i>
    <i r="1">
      <x v="14"/>
      <x v="1"/>
      <x/>
      <x/>
    </i>
    <i r="1">
      <x v="48"/>
      <x v="1"/>
      <x/>
      <x v="6"/>
    </i>
    <i r="1">
      <x v="67"/>
      <x v="1"/>
      <x/>
      <x/>
    </i>
    <i r="1">
      <x v="69"/>
      <x v="1"/>
      <x/>
      <x v="1"/>
    </i>
    <i r="1">
      <x v="71"/>
      <x v="1"/>
      <x/>
      <x/>
    </i>
    <i r="1">
      <x v="74"/>
      <x v="1"/>
      <x/>
      <x/>
    </i>
    <i r="1">
      <x v="77"/>
      <x v="1"/>
      <x/>
      <x/>
    </i>
    <i r="1">
      <x v="85"/>
      <x v="1"/>
      <x v="1"/>
      <x/>
    </i>
    <i r="1">
      <x v="94"/>
      <x v="1"/>
      <x/>
      <x v="7"/>
    </i>
    <i r="1">
      <x v="106"/>
      <x v="1"/>
      <x v="1"/>
      <x/>
    </i>
    <i r="1">
      <x v="112"/>
      <x v="1"/>
      <x v="1"/>
      <x/>
    </i>
    <i t="sum">
      <x v="1"/>
    </i>
    <i t="grand">
      <x/>
    </i>
  </rowItems>
  <colFields count="2">
    <field x="26"/>
    <field x="25"/>
  </colFields>
  <colItems count="13">
    <i>
      <x/>
      <x/>
    </i>
    <i r="1">
      <x v="1"/>
    </i>
    <i r="1">
      <x v="2"/>
    </i>
    <i r="1">
      <x v="3"/>
    </i>
    <i r="1">
      <x v="4"/>
    </i>
    <i r="1">
      <x v="5"/>
    </i>
    <i r="1">
      <x v="6"/>
    </i>
    <i r="1">
      <x v="7"/>
    </i>
    <i r="1">
      <x v="8"/>
    </i>
    <i r="1">
      <x v="9"/>
    </i>
    <i r="1">
      <x v="10"/>
    </i>
    <i r="1">
      <x v="11"/>
    </i>
    <i t="grand">
      <x/>
    </i>
  </colItems>
  <dataFields count="1">
    <dataField name="Sum of COUNT" fld="8" baseField="20" baseItem="13" numFmtId="176"/>
  </dataFields>
  <formats count="106">
    <format dxfId="1095">
      <pivotArea dataOnly="0" outline="0" fieldPosition="0">
        <references count="1">
          <reference field="9" count="0" sumSubtotal="1"/>
        </references>
      </pivotArea>
    </format>
    <format dxfId="1094">
      <pivotArea dataOnly="0" outline="0" fieldPosition="0">
        <references count="1">
          <reference field="9" count="0" sumSubtotal="1"/>
        </references>
      </pivotArea>
    </format>
    <format dxfId="1093">
      <pivotArea field="1" type="button" dataOnly="0" labelOnly="1" outline="0" axis="axisRow" fieldPosition="2"/>
    </format>
    <format dxfId="1092">
      <pivotArea field="9" type="button" dataOnly="0" labelOnly="1" outline="0" axis="axisRow" fieldPosition="3"/>
    </format>
    <format dxfId="1091">
      <pivotArea field="7" type="button" dataOnly="0" labelOnly="1" outline="0" axis="axisRow" fieldPosition="1"/>
    </format>
    <format dxfId="1090">
      <pivotArea field="0" type="button" dataOnly="0" labelOnly="1" outline="0" axis="axisRow" fieldPosition="0"/>
    </format>
    <format dxfId="1089">
      <pivotArea dataOnly="0" labelOnly="1" grandCol="1" outline="0" fieldPosition="0"/>
    </format>
    <format dxfId="1088">
      <pivotArea field="1" type="button" dataOnly="0" labelOnly="1" outline="0" axis="axisRow" fieldPosition="2"/>
    </format>
    <format dxfId="1087">
      <pivotArea field="9" type="button" dataOnly="0" labelOnly="1" outline="0" axis="axisRow" fieldPosition="3"/>
    </format>
    <format dxfId="1086">
      <pivotArea field="7" type="button" dataOnly="0" labelOnly="1" outline="0" axis="axisRow" fieldPosition="1"/>
    </format>
    <format dxfId="1085">
      <pivotArea field="0" type="button" dataOnly="0" labelOnly="1" outline="0" axis="axisRow" fieldPosition="0"/>
    </format>
    <format dxfId="1084">
      <pivotArea dataOnly="0" labelOnly="1" grandCol="1" outline="0" fieldPosition="0"/>
    </format>
    <format dxfId="1083">
      <pivotArea field="1" type="button" dataOnly="0" labelOnly="1" outline="0" axis="axisRow" fieldPosition="2"/>
    </format>
    <format dxfId="1082">
      <pivotArea field="9" type="button" dataOnly="0" labelOnly="1" outline="0" axis="axisRow" fieldPosition="3"/>
    </format>
    <format dxfId="1081">
      <pivotArea field="7" type="button" dataOnly="0" labelOnly="1" outline="0" axis="axisRow" fieldPosition="1"/>
    </format>
    <format dxfId="1080">
      <pivotArea field="0" type="button" dataOnly="0" labelOnly="1" outline="0" axis="axisRow" fieldPosition="0"/>
    </format>
    <format dxfId="1079">
      <pivotArea dataOnly="0" labelOnly="1" grandCol="1" outline="0" fieldPosition="0"/>
    </format>
    <format dxfId="1078">
      <pivotArea field="21" type="button" dataOnly="0" labelOnly="1" outline="0" axis="axisRow" fieldPosition="4"/>
    </format>
    <format dxfId="1077">
      <pivotArea field="21" type="button" dataOnly="0" labelOnly="1" outline="0" axis="axisRow" fieldPosition="4"/>
    </format>
    <format dxfId="1076">
      <pivotArea type="all" dataOnly="0" outline="0" fieldPosition="0"/>
    </format>
    <format dxfId="1075">
      <pivotArea type="all" dataOnly="0" outline="0" fieldPosition="0"/>
    </format>
    <format dxfId="1074">
      <pivotArea outline="0" collapsedLevelsAreSubtotals="1" fieldPosition="0"/>
    </format>
    <format dxfId="1073">
      <pivotArea type="origin" dataOnly="0" labelOnly="1" outline="0" fieldPosition="0"/>
    </format>
    <format dxfId="1072">
      <pivotArea type="topRight" dataOnly="0" labelOnly="1" outline="0" fieldPosition="0"/>
    </format>
    <format dxfId="1071">
      <pivotArea field="1" type="button" dataOnly="0" labelOnly="1" outline="0" axis="axisRow" fieldPosition="2"/>
    </format>
    <format dxfId="1070">
      <pivotArea field="0" type="button" dataOnly="0" labelOnly="1" outline="0" axis="axisRow" fieldPosition="0"/>
    </format>
    <format dxfId="1069">
      <pivotArea field="9" type="button" dataOnly="0" labelOnly="1" outline="0" axis="axisRow" fieldPosition="3"/>
    </format>
    <format dxfId="1068">
      <pivotArea field="7" type="button" dataOnly="0" labelOnly="1" outline="0" axis="axisRow" fieldPosition="1"/>
    </format>
    <format dxfId="1067">
      <pivotArea field="21" type="button" dataOnly="0" labelOnly="1" outline="0" axis="axisRow" fieldPosition="4"/>
    </format>
    <format dxfId="1066">
      <pivotArea dataOnly="0" labelOnly="1" outline="0" fieldPosition="0">
        <references count="1">
          <reference field="1" count="0"/>
        </references>
      </pivotArea>
    </format>
    <format dxfId="1065">
      <pivotArea dataOnly="0" labelOnly="1" grandRow="1" outline="0" fieldPosition="0"/>
    </format>
    <format dxfId="1064">
      <pivotArea dataOnly="0" labelOnly="1" outline="0" fieldPosition="0">
        <references count="2">
          <reference field="0" count="0"/>
          <reference field="1" count="0" selected="0"/>
        </references>
      </pivotArea>
    </format>
    <format dxfId="1063">
      <pivotArea dataOnly="0" labelOnly="1" outline="0" fieldPosition="0">
        <references count="2">
          <reference field="0" count="0" sumSubtotal="1"/>
          <reference field="1" count="0" selected="0"/>
        </references>
      </pivotArea>
    </format>
    <format dxfId="1062">
      <pivotArea dataOnly="0" labelOnly="1" outline="0" fieldPosition="0">
        <references count="3">
          <reference field="0" count="1" selected="0">
            <x v="1"/>
          </reference>
          <reference field="1" count="0" selected="0"/>
          <reference field="9" count="0"/>
        </references>
      </pivotArea>
    </format>
    <format dxfId="1061">
      <pivotArea dataOnly="0" labelOnly="1" grandCol="1" outline="0" fieldPosition="0"/>
    </format>
    <format dxfId="1060">
      <pivotArea dataOnly="0" outline="0" fieldPosition="0">
        <references count="1">
          <reference field="9" count="0" sumSubtotal="1"/>
        </references>
      </pivotArea>
    </format>
    <format dxfId="1059">
      <pivotArea grandCol="1" outline="0" collapsedLevelsAreSubtotals="1" fieldPosition="0"/>
    </format>
    <format dxfId="1058">
      <pivotArea field="1" type="button" dataOnly="0" labelOnly="1" outline="0" axis="axisRow" fieldPosition="2"/>
    </format>
    <format dxfId="1057">
      <pivotArea field="0" type="button" dataOnly="0" labelOnly="1" outline="0" axis="axisRow" fieldPosition="0"/>
    </format>
    <format dxfId="1056">
      <pivotArea field="9" type="button" dataOnly="0" labelOnly="1" outline="0" axis="axisRow" fieldPosition="3"/>
    </format>
    <format dxfId="1055">
      <pivotArea field="7" type="button" dataOnly="0" labelOnly="1" outline="0" axis="axisRow" fieldPosition="1"/>
    </format>
    <format dxfId="1054">
      <pivotArea field="21" type="button" dataOnly="0" labelOnly="1" outline="0" axis="axisRow" fieldPosition="4"/>
    </format>
    <format dxfId="1053">
      <pivotArea dataOnly="0" labelOnly="1" grandCol="1" outline="0" fieldPosition="0"/>
    </format>
    <format dxfId="1052">
      <pivotArea field="1" type="button" dataOnly="0" labelOnly="1" outline="0" axis="axisRow" fieldPosition="2"/>
    </format>
    <format dxfId="1051">
      <pivotArea field="0" type="button" dataOnly="0" labelOnly="1" outline="0" axis="axisRow" fieldPosition="0"/>
    </format>
    <format dxfId="1050">
      <pivotArea field="9" type="button" dataOnly="0" labelOnly="1" outline="0" axis="axisRow" fieldPosition="3"/>
    </format>
    <format dxfId="1049">
      <pivotArea field="7" type="button" dataOnly="0" labelOnly="1" outline="0" axis="axisRow" fieldPosition="1"/>
    </format>
    <format dxfId="1048">
      <pivotArea field="21" type="button" dataOnly="0" labelOnly="1" outline="0" axis="axisRow" fieldPosition="4"/>
    </format>
    <format dxfId="1047">
      <pivotArea dataOnly="0" labelOnly="1" grandCol="1" outline="0" fieldPosition="0"/>
    </format>
    <format dxfId="1046">
      <pivotArea field="1" type="button" dataOnly="0" labelOnly="1" outline="0" axis="axisRow" fieldPosition="2"/>
    </format>
    <format dxfId="1045">
      <pivotArea field="0" type="button" dataOnly="0" labelOnly="1" outline="0" axis="axisRow" fieldPosition="0"/>
    </format>
    <format dxfId="1044">
      <pivotArea field="9" type="button" dataOnly="0" labelOnly="1" outline="0" axis="axisRow" fieldPosition="3"/>
    </format>
    <format dxfId="1043">
      <pivotArea field="7" type="button" dataOnly="0" labelOnly="1" outline="0" axis="axisRow" fieldPosition="1"/>
    </format>
    <format dxfId="1042">
      <pivotArea field="21" type="button" dataOnly="0" labelOnly="1" outline="0" axis="axisRow" fieldPosition="4"/>
    </format>
    <format dxfId="1041">
      <pivotArea dataOnly="0" labelOnly="1" grandCol="1" outline="0" fieldPosition="0"/>
    </format>
    <format dxfId="1040">
      <pivotArea field="1" type="button" dataOnly="0" labelOnly="1" outline="0" axis="axisRow" fieldPosition="2"/>
    </format>
    <format dxfId="1039">
      <pivotArea field="0" type="button" dataOnly="0" labelOnly="1" outline="0" axis="axisRow" fieldPosition="0"/>
    </format>
    <format dxfId="1038">
      <pivotArea field="9" type="button" dataOnly="0" labelOnly="1" outline="0" axis="axisRow" fieldPosition="3"/>
    </format>
    <format dxfId="1037">
      <pivotArea field="7" type="button" dataOnly="0" labelOnly="1" outline="0" axis="axisRow" fieldPosition="1"/>
    </format>
    <format dxfId="1036">
      <pivotArea field="21" type="button" dataOnly="0" labelOnly="1" outline="0" axis="axisRow" fieldPosition="4"/>
    </format>
    <format dxfId="1035">
      <pivotArea dataOnly="0" labelOnly="1" grandCol="1" outline="0" fieldPosition="0"/>
    </format>
    <format dxfId="1034">
      <pivotArea field="1" type="button" dataOnly="0" labelOnly="1" outline="0" axis="axisRow" fieldPosition="2"/>
    </format>
    <format dxfId="1033">
      <pivotArea field="0" type="button" dataOnly="0" labelOnly="1" outline="0" axis="axisRow" fieldPosition="0"/>
    </format>
    <format dxfId="1032">
      <pivotArea field="9" type="button" dataOnly="0" labelOnly="1" outline="0" axis="axisRow" fieldPosition="3"/>
    </format>
    <format dxfId="1031">
      <pivotArea field="7" type="button" dataOnly="0" labelOnly="1" outline="0" axis="axisRow" fieldPosition="1"/>
    </format>
    <format dxfId="1030">
      <pivotArea field="21" type="button" dataOnly="0" labelOnly="1" outline="0" axis="axisRow" fieldPosition="4"/>
    </format>
    <format dxfId="1029">
      <pivotArea dataOnly="0" labelOnly="1" grandCol="1" outline="0" fieldPosition="0"/>
    </format>
    <format dxfId="1028">
      <pivotArea dataOnly="0" outline="0" fieldPosition="0">
        <references count="1">
          <reference field="9" count="1">
            <x v="0"/>
          </reference>
        </references>
      </pivotArea>
    </format>
    <format dxfId="1027">
      <pivotArea dataOnly="0" outline="0" fieldPosition="0">
        <references count="1">
          <reference field="9" count="1">
            <x v="1"/>
          </reference>
        </references>
      </pivotArea>
    </format>
    <format dxfId="1026">
      <pivotArea dataOnly="0" outline="0" fieldPosition="0">
        <references count="1">
          <reference field="9" count="1">
            <x v="3"/>
          </reference>
        </references>
      </pivotArea>
    </format>
    <format dxfId="1025">
      <pivotArea dataOnly="0" outline="0" fieldPosition="0">
        <references count="1">
          <reference field="9" count="1">
            <x v="2"/>
          </reference>
        </references>
      </pivotArea>
    </format>
    <format dxfId="1024">
      <pivotArea outline="0" fieldPosition="0">
        <references count="5">
          <reference field="0" count="1" selected="0">
            <x v="0"/>
          </reference>
          <reference field="1" count="0" selected="0"/>
          <reference field="7" count="4" selected="0">
            <x v="26"/>
            <x v="27"/>
            <x v="30"/>
            <x v="31"/>
          </reference>
          <reference field="9" count="2" selected="0">
            <x v="0"/>
            <x v="1"/>
          </reference>
          <reference field="21" count="2" selected="0">
            <x v="8"/>
            <x v="14"/>
          </reference>
        </references>
      </pivotArea>
    </format>
    <format dxfId="1023">
      <pivotArea dataOnly="0" labelOnly="1" outline="0" offset="IV7:IV11" fieldPosition="0">
        <references count="1">
          <reference field="0" count="1">
            <x v="0"/>
          </reference>
        </references>
      </pivotArea>
    </format>
    <format dxfId="1022">
      <pivotArea dataOnly="0" labelOnly="1" outline="0" fieldPosition="0">
        <references count="2">
          <reference field="0" count="1" selected="0">
            <x v="0"/>
          </reference>
          <reference field="7" count="4">
            <x v="26"/>
            <x v="27"/>
            <x v="30"/>
            <x v="31"/>
          </reference>
        </references>
      </pivotArea>
    </format>
    <format dxfId="1021">
      <pivotArea dataOnly="0" labelOnly="1" outline="0" offset="IV7:IV11" fieldPosition="0">
        <references count="3">
          <reference field="0" count="1" selected="0">
            <x v="0"/>
          </reference>
          <reference field="1" count="0"/>
          <reference field="7" count="1" selected="0">
            <x v="19"/>
          </reference>
        </references>
      </pivotArea>
    </format>
    <format dxfId="1020">
      <pivotArea dataOnly="0" labelOnly="1" outline="0" offset="IV256" fieldPosition="0">
        <references count="4">
          <reference field="0" count="1" selected="0">
            <x v="0"/>
          </reference>
          <reference field="1" count="0" selected="0"/>
          <reference field="7" count="1" selected="0">
            <x v="24"/>
          </reference>
          <reference field="9" count="1">
            <x v="0"/>
          </reference>
        </references>
      </pivotArea>
    </format>
    <format dxfId="1019">
      <pivotArea dataOnly="0" labelOnly="1" outline="0" fieldPosition="0">
        <references count="4">
          <reference field="0" count="1" selected="0">
            <x v="0"/>
          </reference>
          <reference field="1" count="0" selected="0"/>
          <reference field="7" count="1" selected="0">
            <x v="27"/>
          </reference>
          <reference field="9" count="1">
            <x v="1"/>
          </reference>
        </references>
      </pivotArea>
    </format>
    <format dxfId="1018">
      <pivotArea dataOnly="0" labelOnly="1" outline="0" fieldPosition="0">
        <references count="4">
          <reference field="0" count="1" selected="0">
            <x v="0"/>
          </reference>
          <reference field="1" count="0" selected="0"/>
          <reference field="7" count="1" selected="0">
            <x v="30"/>
          </reference>
          <reference field="9" count="2">
            <x v="0"/>
            <x v="1"/>
          </reference>
        </references>
      </pivotArea>
    </format>
    <format dxfId="1017">
      <pivotArea dataOnly="0" labelOnly="1" outline="0" fieldPosition="0">
        <references count="5">
          <reference field="0" count="1" selected="0">
            <x v="0"/>
          </reference>
          <reference field="1" count="0" selected="0"/>
          <reference field="7" count="1" selected="0">
            <x v="26"/>
          </reference>
          <reference field="9" count="1" selected="0">
            <x v="0"/>
          </reference>
          <reference field="21" count="1">
            <x v="14"/>
          </reference>
        </references>
      </pivotArea>
    </format>
    <format dxfId="1016">
      <pivotArea dataOnly="0" labelOnly="1" outline="0" fieldPosition="0">
        <references count="5">
          <reference field="0" count="1" selected="0">
            <x v="0"/>
          </reference>
          <reference field="1" count="0" selected="0"/>
          <reference field="7" count="1" selected="0">
            <x v="27"/>
          </reference>
          <reference field="9" count="1" selected="0">
            <x v="1"/>
          </reference>
          <reference field="21" count="1">
            <x v="8"/>
          </reference>
        </references>
      </pivotArea>
    </format>
    <format dxfId="1015">
      <pivotArea dataOnly="0" labelOnly="1" outline="0" fieldPosition="0">
        <references count="5">
          <reference field="0" count="1" selected="0">
            <x v="0"/>
          </reference>
          <reference field="1" count="0" selected="0"/>
          <reference field="7" count="1" selected="0">
            <x v="30"/>
          </reference>
          <reference field="9" count="1" selected="0">
            <x v="0"/>
          </reference>
          <reference field="21" count="1">
            <x v="14"/>
          </reference>
        </references>
      </pivotArea>
    </format>
    <format dxfId="1014">
      <pivotArea dataOnly="0" labelOnly="1" outline="0" fieldPosition="0">
        <references count="5">
          <reference field="0" count="1" selected="0">
            <x v="0"/>
          </reference>
          <reference field="1" count="0" selected="0"/>
          <reference field="7" count="1" selected="0">
            <x v="30"/>
          </reference>
          <reference field="9" count="1" selected="0">
            <x v="1"/>
          </reference>
          <reference field="21" count="1">
            <x v="14"/>
          </reference>
        </references>
      </pivotArea>
    </format>
    <format dxfId="1013">
      <pivotArea dataOnly="0" labelOnly="1" outline="0" fieldPosition="0">
        <references count="5">
          <reference field="0" count="1" selected="0">
            <x v="0"/>
          </reference>
          <reference field="1" count="0" selected="0"/>
          <reference field="7" count="1" selected="0">
            <x v="31"/>
          </reference>
          <reference field="9" count="1" selected="0">
            <x v="1"/>
          </reference>
          <reference field="21" count="1">
            <x v="8"/>
          </reference>
        </references>
      </pivotArea>
    </format>
    <format dxfId="1012">
      <pivotArea field="0" grandCol="1" outline="0" axis="axisRow" fieldPosition="0">
        <references count="1">
          <reference field="0" count="1" selected="0" sumSubtotal="1">
            <x v="0"/>
          </reference>
        </references>
      </pivotArea>
    </format>
    <format dxfId="1011">
      <pivotArea field="0" grandCol="1" outline="0" axis="axisRow" fieldPosition="0">
        <references count="1">
          <reference field="0" count="1" selected="0" sumSubtotal="1">
            <x v="0"/>
          </reference>
        </references>
      </pivotArea>
    </format>
    <format dxfId="1010">
      <pivotArea outline="0" fieldPosition="0">
        <references count="1">
          <reference field="0" count="1" selected="0" sumSubtotal="1">
            <x v="0"/>
          </reference>
        </references>
      </pivotArea>
    </format>
    <format dxfId="1009">
      <pivotArea outline="0" fieldPosition="0">
        <references count="1">
          <reference field="0" count="1" selected="0" sumSubtotal="1">
            <x v="0"/>
          </reference>
        </references>
      </pivotArea>
    </format>
    <format dxfId="1008">
      <pivotArea field="0" grandCol="1" outline="0" axis="axisRow" fieldPosition="0">
        <references count="1">
          <reference field="0" count="1" selected="0" sumSubtotal="1">
            <x v="1"/>
          </reference>
        </references>
      </pivotArea>
    </format>
    <format dxfId="1007">
      <pivotArea field="0" grandCol="1" outline="0" axis="axisRow" fieldPosition="0">
        <references count="1">
          <reference field="0" count="1" selected="0" sumSubtotal="1">
            <x v="1"/>
          </reference>
        </references>
      </pivotArea>
    </format>
    <format dxfId="1006">
      <pivotArea outline="0" fieldPosition="0">
        <references count="7">
          <reference field="0" count="1" selected="0">
            <x v="0"/>
          </reference>
          <reference field="1" count="1" selected="0">
            <x v="1"/>
          </reference>
          <reference field="7" count="22" selected="0">
            <x v="20"/>
            <x v="22"/>
            <x v="23"/>
            <x v="24"/>
            <x v="26"/>
            <x v="27"/>
            <x v="30"/>
            <x v="31"/>
            <x v="32"/>
            <x v="33"/>
            <x v="35"/>
            <x v="36"/>
            <x v="37"/>
            <x v="39"/>
            <x v="52"/>
            <x v="53"/>
            <x v="59"/>
            <x v="60"/>
            <x v="62"/>
            <x v="64"/>
            <x v="66"/>
            <x v="70"/>
          </reference>
          <reference field="9" count="4" selected="0">
            <x v="0"/>
            <x v="1"/>
            <x v="2"/>
            <x v="3"/>
          </reference>
          <reference field="21" count="18" selected="0">
            <x v="0"/>
            <x v="4"/>
            <x v="8"/>
            <x v="9"/>
            <x v="11"/>
            <x v="12"/>
            <x v="13"/>
            <x v="14"/>
            <x v="17"/>
            <x v="19"/>
            <x v="20"/>
            <x v="21"/>
            <x v="22"/>
            <x v="24"/>
            <x v="26"/>
            <x v="27"/>
            <x v="28"/>
            <x v="30"/>
          </reference>
          <reference field="25" count="6" selected="0">
            <x v="6"/>
            <x v="7"/>
            <x v="8"/>
            <x v="9"/>
            <x v="10"/>
            <x v="11"/>
          </reference>
          <reference field="26" count="0" selected="0"/>
        </references>
      </pivotArea>
    </format>
    <format dxfId="1005">
      <pivotArea outline="0" fieldPosition="0">
        <references count="7">
          <reference field="0" count="1" selected="0">
            <x v="0"/>
          </reference>
          <reference field="1" count="1" selected="0">
            <x v="1"/>
          </reference>
          <reference field="7" count="1" selected="0">
            <x v="60"/>
          </reference>
          <reference field="9" count="1" selected="0">
            <x v="1"/>
          </reference>
          <reference field="21" count="1" selected="0">
            <x v="9"/>
          </reference>
          <reference field="25" count="2" selected="0">
            <x v="7"/>
            <x v="8"/>
          </reference>
          <reference field="26" count="0" selected="0"/>
        </references>
      </pivotArea>
    </format>
    <format dxfId="1004">
      <pivotArea outline="0" fieldPosition="0">
        <references count="7">
          <reference field="0" count="1" selected="0">
            <x v="0"/>
          </reference>
          <reference field="1" count="1" selected="0">
            <x v="1"/>
          </reference>
          <reference field="7" count="24" selected="0">
            <x v="20"/>
            <x v="22"/>
            <x v="23"/>
            <x v="24"/>
            <x v="26"/>
            <x v="27"/>
            <x v="29"/>
            <x v="30"/>
            <x v="31"/>
            <x v="32"/>
            <x v="33"/>
            <x v="35"/>
            <x v="36"/>
            <x v="37"/>
            <x v="38"/>
            <x v="39"/>
            <x v="52"/>
            <x v="53"/>
            <x v="59"/>
            <x v="60"/>
            <x v="62"/>
            <x v="64"/>
            <x v="66"/>
            <x v="70"/>
          </reference>
          <reference field="9" count="0" selected="0"/>
          <reference field="21" count="19" selected="0">
            <x v="0"/>
            <x v="4"/>
            <x v="8"/>
            <x v="11"/>
            <x v="12"/>
            <x v="13"/>
            <x v="14"/>
            <x v="16"/>
            <x v="17"/>
            <x v="19"/>
            <x v="20"/>
            <x v="21"/>
            <x v="22"/>
            <x v="24"/>
            <x v="26"/>
            <x v="27"/>
            <x v="28"/>
            <x v="29"/>
            <x v="30"/>
          </reference>
          <reference field="25" count="6" selected="0">
            <x v="6"/>
            <x v="7"/>
            <x v="8"/>
            <x v="9"/>
            <x v="10"/>
            <x v="11"/>
          </reference>
          <reference field="26" count="0" selected="0"/>
        </references>
      </pivotArea>
    </format>
    <format dxfId="1003">
      <pivotArea outline="0" fieldPosition="0">
        <references count="7">
          <reference field="0" count="1" selected="0">
            <x v="1"/>
          </reference>
          <reference field="1" count="1" selected="0">
            <x v="1"/>
          </reference>
          <reference field="7" count="1" selected="0">
            <x v="0"/>
          </reference>
          <reference field="9" count="1" selected="0">
            <x v="1"/>
          </reference>
          <reference field="21" count="1" selected="0">
            <x v="7"/>
          </reference>
          <reference field="25" count="7" selected="0">
            <x v="5"/>
            <x v="6"/>
            <x v="7"/>
            <x v="8"/>
            <x v="9"/>
            <x v="10"/>
            <x v="11"/>
          </reference>
          <reference field="26" count="0" selected="0"/>
        </references>
      </pivotArea>
    </format>
    <format dxfId="1002">
      <pivotArea outline="0" fieldPosition="0">
        <references count="7">
          <reference field="0" count="1" selected="0">
            <x v="1"/>
          </reference>
          <reference field="1" count="1" selected="0">
            <x v="1"/>
          </reference>
          <reference field="7" count="19" selected="0">
            <x v="1"/>
            <x v="2"/>
            <x v="3"/>
            <x v="4"/>
            <x v="6"/>
            <x v="7"/>
            <x v="8"/>
            <x v="9"/>
            <x v="10"/>
            <x v="12"/>
            <x v="14"/>
            <x v="17"/>
            <x v="48"/>
            <x v="67"/>
            <x v="69"/>
            <x v="71"/>
            <x v="74"/>
            <x v="77"/>
            <x v="78"/>
          </reference>
          <reference field="9" count="3" selected="0">
            <x v="0"/>
            <x v="1"/>
            <x v="3"/>
          </reference>
          <reference field="21" count="9" selected="0">
            <x v="0"/>
            <x v="1"/>
            <x v="2"/>
            <x v="3"/>
            <x v="4"/>
            <x v="6"/>
            <x v="7"/>
            <x v="8"/>
            <x v="32"/>
          </reference>
          <reference field="25" count="7" selected="0">
            <x v="5"/>
            <x v="6"/>
            <x v="7"/>
            <x v="8"/>
            <x v="9"/>
            <x v="10"/>
            <x v="11"/>
          </reference>
          <reference field="26" count="0" selected="0"/>
        </references>
      </pivotArea>
    </format>
    <format dxfId="1001">
      <pivotArea dataOnly="0" outline="0" fieldPosition="0">
        <references count="1">
          <reference field="9" count="1">
            <x v="1"/>
          </reference>
        </references>
      </pivotArea>
    </format>
    <format dxfId="1000">
      <pivotArea dataOnly="0" outline="0" fieldPosition="0">
        <references count="1">
          <reference field="9" count="1">
            <x v="1"/>
          </reference>
        </references>
      </pivotArea>
    </format>
    <format dxfId="999">
      <pivotArea dataOnly="0" outline="0" fieldPosition="0">
        <references count="1">
          <reference field="9" count="1">
            <x v="2"/>
          </reference>
        </references>
      </pivotArea>
    </format>
    <format dxfId="998">
      <pivotArea dataOnly="0" outline="0" fieldPosition="0">
        <references count="1">
          <reference field="9" count="1">
            <x v="3"/>
          </reference>
        </references>
      </pivotArea>
    </format>
    <format dxfId="997">
      <pivotArea outline="0" fieldPosition="0">
        <references count="7">
          <reference field="0" count="1" selected="0">
            <x v="1"/>
          </reference>
          <reference field="1" count="0" selected="0"/>
          <reference field="7" count="1" selected="0">
            <x v="0"/>
          </reference>
          <reference field="9" count="1" selected="0">
            <x v="1"/>
          </reference>
          <reference field="21" count="1" selected="0">
            <x v="7"/>
          </reference>
          <reference field="25" count="2" selected="0">
            <x v="7"/>
            <x v="8"/>
          </reference>
          <reference field="26" count="0" selected="0"/>
        </references>
      </pivotArea>
    </format>
    <format dxfId="996">
      <pivotArea outline="0" fieldPosition="0">
        <references count="7">
          <reference field="0" count="1" selected="0">
            <x v="1"/>
          </reference>
          <reference field="1" count="0" selected="0"/>
          <reference field="7" count="8" selected="0">
            <x v="1"/>
            <x v="2"/>
            <x v="3"/>
            <x v="4"/>
            <x v="6"/>
            <x v="7"/>
            <x v="8"/>
            <x v="9"/>
          </reference>
          <reference field="9" count="2" selected="0">
            <x v="0"/>
            <x v="1"/>
          </reference>
          <reference field="21" count="7" selected="0">
            <x v="0"/>
            <x v="2"/>
            <x v="3"/>
            <x v="4"/>
            <x v="6"/>
            <x v="7"/>
            <x v="8"/>
          </reference>
          <reference field="25" count="2" selected="0">
            <x v="7"/>
            <x v="8"/>
          </reference>
          <reference field="26" count="0" selected="0"/>
        </references>
      </pivotArea>
    </format>
    <format dxfId="995">
      <pivotArea field="0" grandCol="1" outline="0" axis="axisRow" fieldPosition="0">
        <references count="1">
          <reference field="0" count="1" selected="0" sumSubtotal="1">
            <x v="0"/>
          </reference>
        </references>
      </pivotArea>
    </format>
    <format dxfId="994">
      <pivotArea field="0" grandCol="1" outline="0" axis="axisRow" fieldPosition="0">
        <references count="1">
          <reference field="0" count="1" selected="0" sumSubtotal="1">
            <x v="1"/>
          </reference>
        </references>
      </pivotArea>
    </format>
    <format dxfId="993">
      <pivotArea field="0" grandCol="1" outline="0" axis="axisRow" fieldPosition="0">
        <references count="1">
          <reference field="0" count="1" selected="0" sumSubtotal="1">
            <x v="1"/>
          </reference>
        </references>
      </pivotArea>
    </format>
    <format dxfId="992">
      <pivotArea field="0" grandCol="1" outline="0" axis="axisRow" fieldPosition="0">
        <references count="1">
          <reference field="0" count="1" selected="0" sumSubtotal="1">
            <x v="0"/>
          </reference>
        </references>
      </pivotArea>
    </format>
    <format dxfId="991">
      <pivotArea outline="0" fieldPosition="0">
        <references count="7">
          <reference field="0" count="1" selected="0">
            <x v="0"/>
          </reference>
          <reference field="1" count="0" selected="0"/>
          <reference field="7" count="23" selected="0">
            <x v="20"/>
            <x v="22"/>
            <x v="24"/>
            <x v="26"/>
            <x v="27"/>
            <x v="30"/>
            <x v="31"/>
            <x v="32"/>
            <x v="33"/>
            <x v="35"/>
            <x v="36"/>
            <x v="37"/>
            <x v="39"/>
            <x v="52"/>
            <x v="53"/>
            <x v="59"/>
            <x v="60"/>
            <x v="62"/>
            <x v="64"/>
            <x v="66"/>
            <x v="87"/>
            <x v="88"/>
            <x v="89"/>
          </reference>
          <reference field="9" count="3" selected="0">
            <x v="0"/>
            <x v="1"/>
            <x v="2"/>
          </reference>
          <reference field="21" count="17" selected="0">
            <x v="0"/>
            <x v="1"/>
            <x v="4"/>
            <x v="8"/>
            <x v="11"/>
            <x v="13"/>
            <x v="14"/>
            <x v="17"/>
            <x v="19"/>
            <x v="20"/>
            <x v="21"/>
            <x v="22"/>
            <x v="26"/>
            <x v="27"/>
            <x v="28"/>
            <x v="29"/>
            <x v="30"/>
          </reference>
          <reference field="25" count="6" selected="0">
            <x v="6"/>
            <x v="7"/>
            <x v="8"/>
            <x v="9"/>
            <x v="10"/>
            <x v="11"/>
          </reference>
          <reference field="26" count="0" selected="0"/>
        </references>
      </pivotArea>
    </format>
    <format dxfId="990">
      <pivotArea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3C9EF0-9BE7-42DC-BF78-F29978AF192F}" name="PivotTable3"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R55" firstHeaderRow="1" firstDataRow="3" firstDataCol="5"/>
  <pivotFields count="58">
    <pivotField axis="axisRow" compact="0" outline="0" showAll="0" sumSubtotal="1">
      <items count="5">
        <item x="1"/>
        <item x="0"/>
        <item h="1" x="2"/>
        <item h="1" x="3"/>
        <item t="sum"/>
      </items>
    </pivotField>
    <pivotField axis="axisRow" compact="0" outline="0" multipleItemSelectionAllowed="1" showAll="0" defaultSubtotal="0">
      <items count="2">
        <item h="1" x="1"/>
        <item x="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22">
        <item x="1"/>
        <item x="15"/>
        <item x="3"/>
        <item x="4"/>
        <item x="23"/>
        <item x="16"/>
        <item x="19"/>
        <item x="13"/>
        <item x="5"/>
        <item x="10"/>
        <item x="8"/>
        <item x="12"/>
        <item x="18"/>
        <item x="21"/>
        <item x="22"/>
        <item x="57"/>
        <item x="6"/>
        <item x="20"/>
        <item x="7"/>
        <item x="24"/>
        <item x="25"/>
        <item x="26"/>
        <item x="27"/>
        <item x="28"/>
        <item x="29"/>
        <item x="30"/>
        <item x="60"/>
        <item x="32"/>
        <item x="35"/>
        <item x="36"/>
        <item x="31"/>
        <item x="33"/>
        <item x="37"/>
        <item x="38"/>
        <item x="39"/>
        <item x="40"/>
        <item x="61"/>
        <item x="41"/>
        <item x="42"/>
        <item x="43"/>
        <item x="44"/>
        <item x="45"/>
        <item x="46"/>
        <item x="47"/>
        <item x="48"/>
        <item x="49"/>
        <item x="51"/>
        <item x="52"/>
        <item x="53"/>
        <item x="54"/>
        <item x="55"/>
        <item x="56"/>
        <item x="58"/>
        <item x="59"/>
        <item x="63"/>
        <item x="64"/>
        <item x="65"/>
        <item x="66"/>
        <item x="67"/>
        <item x="68"/>
        <item x="70"/>
        <item x="71"/>
        <item x="72"/>
        <item x="17"/>
        <item x="50"/>
        <item x="73"/>
        <item x="74"/>
        <item x="75"/>
        <item x="14"/>
        <item x="62"/>
        <item x="76"/>
        <item x="77"/>
        <item x="78"/>
        <item x="79"/>
        <item x="80"/>
        <item x="81"/>
        <item x="82"/>
        <item x="84"/>
        <item x="85"/>
        <item x="86"/>
        <item x="87"/>
        <item x="88"/>
        <item x="89"/>
        <item x="90"/>
        <item x="91"/>
        <item x="92"/>
        <item x="93"/>
        <item x="94"/>
        <item x="95"/>
        <item x="96"/>
        <item x="98"/>
        <item x="99"/>
        <item x="100"/>
        <item x="2"/>
        <item x="0"/>
        <item x="101"/>
        <item x="102"/>
        <item x="103"/>
        <item x="105"/>
        <item x="107"/>
        <item x="108"/>
        <item x="110"/>
        <item x="97"/>
        <item x="111"/>
        <item x="109"/>
        <item x="83"/>
        <item x="112"/>
        <item x="69"/>
        <item x="113"/>
        <item x="104"/>
        <item x="106"/>
        <item x="11"/>
        <item x="9"/>
        <item x="34"/>
        <item x="114"/>
        <item m="1" x="120"/>
        <item x="116"/>
        <item x="117"/>
        <item x="118"/>
        <item m="1" x="121"/>
        <item x="115"/>
        <item x="119"/>
      </items>
    </pivotField>
    <pivotField compact="0" outline="0" showAll="0" defaultSubtotal="0"/>
    <pivotField axis="axisRow" compact="0" outline="0" showAll="0" defaultSubtotal="0">
      <items count="11">
        <item x="0"/>
        <item x="3"/>
        <item x="4"/>
        <item x="1"/>
        <item h="1" x="2"/>
        <item h="1" x="5"/>
        <item h="1" x="7"/>
        <item h="1" x="9"/>
        <item h="1" x="6"/>
        <item h="1" x="8"/>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37">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x="32"/>
        <item x="10"/>
        <item x="31"/>
        <item x="1"/>
      </items>
    </pivotField>
    <pivotField compact="0" outline="0" subtotalTop="0" showAll="0" defaultSubtotal="0"/>
    <pivotField compact="0" outline="0" showAll="0" defaultSubtotal="0"/>
    <pivotField dataField="1" compact="0" outline="0" subtotalTop="0" showAll="0" defaultSubtotal="0"/>
    <pivotField name="SM" axis="axisCol" compact="0" outline="0" subtotalTop="0" showAll="0" defaultSubtotal="0">
      <items count="28">
        <item x="24"/>
        <item x="25"/>
        <item x="13"/>
        <item x="7"/>
        <item x="0"/>
        <item x="1"/>
        <item x="2"/>
        <item x="3"/>
        <item x="8"/>
        <item x="9"/>
        <item x="10"/>
        <item x="15"/>
        <item x="11"/>
        <item x="18"/>
        <item x="19"/>
        <item x="16"/>
        <item x="14"/>
        <item x="4"/>
        <item x="5"/>
        <item x="6"/>
        <item x="23"/>
        <item x="17"/>
        <item x="20"/>
        <item x="12"/>
        <item x="26"/>
        <item x="21"/>
        <item x="22"/>
        <item x="27"/>
      </items>
    </pivotField>
    <pivotField name="YEAR" axis="axisCol" compact="0" outline="0" subtotalTop="0" showAll="0" defaultSubtotal="0">
      <items count="6">
        <item x="0"/>
        <item h="1" x="2"/>
        <item h="1" x="1"/>
        <item h="1" x="3"/>
        <item h="1" x="4"/>
        <item h="1"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5">
    <field x="0"/>
    <field x="7"/>
    <field x="1"/>
    <field x="9"/>
    <field x="21"/>
  </rowFields>
  <rowItems count="52">
    <i>
      <x/>
      <x v="19"/>
      <x v="1"/>
      <x/>
      <x v="10"/>
    </i>
    <i r="1">
      <x v="20"/>
      <x v="1"/>
      <x/>
      <x v="11"/>
    </i>
    <i r="1">
      <x v="22"/>
      <x v="1"/>
      <x/>
      <x v="28"/>
    </i>
    <i r="1">
      <x v="24"/>
      <x v="1"/>
      <x/>
      <x v="13"/>
    </i>
    <i r="1">
      <x v="26"/>
      <x v="1"/>
      <x/>
      <x v="14"/>
    </i>
    <i r="1">
      <x v="27"/>
      <x v="1"/>
      <x v="1"/>
      <x v="8"/>
    </i>
    <i r="1">
      <x v="30"/>
      <x v="1"/>
      <x/>
      <x v="14"/>
    </i>
    <i r="1">
      <x v="31"/>
      <x v="1"/>
      <x v="1"/>
      <x v="8"/>
    </i>
    <i r="1">
      <x v="32"/>
      <x v="1"/>
      <x/>
      <x v="17"/>
    </i>
    <i r="1">
      <x v="33"/>
      <x v="1"/>
      <x v="1"/>
      <x v="27"/>
    </i>
    <i r="1">
      <x v="35"/>
      <x v="1"/>
      <x/>
      <x v="19"/>
    </i>
    <i r="1">
      <x v="36"/>
      <x v="1"/>
      <x/>
      <x v="19"/>
    </i>
    <i r="1">
      <x v="37"/>
      <x v="1"/>
      <x/>
      <x v="20"/>
    </i>
    <i r="1">
      <x v="39"/>
      <x v="1"/>
      <x/>
      <x v="21"/>
    </i>
    <i r="1">
      <x v="52"/>
      <x v="1"/>
      <x v="1"/>
      <x v="26"/>
    </i>
    <i r="1">
      <x v="53"/>
      <x v="1"/>
      <x/>
      <x v="13"/>
    </i>
    <i r="1">
      <x v="59"/>
      <x v="1"/>
      <x/>
      <x v="1"/>
    </i>
    <i r="1">
      <x v="60"/>
      <x v="1"/>
      <x/>
      <x v="29"/>
    </i>
    <i r="1">
      <x v="62"/>
      <x v="1"/>
      <x v="1"/>
      <x v="22"/>
    </i>
    <i r="1">
      <x v="64"/>
      <x v="1"/>
      <x/>
      <x v="4"/>
    </i>
    <i r="1">
      <x v="66"/>
      <x v="1"/>
      <x v="1"/>
      <x v="30"/>
    </i>
    <i r="1">
      <x v="87"/>
      <x v="1"/>
      <x v="1"/>
      <x v="13"/>
    </i>
    <i r="1">
      <x v="88"/>
      <x v="1"/>
      <x v="1"/>
      <x v="1"/>
    </i>
    <i r="1">
      <x v="89"/>
      <x v="1"/>
      <x v="1"/>
      <x v="22"/>
    </i>
    <i r="1">
      <x v="95"/>
      <x v="1"/>
      <x v="1"/>
      <x/>
    </i>
    <i r="1">
      <x v="113"/>
      <x v="1"/>
      <x v="2"/>
      <x v="24"/>
    </i>
    <i t="sum">
      <x/>
    </i>
    <i>
      <x v="1"/>
      <x/>
      <x v="1"/>
      <x/>
      <x v="7"/>
    </i>
    <i r="1">
      <x v="1"/>
      <x v="1"/>
      <x/>
      <x/>
    </i>
    <i r="1">
      <x v="2"/>
      <x v="1"/>
      <x/>
      <x v="7"/>
    </i>
    <i r="1">
      <x v="3"/>
      <x v="1"/>
      <x/>
      <x v="8"/>
    </i>
    <i r="1">
      <x v="4"/>
      <x v="1"/>
      <x/>
      <x v="6"/>
    </i>
    <i r="1">
      <x v="6"/>
      <x v="1"/>
      <x/>
      <x v="4"/>
    </i>
    <i r="1">
      <x v="7"/>
      <x v="1"/>
      <x/>
      <x/>
    </i>
    <i r="1">
      <x v="8"/>
      <x v="1"/>
      <x/>
      <x v="2"/>
    </i>
    <i r="1">
      <x v="9"/>
      <x v="1"/>
      <x/>
      <x v="3"/>
    </i>
    <i r="3">
      <x v="1"/>
      <x v="3"/>
    </i>
    <i r="1">
      <x v="10"/>
      <x v="1"/>
      <x/>
      <x/>
    </i>
    <i r="1">
      <x v="12"/>
      <x v="1"/>
      <x v="1"/>
      <x v="34"/>
    </i>
    <i r="1">
      <x v="14"/>
      <x v="1"/>
      <x/>
      <x/>
    </i>
    <i r="1">
      <x v="48"/>
      <x v="1"/>
      <x/>
      <x v="6"/>
    </i>
    <i r="1">
      <x v="67"/>
      <x v="1"/>
      <x/>
      <x/>
    </i>
    <i r="1">
      <x v="69"/>
      <x v="1"/>
      <x/>
      <x v="1"/>
    </i>
    <i r="1">
      <x v="71"/>
      <x v="1"/>
      <x/>
      <x/>
    </i>
    <i r="1">
      <x v="74"/>
      <x v="1"/>
      <x/>
      <x/>
    </i>
    <i r="1">
      <x v="77"/>
      <x v="1"/>
      <x/>
      <x/>
    </i>
    <i r="1">
      <x v="85"/>
      <x v="1"/>
      <x v="1"/>
      <x/>
    </i>
    <i r="1">
      <x v="94"/>
      <x v="1"/>
      <x/>
      <x v="7"/>
    </i>
    <i r="1">
      <x v="106"/>
      <x v="1"/>
      <x v="1"/>
      <x/>
    </i>
    <i r="1">
      <x v="112"/>
      <x v="1"/>
      <x v="1"/>
      <x/>
    </i>
    <i t="sum">
      <x v="1"/>
    </i>
    <i t="grand">
      <x/>
    </i>
  </rowItems>
  <colFields count="2">
    <field x="26"/>
    <field x="25"/>
  </colFields>
  <colItems count="13">
    <i>
      <x/>
      <x/>
    </i>
    <i r="1">
      <x v="1"/>
    </i>
    <i r="1">
      <x v="2"/>
    </i>
    <i r="1">
      <x v="3"/>
    </i>
    <i r="1">
      <x v="4"/>
    </i>
    <i r="1">
      <x v="5"/>
    </i>
    <i r="1">
      <x v="6"/>
    </i>
    <i r="1">
      <x v="7"/>
    </i>
    <i r="1">
      <x v="8"/>
    </i>
    <i r="1">
      <x v="9"/>
    </i>
    <i r="1">
      <x v="10"/>
    </i>
    <i r="1">
      <x v="11"/>
    </i>
    <i t="grand">
      <x/>
    </i>
  </colItems>
  <dataFields count="1">
    <dataField name="VALUE" fld="24" baseField="20" baseItem="10" numFmtId="166"/>
  </dataFields>
  <formats count="107">
    <format dxfId="1202">
      <pivotArea dataOnly="0" outline="0" fieldPosition="0">
        <references count="1">
          <reference field="9" count="0" sumSubtotal="1"/>
        </references>
      </pivotArea>
    </format>
    <format dxfId="1201">
      <pivotArea dataOnly="0" outline="0" fieldPosition="0">
        <references count="1">
          <reference field="9" count="0" sumSubtotal="1"/>
        </references>
      </pivotArea>
    </format>
    <format dxfId="1200">
      <pivotArea field="1" type="button" dataOnly="0" labelOnly="1" outline="0" axis="axisRow" fieldPosition="2"/>
    </format>
    <format dxfId="1199">
      <pivotArea field="9" type="button" dataOnly="0" labelOnly="1" outline="0" axis="axisRow" fieldPosition="3"/>
    </format>
    <format dxfId="1198">
      <pivotArea field="7" type="button" dataOnly="0" labelOnly="1" outline="0" axis="axisRow" fieldPosition="1"/>
    </format>
    <format dxfId="1197">
      <pivotArea field="0" type="button" dataOnly="0" labelOnly="1" outline="0" axis="axisRow" fieldPosition="0"/>
    </format>
    <format dxfId="1196">
      <pivotArea dataOnly="0" labelOnly="1" grandCol="1" outline="0" fieldPosition="0"/>
    </format>
    <format dxfId="1195">
      <pivotArea field="1" type="button" dataOnly="0" labelOnly="1" outline="0" axis="axisRow" fieldPosition="2"/>
    </format>
    <format dxfId="1194">
      <pivotArea field="9" type="button" dataOnly="0" labelOnly="1" outline="0" axis="axisRow" fieldPosition="3"/>
    </format>
    <format dxfId="1193">
      <pivotArea field="7" type="button" dataOnly="0" labelOnly="1" outline="0" axis="axisRow" fieldPosition="1"/>
    </format>
    <format dxfId="1192">
      <pivotArea field="0" type="button" dataOnly="0" labelOnly="1" outline="0" axis="axisRow" fieldPosition="0"/>
    </format>
    <format dxfId="1191">
      <pivotArea dataOnly="0" labelOnly="1" grandCol="1" outline="0" fieldPosition="0"/>
    </format>
    <format dxfId="1190">
      <pivotArea field="1" type="button" dataOnly="0" labelOnly="1" outline="0" axis="axisRow" fieldPosition="2"/>
    </format>
    <format dxfId="1189">
      <pivotArea field="9" type="button" dataOnly="0" labelOnly="1" outline="0" axis="axisRow" fieldPosition="3"/>
    </format>
    <format dxfId="1188">
      <pivotArea field="7" type="button" dataOnly="0" labelOnly="1" outline="0" axis="axisRow" fieldPosition="1"/>
    </format>
    <format dxfId="1187">
      <pivotArea field="0" type="button" dataOnly="0" labelOnly="1" outline="0" axis="axisRow" fieldPosition="0"/>
    </format>
    <format dxfId="1186">
      <pivotArea dataOnly="0" labelOnly="1" grandCol="1" outline="0" fieldPosition="0"/>
    </format>
    <format dxfId="1185">
      <pivotArea field="21" type="button" dataOnly="0" labelOnly="1" outline="0" axis="axisRow" fieldPosition="4"/>
    </format>
    <format dxfId="1184">
      <pivotArea field="21" type="button" dataOnly="0" labelOnly="1" outline="0" axis="axisRow" fieldPosition="4"/>
    </format>
    <format dxfId="1183">
      <pivotArea type="all" dataOnly="0" outline="0" fieldPosition="0"/>
    </format>
    <format dxfId="1182">
      <pivotArea type="all" dataOnly="0" outline="0" fieldPosition="0"/>
    </format>
    <format dxfId="1181">
      <pivotArea outline="0" collapsedLevelsAreSubtotals="1" fieldPosition="0"/>
    </format>
    <format dxfId="1180">
      <pivotArea type="origin" dataOnly="0" labelOnly="1" outline="0" fieldPosition="0"/>
    </format>
    <format dxfId="1179">
      <pivotArea type="topRight" dataOnly="0" labelOnly="1" outline="0" fieldPosition="0"/>
    </format>
    <format dxfId="1178">
      <pivotArea field="1" type="button" dataOnly="0" labelOnly="1" outline="0" axis="axisRow" fieldPosition="2"/>
    </format>
    <format dxfId="1177">
      <pivotArea field="0" type="button" dataOnly="0" labelOnly="1" outline="0" axis="axisRow" fieldPosition="0"/>
    </format>
    <format dxfId="1176">
      <pivotArea field="9" type="button" dataOnly="0" labelOnly="1" outline="0" axis="axisRow" fieldPosition="3"/>
    </format>
    <format dxfId="1175">
      <pivotArea field="7" type="button" dataOnly="0" labelOnly="1" outline="0" axis="axisRow" fieldPosition="1"/>
    </format>
    <format dxfId="1174">
      <pivotArea field="21" type="button" dataOnly="0" labelOnly="1" outline="0" axis="axisRow" fieldPosition="4"/>
    </format>
    <format dxfId="1173">
      <pivotArea dataOnly="0" labelOnly="1" outline="0" fieldPosition="0">
        <references count="1">
          <reference field="1" count="0"/>
        </references>
      </pivotArea>
    </format>
    <format dxfId="1172">
      <pivotArea dataOnly="0" labelOnly="1" grandRow="1" outline="0" fieldPosition="0"/>
    </format>
    <format dxfId="1171">
      <pivotArea dataOnly="0" labelOnly="1" outline="0" fieldPosition="0">
        <references count="2">
          <reference field="0" count="0"/>
          <reference field="1" count="0" selected="0"/>
        </references>
      </pivotArea>
    </format>
    <format dxfId="1170">
      <pivotArea dataOnly="0" labelOnly="1" outline="0" fieldPosition="0">
        <references count="2">
          <reference field="0" count="0" sumSubtotal="1"/>
          <reference field="1" count="0" selected="0"/>
        </references>
      </pivotArea>
    </format>
    <format dxfId="1169">
      <pivotArea dataOnly="0" labelOnly="1" outline="0" fieldPosition="0">
        <references count="3">
          <reference field="0" count="1" selected="0">
            <x v="1"/>
          </reference>
          <reference field="1" count="0" selected="0"/>
          <reference field="9" count="0"/>
        </references>
      </pivotArea>
    </format>
    <format dxfId="1168">
      <pivotArea dataOnly="0" labelOnly="1" grandCol="1" outline="0" fieldPosition="0"/>
    </format>
    <format dxfId="1167">
      <pivotArea dataOnly="0" outline="0" fieldPosition="0">
        <references count="1">
          <reference field="9" count="0" sumSubtotal="1"/>
        </references>
      </pivotArea>
    </format>
    <format dxfId="1166">
      <pivotArea grandCol="1" outline="0" collapsedLevelsAreSubtotals="1" fieldPosition="0"/>
    </format>
    <format dxfId="1165">
      <pivotArea field="1" type="button" dataOnly="0" labelOnly="1" outline="0" axis="axisRow" fieldPosition="2"/>
    </format>
    <format dxfId="1164">
      <pivotArea field="0" type="button" dataOnly="0" labelOnly="1" outline="0" axis="axisRow" fieldPosition="0"/>
    </format>
    <format dxfId="1163">
      <pivotArea field="9" type="button" dataOnly="0" labelOnly="1" outline="0" axis="axisRow" fieldPosition="3"/>
    </format>
    <format dxfId="1162">
      <pivotArea field="7" type="button" dataOnly="0" labelOnly="1" outline="0" axis="axisRow" fieldPosition="1"/>
    </format>
    <format dxfId="1161">
      <pivotArea field="21" type="button" dataOnly="0" labelOnly="1" outline="0" axis="axisRow" fieldPosition="4"/>
    </format>
    <format dxfId="1160">
      <pivotArea dataOnly="0" labelOnly="1" grandCol="1" outline="0" fieldPosition="0"/>
    </format>
    <format dxfId="1159">
      <pivotArea field="1" type="button" dataOnly="0" labelOnly="1" outline="0" axis="axisRow" fieldPosition="2"/>
    </format>
    <format dxfId="1158">
      <pivotArea field="0" type="button" dataOnly="0" labelOnly="1" outline="0" axis="axisRow" fieldPosition="0"/>
    </format>
    <format dxfId="1157">
      <pivotArea field="9" type="button" dataOnly="0" labelOnly="1" outline="0" axis="axisRow" fieldPosition="3"/>
    </format>
    <format dxfId="1156">
      <pivotArea field="7" type="button" dataOnly="0" labelOnly="1" outline="0" axis="axisRow" fieldPosition="1"/>
    </format>
    <format dxfId="1155">
      <pivotArea field="21" type="button" dataOnly="0" labelOnly="1" outline="0" axis="axisRow" fieldPosition="4"/>
    </format>
    <format dxfId="1154">
      <pivotArea dataOnly="0" labelOnly="1" grandCol="1" outline="0" fieldPosition="0"/>
    </format>
    <format dxfId="1153">
      <pivotArea field="1" type="button" dataOnly="0" labelOnly="1" outline="0" axis="axisRow" fieldPosition="2"/>
    </format>
    <format dxfId="1152">
      <pivotArea field="0" type="button" dataOnly="0" labelOnly="1" outline="0" axis="axisRow" fieldPosition="0"/>
    </format>
    <format dxfId="1151">
      <pivotArea field="9" type="button" dataOnly="0" labelOnly="1" outline="0" axis="axisRow" fieldPosition="3"/>
    </format>
    <format dxfId="1150">
      <pivotArea field="7" type="button" dataOnly="0" labelOnly="1" outline="0" axis="axisRow" fieldPosition="1"/>
    </format>
    <format dxfId="1149">
      <pivotArea field="21" type="button" dataOnly="0" labelOnly="1" outline="0" axis="axisRow" fieldPosition="4"/>
    </format>
    <format dxfId="1148">
      <pivotArea dataOnly="0" labelOnly="1" grandCol="1" outline="0" fieldPosition="0"/>
    </format>
    <format dxfId="1147">
      <pivotArea field="1" type="button" dataOnly="0" labelOnly="1" outline="0" axis="axisRow" fieldPosition="2"/>
    </format>
    <format dxfId="1146">
      <pivotArea field="0" type="button" dataOnly="0" labelOnly="1" outline="0" axis="axisRow" fieldPosition="0"/>
    </format>
    <format dxfId="1145">
      <pivotArea field="9" type="button" dataOnly="0" labelOnly="1" outline="0" axis="axisRow" fieldPosition="3"/>
    </format>
    <format dxfId="1144">
      <pivotArea field="7" type="button" dataOnly="0" labelOnly="1" outline="0" axis="axisRow" fieldPosition="1"/>
    </format>
    <format dxfId="1143">
      <pivotArea field="21" type="button" dataOnly="0" labelOnly="1" outline="0" axis="axisRow" fieldPosition="4"/>
    </format>
    <format dxfId="1142">
      <pivotArea dataOnly="0" labelOnly="1" grandCol="1" outline="0" fieldPosition="0"/>
    </format>
    <format dxfId="1141">
      <pivotArea field="1" type="button" dataOnly="0" labelOnly="1" outline="0" axis="axisRow" fieldPosition="2"/>
    </format>
    <format dxfId="1140">
      <pivotArea field="0" type="button" dataOnly="0" labelOnly="1" outline="0" axis="axisRow" fieldPosition="0"/>
    </format>
    <format dxfId="1139">
      <pivotArea field="9" type="button" dataOnly="0" labelOnly="1" outline="0" axis="axisRow" fieldPosition="3"/>
    </format>
    <format dxfId="1138">
      <pivotArea field="7" type="button" dataOnly="0" labelOnly="1" outline="0" axis="axisRow" fieldPosition="1"/>
    </format>
    <format dxfId="1137">
      <pivotArea field="21" type="button" dataOnly="0" labelOnly="1" outline="0" axis="axisRow" fieldPosition="4"/>
    </format>
    <format dxfId="1136">
      <pivotArea dataOnly="0" labelOnly="1" grandCol="1" outline="0" fieldPosition="0"/>
    </format>
    <format dxfId="1135">
      <pivotArea outline="0" fieldPosition="0">
        <references count="1">
          <reference field="4294967294" count="1">
            <x v="0"/>
          </reference>
        </references>
      </pivotArea>
    </format>
    <format dxfId="1134">
      <pivotArea dataOnly="0" outline="0" fieldPosition="0">
        <references count="1">
          <reference field="9" count="1">
            <x v="0"/>
          </reference>
        </references>
      </pivotArea>
    </format>
    <format dxfId="1133">
      <pivotArea dataOnly="0" outline="0" fieldPosition="0">
        <references count="1">
          <reference field="9" count="1">
            <x v="1"/>
          </reference>
        </references>
      </pivotArea>
    </format>
    <format dxfId="1132">
      <pivotArea dataOnly="0" outline="0" fieldPosition="0">
        <references count="1">
          <reference field="9" count="1">
            <x v="3"/>
          </reference>
        </references>
      </pivotArea>
    </format>
    <format dxfId="1131">
      <pivotArea dataOnly="0" outline="0" fieldPosition="0">
        <references count="1">
          <reference field="9" count="1">
            <x v="2"/>
          </reference>
        </references>
      </pivotArea>
    </format>
    <format dxfId="1130">
      <pivotArea outline="0" fieldPosition="0">
        <references count="5">
          <reference field="0" count="1" selected="0">
            <x v="0"/>
          </reference>
          <reference field="1" count="0" selected="0"/>
          <reference field="7" count="4" selected="0">
            <x v="26"/>
            <x v="27"/>
            <x v="30"/>
            <x v="31"/>
          </reference>
          <reference field="9" count="2" selected="0">
            <x v="0"/>
            <x v="1"/>
          </reference>
          <reference field="21" count="2" selected="0">
            <x v="8"/>
            <x v="14"/>
          </reference>
        </references>
      </pivotArea>
    </format>
    <format dxfId="1129">
      <pivotArea dataOnly="0" labelOnly="1" outline="0" offset="IV7:IV11" fieldPosition="0">
        <references count="1">
          <reference field="0" count="1">
            <x v="0"/>
          </reference>
        </references>
      </pivotArea>
    </format>
    <format dxfId="1128">
      <pivotArea dataOnly="0" labelOnly="1" outline="0" fieldPosition="0">
        <references count="2">
          <reference field="0" count="1" selected="0">
            <x v="0"/>
          </reference>
          <reference field="7" count="4">
            <x v="26"/>
            <x v="27"/>
            <x v="30"/>
            <x v="31"/>
          </reference>
        </references>
      </pivotArea>
    </format>
    <format dxfId="1127">
      <pivotArea dataOnly="0" labelOnly="1" outline="0" offset="IV7:IV11" fieldPosition="0">
        <references count="3">
          <reference field="0" count="1" selected="0">
            <x v="0"/>
          </reference>
          <reference field="1" count="0"/>
          <reference field="7" count="1" selected="0">
            <x v="19"/>
          </reference>
        </references>
      </pivotArea>
    </format>
    <format dxfId="1126">
      <pivotArea dataOnly="0" labelOnly="1" outline="0" offset="IV256" fieldPosition="0">
        <references count="4">
          <reference field="0" count="1" selected="0">
            <x v="0"/>
          </reference>
          <reference field="1" count="0" selected="0"/>
          <reference field="7" count="1" selected="0">
            <x v="24"/>
          </reference>
          <reference field="9" count="1">
            <x v="0"/>
          </reference>
        </references>
      </pivotArea>
    </format>
    <format dxfId="1125">
      <pivotArea dataOnly="0" labelOnly="1" outline="0" fieldPosition="0">
        <references count="4">
          <reference field="0" count="1" selected="0">
            <x v="0"/>
          </reference>
          <reference field="1" count="0" selected="0"/>
          <reference field="7" count="1" selected="0">
            <x v="27"/>
          </reference>
          <reference field="9" count="1">
            <x v="1"/>
          </reference>
        </references>
      </pivotArea>
    </format>
    <format dxfId="1124">
      <pivotArea dataOnly="0" labelOnly="1" outline="0" fieldPosition="0">
        <references count="4">
          <reference field="0" count="1" selected="0">
            <x v="0"/>
          </reference>
          <reference field="1" count="0" selected="0"/>
          <reference field="7" count="1" selected="0">
            <x v="30"/>
          </reference>
          <reference field="9" count="2">
            <x v="0"/>
            <x v="1"/>
          </reference>
        </references>
      </pivotArea>
    </format>
    <format dxfId="1123">
      <pivotArea dataOnly="0" labelOnly="1" outline="0" fieldPosition="0">
        <references count="5">
          <reference field="0" count="1" selected="0">
            <x v="0"/>
          </reference>
          <reference field="1" count="0" selected="0"/>
          <reference field="7" count="1" selected="0">
            <x v="26"/>
          </reference>
          <reference field="9" count="1" selected="0">
            <x v="0"/>
          </reference>
          <reference field="21" count="1">
            <x v="14"/>
          </reference>
        </references>
      </pivotArea>
    </format>
    <format dxfId="1122">
      <pivotArea dataOnly="0" labelOnly="1" outline="0" fieldPosition="0">
        <references count="5">
          <reference field="0" count="1" selected="0">
            <x v="0"/>
          </reference>
          <reference field="1" count="0" selected="0"/>
          <reference field="7" count="1" selected="0">
            <x v="27"/>
          </reference>
          <reference field="9" count="1" selected="0">
            <x v="1"/>
          </reference>
          <reference field="21" count="1">
            <x v="8"/>
          </reference>
        </references>
      </pivotArea>
    </format>
    <format dxfId="1121">
      <pivotArea dataOnly="0" labelOnly="1" outline="0" fieldPosition="0">
        <references count="5">
          <reference field="0" count="1" selected="0">
            <x v="0"/>
          </reference>
          <reference field="1" count="0" selected="0"/>
          <reference field="7" count="1" selected="0">
            <x v="30"/>
          </reference>
          <reference field="9" count="1" selected="0">
            <x v="0"/>
          </reference>
          <reference field="21" count="1">
            <x v="14"/>
          </reference>
        </references>
      </pivotArea>
    </format>
    <format dxfId="1120">
      <pivotArea dataOnly="0" labelOnly="1" outline="0" fieldPosition="0">
        <references count="5">
          <reference field="0" count="1" selected="0">
            <x v="0"/>
          </reference>
          <reference field="1" count="0" selected="0"/>
          <reference field="7" count="1" selected="0">
            <x v="30"/>
          </reference>
          <reference field="9" count="1" selected="0">
            <x v="1"/>
          </reference>
          <reference field="21" count="1">
            <x v="14"/>
          </reference>
        </references>
      </pivotArea>
    </format>
    <format dxfId="1119">
      <pivotArea dataOnly="0" labelOnly="1" outline="0" fieldPosition="0">
        <references count="5">
          <reference field="0" count="1" selected="0">
            <x v="0"/>
          </reference>
          <reference field="1" count="0" selected="0"/>
          <reference field="7" count="1" selected="0">
            <x v="31"/>
          </reference>
          <reference field="9" count="1" selected="0">
            <x v="1"/>
          </reference>
          <reference field="21" count="1">
            <x v="8"/>
          </reference>
        </references>
      </pivotArea>
    </format>
    <format dxfId="1118">
      <pivotArea field="0" grandCol="1" outline="0" axis="axisRow" fieldPosition="0">
        <references count="1">
          <reference field="0" count="1" selected="0" sumSubtotal="1">
            <x v="0"/>
          </reference>
        </references>
      </pivotArea>
    </format>
    <format dxfId="1117">
      <pivotArea field="0" grandCol="1" outline="0" axis="axisRow" fieldPosition="0">
        <references count="1">
          <reference field="0" count="1" selected="0" sumSubtotal="1">
            <x v="0"/>
          </reference>
        </references>
      </pivotArea>
    </format>
    <format dxfId="1116">
      <pivotArea outline="0" fieldPosition="0">
        <references count="1">
          <reference field="0" count="1" selected="0" sumSubtotal="1">
            <x v="0"/>
          </reference>
        </references>
      </pivotArea>
    </format>
    <format dxfId="1115">
      <pivotArea outline="0" fieldPosition="0">
        <references count="1">
          <reference field="0" count="1" selected="0" sumSubtotal="1">
            <x v="0"/>
          </reference>
        </references>
      </pivotArea>
    </format>
    <format dxfId="1114">
      <pivotArea field="0" grandCol="1" outline="0" axis="axisRow" fieldPosition="0">
        <references count="1">
          <reference field="0" count="1" selected="0" sumSubtotal="1">
            <x v="1"/>
          </reference>
        </references>
      </pivotArea>
    </format>
    <format dxfId="1113">
      <pivotArea field="0" grandCol="1" outline="0" axis="axisRow" fieldPosition="0">
        <references count="1">
          <reference field="0" count="1" selected="0" sumSubtotal="1">
            <x v="1"/>
          </reference>
        </references>
      </pivotArea>
    </format>
    <format dxfId="1112">
      <pivotArea outline="0" fieldPosition="0">
        <references count="7">
          <reference field="0" count="1" selected="0">
            <x v="0"/>
          </reference>
          <reference field="1" count="1" selected="0">
            <x v="1"/>
          </reference>
          <reference field="7" count="22" selected="0">
            <x v="20"/>
            <x v="22"/>
            <x v="23"/>
            <x v="24"/>
            <x v="26"/>
            <x v="27"/>
            <x v="30"/>
            <x v="31"/>
            <x v="32"/>
            <x v="33"/>
            <x v="35"/>
            <x v="36"/>
            <x v="37"/>
            <x v="39"/>
            <x v="52"/>
            <x v="53"/>
            <x v="59"/>
            <x v="60"/>
            <x v="62"/>
            <x v="64"/>
            <x v="66"/>
            <x v="70"/>
          </reference>
          <reference field="9" count="4" selected="0">
            <x v="0"/>
            <x v="1"/>
            <x v="2"/>
            <x v="3"/>
          </reference>
          <reference field="21" count="18" selected="0">
            <x v="0"/>
            <x v="4"/>
            <x v="8"/>
            <x v="9"/>
            <x v="11"/>
            <x v="12"/>
            <x v="13"/>
            <x v="14"/>
            <x v="17"/>
            <x v="19"/>
            <x v="20"/>
            <x v="21"/>
            <x v="22"/>
            <x v="24"/>
            <x v="26"/>
            <x v="27"/>
            <x v="28"/>
            <x v="30"/>
          </reference>
          <reference field="25" count="6" selected="0">
            <x v="6"/>
            <x v="7"/>
            <x v="8"/>
            <x v="9"/>
            <x v="10"/>
            <x v="11"/>
          </reference>
          <reference field="26" count="0" selected="0"/>
        </references>
      </pivotArea>
    </format>
    <format dxfId="1111">
      <pivotArea outline="0" fieldPosition="0">
        <references count="7">
          <reference field="0" count="1" selected="0">
            <x v="0"/>
          </reference>
          <reference field="1" count="1" selected="0">
            <x v="1"/>
          </reference>
          <reference field="7" count="1" selected="0">
            <x v="60"/>
          </reference>
          <reference field="9" count="1" selected="0">
            <x v="1"/>
          </reference>
          <reference field="21" count="1" selected="0">
            <x v="9"/>
          </reference>
          <reference field="25" count="2" selected="0">
            <x v="7"/>
            <x v="8"/>
          </reference>
          <reference field="26" count="0" selected="0"/>
        </references>
      </pivotArea>
    </format>
    <format dxfId="1110">
      <pivotArea outline="0" fieldPosition="0">
        <references count="7">
          <reference field="0" count="1" selected="0">
            <x v="0"/>
          </reference>
          <reference field="1" count="1" selected="0">
            <x v="1"/>
          </reference>
          <reference field="7" count="24" selected="0">
            <x v="20"/>
            <x v="22"/>
            <x v="23"/>
            <x v="24"/>
            <x v="26"/>
            <x v="27"/>
            <x v="29"/>
            <x v="30"/>
            <x v="31"/>
            <x v="32"/>
            <x v="33"/>
            <x v="35"/>
            <x v="36"/>
            <x v="37"/>
            <x v="38"/>
            <x v="39"/>
            <x v="52"/>
            <x v="53"/>
            <x v="59"/>
            <x v="60"/>
            <x v="62"/>
            <x v="64"/>
            <x v="66"/>
            <x v="70"/>
          </reference>
          <reference field="9" count="0" selected="0"/>
          <reference field="21" count="19" selected="0">
            <x v="0"/>
            <x v="4"/>
            <x v="8"/>
            <x v="11"/>
            <x v="12"/>
            <x v="13"/>
            <x v="14"/>
            <x v="16"/>
            <x v="17"/>
            <x v="19"/>
            <x v="20"/>
            <x v="21"/>
            <x v="22"/>
            <x v="24"/>
            <x v="26"/>
            <x v="27"/>
            <x v="28"/>
            <x v="29"/>
            <x v="30"/>
          </reference>
          <reference field="25" count="6" selected="0">
            <x v="6"/>
            <x v="7"/>
            <x v="8"/>
            <x v="9"/>
            <x v="10"/>
            <x v="11"/>
          </reference>
          <reference field="26" count="0" selected="0"/>
        </references>
      </pivotArea>
    </format>
    <format dxfId="1109">
      <pivotArea outline="0" fieldPosition="0">
        <references count="7">
          <reference field="0" count="1" selected="0">
            <x v="1"/>
          </reference>
          <reference field="1" count="1" selected="0">
            <x v="1"/>
          </reference>
          <reference field="7" count="1" selected="0">
            <x v="0"/>
          </reference>
          <reference field="9" count="1" selected="0">
            <x v="1"/>
          </reference>
          <reference field="21" count="1" selected="0">
            <x v="7"/>
          </reference>
          <reference field="25" count="7" selected="0">
            <x v="5"/>
            <x v="6"/>
            <x v="7"/>
            <x v="8"/>
            <x v="9"/>
            <x v="10"/>
            <x v="11"/>
          </reference>
          <reference field="26" count="0" selected="0"/>
        </references>
      </pivotArea>
    </format>
    <format dxfId="1108">
      <pivotArea outline="0" fieldPosition="0">
        <references count="7">
          <reference field="0" count="1" selected="0">
            <x v="1"/>
          </reference>
          <reference field="1" count="1" selected="0">
            <x v="1"/>
          </reference>
          <reference field="7" count="19" selected="0">
            <x v="1"/>
            <x v="2"/>
            <x v="3"/>
            <x v="4"/>
            <x v="6"/>
            <x v="7"/>
            <x v="8"/>
            <x v="9"/>
            <x v="10"/>
            <x v="12"/>
            <x v="14"/>
            <x v="17"/>
            <x v="48"/>
            <x v="67"/>
            <x v="69"/>
            <x v="71"/>
            <x v="74"/>
            <x v="77"/>
            <x v="78"/>
          </reference>
          <reference field="9" count="3" selected="0">
            <x v="0"/>
            <x v="1"/>
            <x v="3"/>
          </reference>
          <reference field="21" count="9" selected="0">
            <x v="0"/>
            <x v="1"/>
            <x v="2"/>
            <x v="3"/>
            <x v="4"/>
            <x v="6"/>
            <x v="7"/>
            <x v="8"/>
            <x v="32"/>
          </reference>
          <reference field="25" count="7" selected="0">
            <x v="5"/>
            <x v="6"/>
            <x v="7"/>
            <x v="8"/>
            <x v="9"/>
            <x v="10"/>
            <x v="11"/>
          </reference>
          <reference field="26" count="0" selected="0"/>
        </references>
      </pivotArea>
    </format>
    <format dxfId="1107">
      <pivotArea dataOnly="0" outline="0" fieldPosition="0">
        <references count="1">
          <reference field="9" count="1">
            <x v="1"/>
          </reference>
        </references>
      </pivotArea>
    </format>
    <format dxfId="1106">
      <pivotArea dataOnly="0" outline="0" fieldPosition="0">
        <references count="1">
          <reference field="9" count="1">
            <x v="1"/>
          </reference>
        </references>
      </pivotArea>
    </format>
    <format dxfId="1105">
      <pivotArea dataOnly="0" outline="0" fieldPosition="0">
        <references count="1">
          <reference field="9" count="1">
            <x v="2"/>
          </reference>
        </references>
      </pivotArea>
    </format>
    <format dxfId="1104">
      <pivotArea dataOnly="0" outline="0" fieldPosition="0">
        <references count="1">
          <reference field="9" count="1">
            <x v="3"/>
          </reference>
        </references>
      </pivotArea>
    </format>
    <format dxfId="1103">
      <pivotArea outline="0" fieldPosition="0">
        <references count="7">
          <reference field="0" count="1" selected="0">
            <x v="1"/>
          </reference>
          <reference field="1" count="0" selected="0"/>
          <reference field="7" count="1" selected="0">
            <x v="0"/>
          </reference>
          <reference field="9" count="1" selected="0">
            <x v="1"/>
          </reference>
          <reference field="21" count="1" selected="0">
            <x v="7"/>
          </reference>
          <reference field="25" count="2" selected="0">
            <x v="7"/>
            <x v="8"/>
          </reference>
          <reference field="26" count="0" selected="0"/>
        </references>
      </pivotArea>
    </format>
    <format dxfId="1102">
      <pivotArea outline="0" fieldPosition="0">
        <references count="7">
          <reference field="0" count="1" selected="0">
            <x v="1"/>
          </reference>
          <reference field="1" count="0" selected="0"/>
          <reference field="7" count="8" selected="0">
            <x v="1"/>
            <x v="2"/>
            <x v="3"/>
            <x v="4"/>
            <x v="6"/>
            <x v="7"/>
            <x v="8"/>
            <x v="9"/>
          </reference>
          <reference field="9" count="2" selected="0">
            <x v="0"/>
            <x v="1"/>
          </reference>
          <reference field="21" count="7" selected="0">
            <x v="0"/>
            <x v="2"/>
            <x v="3"/>
            <x v="4"/>
            <x v="6"/>
            <x v="7"/>
            <x v="8"/>
          </reference>
          <reference field="25" count="2" selected="0">
            <x v="7"/>
            <x v="8"/>
          </reference>
          <reference field="26" count="0" selected="0"/>
        </references>
      </pivotArea>
    </format>
    <format dxfId="1101">
      <pivotArea field="0" grandCol="1" outline="0" axis="axisRow" fieldPosition="0">
        <references count="1">
          <reference field="0" count="1" selected="0" sumSubtotal="1">
            <x v="0"/>
          </reference>
        </references>
      </pivotArea>
    </format>
    <format dxfId="1100">
      <pivotArea field="0" grandCol="1" outline="0" axis="axisRow" fieldPosition="0">
        <references count="1">
          <reference field="0" count="1" selected="0" sumSubtotal="1">
            <x v="1"/>
          </reference>
        </references>
      </pivotArea>
    </format>
    <format dxfId="1099">
      <pivotArea field="0" grandCol="1" outline="0" axis="axisRow" fieldPosition="0">
        <references count="1">
          <reference field="0" count="1" selected="0" sumSubtotal="1">
            <x v="1"/>
          </reference>
        </references>
      </pivotArea>
    </format>
    <format dxfId="1098">
      <pivotArea field="0" grandCol="1" outline="0" axis="axisRow" fieldPosition="0">
        <references count="1">
          <reference field="0" count="1" selected="0" sumSubtotal="1">
            <x v="0"/>
          </reference>
        </references>
      </pivotArea>
    </format>
    <format dxfId="1097">
      <pivotArea outline="0" fieldPosition="0">
        <references count="7">
          <reference field="0" count="1" selected="0">
            <x v="0"/>
          </reference>
          <reference field="1" count="0" selected="0"/>
          <reference field="7" count="23" selected="0">
            <x v="20"/>
            <x v="22"/>
            <x v="24"/>
            <x v="26"/>
            <x v="27"/>
            <x v="30"/>
            <x v="31"/>
            <x v="32"/>
            <x v="33"/>
            <x v="35"/>
            <x v="36"/>
            <x v="37"/>
            <x v="39"/>
            <x v="52"/>
            <x v="53"/>
            <x v="59"/>
            <x v="60"/>
            <x v="62"/>
            <x v="64"/>
            <x v="66"/>
            <x v="87"/>
            <x v="88"/>
            <x v="89"/>
          </reference>
          <reference field="9" count="3" selected="0">
            <x v="0"/>
            <x v="1"/>
            <x v="2"/>
          </reference>
          <reference field="21" count="17" selected="0">
            <x v="0"/>
            <x v="1"/>
            <x v="4"/>
            <x v="8"/>
            <x v="11"/>
            <x v="13"/>
            <x v="14"/>
            <x v="17"/>
            <x v="19"/>
            <x v="20"/>
            <x v="21"/>
            <x v="22"/>
            <x v="26"/>
            <x v="27"/>
            <x v="28"/>
            <x v="29"/>
            <x v="30"/>
          </reference>
          <reference field="25" count="6" selected="0">
            <x v="6"/>
            <x v="7"/>
            <x v="8"/>
            <x v="9"/>
            <x v="10"/>
            <x v="11"/>
          </reference>
          <reference field="26" count="0" selected="0"/>
        </references>
      </pivotArea>
    </format>
    <format dxfId="1096">
      <pivotArea outline="0" fieldPosition="0">
        <references count="7">
          <reference field="0" count="1" selected="0">
            <x v="0"/>
          </reference>
          <reference field="1" count="0" selected="0"/>
          <reference field="7" count="14" selected="0">
            <x v="20"/>
            <x v="22"/>
            <x v="24"/>
            <x v="26"/>
            <x v="27"/>
            <x v="30"/>
            <x v="31"/>
            <x v="32"/>
            <x v="33"/>
            <x v="35"/>
            <x v="36"/>
            <x v="37"/>
            <x v="39"/>
            <x v="52"/>
          </reference>
          <reference field="9" count="2" selected="0">
            <x v="0"/>
            <x v="1"/>
          </reference>
          <reference field="21" count="11" selected="0">
            <x v="8"/>
            <x v="11"/>
            <x v="13"/>
            <x v="14"/>
            <x v="17"/>
            <x v="19"/>
            <x v="20"/>
            <x v="21"/>
            <x v="26"/>
            <x v="27"/>
            <x v="28"/>
          </reference>
          <reference field="25" count="1" selected="0">
            <x v="8"/>
          </reference>
          <reference field="26" count="0" selected="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86EEE9-69A2-4DFC-A830-F83BBE7F911D}" name="PivotTable3"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Q38" firstHeaderRow="1" firstDataRow="3" firstDataCol="5"/>
  <pivotFields count="58">
    <pivotField axis="axisRow" compact="0" outline="0" showAll="0" sumSubtotal="1">
      <items count="6">
        <item x="1"/>
        <item x="0"/>
        <item h="1" x="4"/>
        <item h="1" x="2"/>
        <item h="1" x="3"/>
        <item t="sum"/>
      </items>
    </pivotField>
    <pivotField axis="axisRow" compact="0" outline="0" multipleItemSelectionAllowed="1" showAll="0" defaultSubtotal="0">
      <items count="4">
        <item h="1" x="1"/>
        <item x="0"/>
        <item h="1" x="2"/>
        <item h="1"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33">
        <item x="1"/>
        <item x="15"/>
        <item x="3"/>
        <item x="4"/>
        <item x="23"/>
        <item x="16"/>
        <item x="19"/>
        <item x="13"/>
        <item x="5"/>
        <item x="10"/>
        <item x="8"/>
        <item x="12"/>
        <item x="18"/>
        <item x="21"/>
        <item x="22"/>
        <item x="57"/>
        <item x="6"/>
        <item x="20"/>
        <item x="7"/>
        <item x="24"/>
        <item x="25"/>
        <item x="26"/>
        <item x="27"/>
        <item x="28"/>
        <item x="29"/>
        <item x="30"/>
        <item x="60"/>
        <item x="32"/>
        <item x="35"/>
        <item x="36"/>
        <item x="31"/>
        <item x="33"/>
        <item x="37"/>
        <item x="38"/>
        <item x="39"/>
        <item x="40"/>
        <item x="61"/>
        <item x="41"/>
        <item x="42"/>
        <item x="43"/>
        <item x="44"/>
        <item x="45"/>
        <item x="46"/>
        <item x="47"/>
        <item x="48"/>
        <item x="49"/>
        <item x="51"/>
        <item x="52"/>
        <item x="53"/>
        <item x="54"/>
        <item x="55"/>
        <item x="56"/>
        <item x="58"/>
        <item x="59"/>
        <item x="63"/>
        <item x="64"/>
        <item x="65"/>
        <item x="66"/>
        <item x="67"/>
        <item x="68"/>
        <item m="1" x="125"/>
        <item x="70"/>
        <item x="71"/>
        <item x="72"/>
        <item x="17"/>
        <item x="50"/>
        <item x="73"/>
        <item x="74"/>
        <item x="75"/>
        <item x="14"/>
        <item x="62"/>
        <item x="76"/>
        <item x="77"/>
        <item x="78"/>
        <item x="79"/>
        <item x="80"/>
        <item x="81"/>
        <item x="82"/>
        <item m="1" x="126"/>
        <item x="84"/>
        <item x="85"/>
        <item x="86"/>
        <item x="87"/>
        <item x="88"/>
        <item x="89"/>
        <item x="90"/>
        <item x="91"/>
        <item x="92"/>
        <item x="93"/>
        <item x="94"/>
        <item x="95"/>
        <item x="96"/>
        <item x="98"/>
        <item x="99"/>
        <item x="100"/>
        <item x="2"/>
        <item x="0"/>
        <item x="101"/>
        <item x="102"/>
        <item x="103"/>
        <item x="105"/>
        <item x="107"/>
        <item x="108"/>
        <item m="1" x="128"/>
        <item m="1" x="127"/>
        <item m="1" x="123"/>
        <item m="1" x="130"/>
        <item m="1" x="131"/>
        <item m="1" x="132"/>
        <item x="110"/>
        <item m="1" x="124"/>
        <item m="1" x="129"/>
        <item x="97"/>
        <item x="111"/>
        <item x="109"/>
        <item x="83"/>
        <item x="112"/>
        <item x="69"/>
        <item x="113"/>
        <item x="104"/>
        <item x="106"/>
        <item x="11"/>
        <item x="9"/>
        <item x="34"/>
        <item x="114"/>
        <item m="1" x="121"/>
        <item x="116"/>
        <item x="117"/>
        <item x="118"/>
        <item m="1" x="122"/>
        <item x="120"/>
        <item x="115"/>
        <item x="119"/>
      </items>
    </pivotField>
    <pivotField compact="0" outline="0" showAll="0" defaultSubtotal="0"/>
    <pivotField axis="axisRow" compact="0" outline="0" showAll="0" defaultSubtotal="0">
      <items count="12">
        <item x="0"/>
        <item x="3"/>
        <item x="4"/>
        <item x="1"/>
        <item h="1" x="2"/>
        <item h="1" x="5"/>
        <item h="1" x="7"/>
        <item h="1" x="9"/>
        <item h="1" x="6"/>
        <item h="1" x="8"/>
        <item h="1" x="11"/>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39">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x="32"/>
        <item x="10"/>
        <item x="31"/>
        <item x="1"/>
        <item m="1" x="38"/>
        <item m="1" x="37"/>
      </items>
    </pivotField>
    <pivotField compact="0" outline="0" subtotalTop="0" showAll="0" defaultSubtotal="0"/>
    <pivotField compact="0" outline="0" showAll="0" defaultSubtotal="0"/>
    <pivotField dataField="1" compact="0" outline="0" subtotalTop="0" showAll="0" defaultSubtotal="0"/>
    <pivotField name="SM" axis="axisCol" compact="0" outline="0" subtotalTop="0" showAll="0" defaultSubtotal="0">
      <items count="29">
        <item x="24"/>
        <item x="25"/>
        <item x="13"/>
        <item x="7"/>
        <item x="0"/>
        <item x="1"/>
        <item x="2"/>
        <item x="3"/>
        <item x="8"/>
        <item x="9"/>
        <item x="10"/>
        <item x="15"/>
        <item x="11"/>
        <item x="18"/>
        <item x="19"/>
        <item x="16"/>
        <item x="14"/>
        <item x="4"/>
        <item x="5"/>
        <item x="6"/>
        <item x="23"/>
        <item x="17"/>
        <item x="20"/>
        <item x="12"/>
        <item x="26"/>
        <item x="21"/>
        <item x="22"/>
        <item m="1" x="28"/>
        <item x="27"/>
      </items>
    </pivotField>
    <pivotField name="YEAR" axis="axisCol" compact="0" outline="0" subtotalTop="0" showAll="0" defaultSubtotal="0">
      <items count="7">
        <item h="1" x="0"/>
        <item h="1" x="2"/>
        <item x="1"/>
        <item h="1" x="3"/>
        <item h="1" x="4"/>
        <item h="1" m="1" x="6"/>
        <item h="1"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5">
    <field x="0"/>
    <field x="7"/>
    <field x="1"/>
    <field x="9"/>
    <field x="21"/>
  </rowFields>
  <rowItems count="35">
    <i>
      <x/>
      <x v="21"/>
      <x v="1"/>
      <x v="3"/>
      <x v="25"/>
    </i>
    <i r="1">
      <x v="34"/>
      <x v="1"/>
      <x v="3"/>
      <x v="18"/>
    </i>
    <i r="1">
      <x v="40"/>
      <x v="1"/>
      <x v="3"/>
      <x v="2"/>
    </i>
    <i r="1">
      <x v="41"/>
      <x v="1"/>
      <x v="3"/>
      <x v="4"/>
    </i>
    <i r="1">
      <x v="42"/>
      <x v="1"/>
      <x v="3"/>
      <x v="22"/>
    </i>
    <i r="1">
      <x v="43"/>
      <x v="1"/>
      <x v="3"/>
      <x v="21"/>
    </i>
    <i r="1">
      <x v="44"/>
      <x v="1"/>
      <x v="3"/>
      <x v="2"/>
    </i>
    <i r="1">
      <x v="45"/>
      <x v="1"/>
      <x v="3"/>
      <x v="33"/>
    </i>
    <i r="1">
      <x v="50"/>
      <x v="1"/>
      <x v="3"/>
      <x v="14"/>
    </i>
    <i r="1">
      <x v="88"/>
      <x v="1"/>
      <x v="3"/>
      <x v="21"/>
    </i>
    <i r="1">
      <x v="94"/>
      <x v="1"/>
      <x v="1"/>
      <x v="15"/>
    </i>
    <i r="1">
      <x v="100"/>
      <x v="1"/>
      <x v="3"/>
      <x v="9"/>
    </i>
    <i r="1">
      <x v="102"/>
      <x v="1"/>
      <x v="2"/>
      <x/>
    </i>
    <i r="1">
      <x v="113"/>
      <x v="1"/>
      <x v="2"/>
      <x v="36"/>
    </i>
    <i r="1">
      <x v="118"/>
      <x v="1"/>
      <x v="3"/>
      <x v="1"/>
    </i>
    <i r="1">
      <x v="126"/>
      <x v="1"/>
      <x v="2"/>
      <x v="1"/>
    </i>
    <i t="sum">
      <x/>
    </i>
    <i>
      <x v="1"/>
      <x v="5"/>
      <x v="1"/>
      <x v="3"/>
      <x v="30"/>
    </i>
    <i r="1">
      <x v="13"/>
      <x v="1"/>
      <x v="3"/>
      <x v="5"/>
    </i>
    <i r="1">
      <x v="17"/>
      <x v="1"/>
      <x v="1"/>
      <x v="32"/>
    </i>
    <i r="1">
      <x v="18"/>
      <x v="1"/>
      <x v="3"/>
      <x v="4"/>
    </i>
    <i r="1">
      <x v="47"/>
      <x v="1"/>
      <x v="3"/>
      <x v="9"/>
    </i>
    <i r="1">
      <x v="76"/>
      <x v="1"/>
      <x v="3"/>
      <x v="1"/>
    </i>
    <i r="1">
      <x v="80"/>
      <x v="1"/>
      <x v="3"/>
      <x v="1"/>
    </i>
    <i r="1">
      <x v="82"/>
      <x v="1"/>
      <x v="3"/>
      <x v="6"/>
    </i>
    <i r="1">
      <x v="83"/>
      <x v="1"/>
      <x v="3"/>
      <x v="4"/>
    </i>
    <i r="1">
      <x v="92"/>
      <x v="1"/>
      <x v="3"/>
      <x v="9"/>
    </i>
    <i r="1">
      <x v="95"/>
      <x v="1"/>
      <x v="3"/>
      <x v="36"/>
    </i>
    <i r="1">
      <x v="115"/>
      <x v="1"/>
      <x v="1"/>
      <x v="1"/>
    </i>
    <i r="1">
      <x v="117"/>
      <x v="1"/>
      <x v="1"/>
      <x v="31"/>
    </i>
    <i r="1">
      <x v="121"/>
      <x v="1"/>
      <x v="2"/>
      <x/>
    </i>
    <i r="1">
      <x v="124"/>
      <x v="1"/>
      <x v="3"/>
      <x v="8"/>
    </i>
    <i r="1">
      <x v="131"/>
      <x v="1"/>
      <x v="3"/>
      <x v="13"/>
    </i>
    <i t="sum">
      <x v="1"/>
    </i>
    <i t="grand">
      <x/>
    </i>
  </rowItems>
  <colFields count="2">
    <field x="26"/>
    <field x="25"/>
  </colFields>
  <colItems count="12">
    <i>
      <x v="2"/>
      <x v="12"/>
    </i>
    <i r="1">
      <x v="14"/>
    </i>
    <i r="1">
      <x v="15"/>
    </i>
    <i r="1">
      <x v="16"/>
    </i>
    <i r="1">
      <x v="17"/>
    </i>
    <i r="1">
      <x v="18"/>
    </i>
    <i r="1">
      <x v="19"/>
    </i>
    <i r="1">
      <x v="20"/>
    </i>
    <i r="1">
      <x v="21"/>
    </i>
    <i r="1">
      <x v="25"/>
    </i>
    <i r="1">
      <x v="26"/>
    </i>
    <i t="grand">
      <x/>
    </i>
  </colItems>
  <dataFields count="1">
    <dataField name="VALUE" fld="24" baseField="20" baseItem="10" numFmtId="166"/>
  </dataFields>
  <formats count="111">
    <format dxfId="907">
      <pivotArea dataOnly="0" outline="0" fieldPosition="0">
        <references count="1">
          <reference field="9" count="0" sumSubtotal="1"/>
        </references>
      </pivotArea>
    </format>
    <format dxfId="906">
      <pivotArea dataOnly="0" outline="0" fieldPosition="0">
        <references count="1">
          <reference field="9" count="0" sumSubtotal="1"/>
        </references>
      </pivotArea>
    </format>
    <format dxfId="905">
      <pivotArea field="1" type="button" dataOnly="0" labelOnly="1" outline="0" axis="axisRow" fieldPosition="2"/>
    </format>
    <format dxfId="904">
      <pivotArea field="9" type="button" dataOnly="0" labelOnly="1" outline="0" axis="axisRow" fieldPosition="3"/>
    </format>
    <format dxfId="903">
      <pivotArea field="7" type="button" dataOnly="0" labelOnly="1" outline="0" axis="axisRow" fieldPosition="1"/>
    </format>
    <format dxfId="902">
      <pivotArea field="0" type="button" dataOnly="0" labelOnly="1" outline="0" axis="axisRow" fieldPosition="0"/>
    </format>
    <format dxfId="901">
      <pivotArea dataOnly="0" labelOnly="1" grandCol="1" outline="0" fieldPosition="0"/>
    </format>
    <format dxfId="900">
      <pivotArea field="1" type="button" dataOnly="0" labelOnly="1" outline="0" axis="axisRow" fieldPosition="2"/>
    </format>
    <format dxfId="899">
      <pivotArea field="9" type="button" dataOnly="0" labelOnly="1" outline="0" axis="axisRow" fieldPosition="3"/>
    </format>
    <format dxfId="898">
      <pivotArea field="7" type="button" dataOnly="0" labelOnly="1" outline="0" axis="axisRow" fieldPosition="1"/>
    </format>
    <format dxfId="897">
      <pivotArea field="0" type="button" dataOnly="0" labelOnly="1" outline="0" axis="axisRow" fieldPosition="0"/>
    </format>
    <format dxfId="896">
      <pivotArea dataOnly="0" labelOnly="1" grandCol="1" outline="0" fieldPosition="0"/>
    </format>
    <format dxfId="895">
      <pivotArea field="1" type="button" dataOnly="0" labelOnly="1" outline="0" axis="axisRow" fieldPosition="2"/>
    </format>
    <format dxfId="894">
      <pivotArea field="9" type="button" dataOnly="0" labelOnly="1" outline="0" axis="axisRow" fieldPosition="3"/>
    </format>
    <format dxfId="893">
      <pivotArea field="7" type="button" dataOnly="0" labelOnly="1" outline="0" axis="axisRow" fieldPosition="1"/>
    </format>
    <format dxfId="892">
      <pivotArea field="0" type="button" dataOnly="0" labelOnly="1" outline="0" axis="axisRow" fieldPosition="0"/>
    </format>
    <format dxfId="891">
      <pivotArea dataOnly="0" labelOnly="1" grandCol="1" outline="0" fieldPosition="0"/>
    </format>
    <format dxfId="890">
      <pivotArea field="21" type="button" dataOnly="0" labelOnly="1" outline="0" axis="axisRow" fieldPosition="4"/>
    </format>
    <format dxfId="889">
      <pivotArea field="21" type="button" dataOnly="0" labelOnly="1" outline="0" axis="axisRow" fieldPosition="4"/>
    </format>
    <format dxfId="888">
      <pivotArea type="all" dataOnly="0" outline="0" fieldPosition="0"/>
    </format>
    <format dxfId="887">
      <pivotArea type="all" dataOnly="0" outline="0" fieldPosition="0"/>
    </format>
    <format dxfId="886">
      <pivotArea outline="0" collapsedLevelsAreSubtotals="1" fieldPosition="0"/>
    </format>
    <format dxfId="885">
      <pivotArea type="origin" dataOnly="0" labelOnly="1" outline="0" fieldPosition="0"/>
    </format>
    <format dxfId="884">
      <pivotArea type="topRight" dataOnly="0" labelOnly="1" outline="0" fieldPosition="0"/>
    </format>
    <format dxfId="883">
      <pivotArea field="1" type="button" dataOnly="0" labelOnly="1" outline="0" axis="axisRow" fieldPosition="2"/>
    </format>
    <format dxfId="882">
      <pivotArea field="0" type="button" dataOnly="0" labelOnly="1" outline="0" axis="axisRow" fieldPosition="0"/>
    </format>
    <format dxfId="881">
      <pivotArea field="9" type="button" dataOnly="0" labelOnly="1" outline="0" axis="axisRow" fieldPosition="3"/>
    </format>
    <format dxfId="880">
      <pivotArea field="7" type="button" dataOnly="0" labelOnly="1" outline="0" axis="axisRow" fieldPosition="1"/>
    </format>
    <format dxfId="879">
      <pivotArea field="21" type="button" dataOnly="0" labelOnly="1" outline="0" axis="axisRow" fieldPosition="4"/>
    </format>
    <format dxfId="878">
      <pivotArea dataOnly="0" labelOnly="1" outline="0" fieldPosition="0">
        <references count="1">
          <reference field="1" count="0"/>
        </references>
      </pivotArea>
    </format>
    <format dxfId="877">
      <pivotArea dataOnly="0" labelOnly="1" grandRow="1" outline="0" fieldPosition="0"/>
    </format>
    <format dxfId="876">
      <pivotArea dataOnly="0" labelOnly="1" outline="0" fieldPosition="0">
        <references count="2">
          <reference field="0" count="0"/>
          <reference field="1" count="0" selected="0"/>
        </references>
      </pivotArea>
    </format>
    <format dxfId="875">
      <pivotArea dataOnly="0" labelOnly="1" outline="0" fieldPosition="0">
        <references count="2">
          <reference field="0" count="0" sumSubtotal="1"/>
          <reference field="1" count="0" selected="0"/>
        </references>
      </pivotArea>
    </format>
    <format dxfId="874">
      <pivotArea dataOnly="0" labelOnly="1" outline="0" fieldPosition="0">
        <references count="3">
          <reference field="0" count="1" selected="0">
            <x v="1"/>
          </reference>
          <reference field="1" count="0" selected="0"/>
          <reference field="9" count="0"/>
        </references>
      </pivotArea>
    </format>
    <format dxfId="873">
      <pivotArea dataOnly="0" labelOnly="1" grandCol="1" outline="0" fieldPosition="0"/>
    </format>
    <format dxfId="872">
      <pivotArea dataOnly="0" outline="0" fieldPosition="0">
        <references count="1">
          <reference field="9" count="0" sumSubtotal="1"/>
        </references>
      </pivotArea>
    </format>
    <format dxfId="871">
      <pivotArea grandCol="1" outline="0" collapsedLevelsAreSubtotals="1" fieldPosition="0"/>
    </format>
    <format dxfId="870">
      <pivotArea field="1" type="button" dataOnly="0" labelOnly="1" outline="0" axis="axisRow" fieldPosition="2"/>
    </format>
    <format dxfId="869">
      <pivotArea field="0" type="button" dataOnly="0" labelOnly="1" outline="0" axis="axisRow" fieldPosition="0"/>
    </format>
    <format dxfId="868">
      <pivotArea field="9" type="button" dataOnly="0" labelOnly="1" outline="0" axis="axisRow" fieldPosition="3"/>
    </format>
    <format dxfId="867">
      <pivotArea field="7" type="button" dataOnly="0" labelOnly="1" outline="0" axis="axisRow" fieldPosition="1"/>
    </format>
    <format dxfId="866">
      <pivotArea field="21" type="button" dataOnly="0" labelOnly="1" outline="0" axis="axisRow" fieldPosition="4"/>
    </format>
    <format dxfId="865">
      <pivotArea dataOnly="0" labelOnly="1" grandCol="1" outline="0" fieldPosition="0"/>
    </format>
    <format dxfId="864">
      <pivotArea field="1" type="button" dataOnly="0" labelOnly="1" outline="0" axis="axisRow" fieldPosition="2"/>
    </format>
    <format dxfId="863">
      <pivotArea field="0" type="button" dataOnly="0" labelOnly="1" outline="0" axis="axisRow" fieldPosition="0"/>
    </format>
    <format dxfId="862">
      <pivotArea field="9" type="button" dataOnly="0" labelOnly="1" outline="0" axis="axisRow" fieldPosition="3"/>
    </format>
    <format dxfId="861">
      <pivotArea field="7" type="button" dataOnly="0" labelOnly="1" outline="0" axis="axisRow" fieldPosition="1"/>
    </format>
    <format dxfId="860">
      <pivotArea field="21" type="button" dataOnly="0" labelOnly="1" outline="0" axis="axisRow" fieldPosition="4"/>
    </format>
    <format dxfId="859">
      <pivotArea dataOnly="0" labelOnly="1" grandCol="1" outline="0" fieldPosition="0"/>
    </format>
    <format dxfId="858">
      <pivotArea field="1" type="button" dataOnly="0" labelOnly="1" outline="0" axis="axisRow" fieldPosition="2"/>
    </format>
    <format dxfId="857">
      <pivotArea field="0" type="button" dataOnly="0" labelOnly="1" outline="0" axis="axisRow" fieldPosition="0"/>
    </format>
    <format dxfId="856">
      <pivotArea field="9" type="button" dataOnly="0" labelOnly="1" outline="0" axis="axisRow" fieldPosition="3"/>
    </format>
    <format dxfId="855">
      <pivotArea field="7" type="button" dataOnly="0" labelOnly="1" outline="0" axis="axisRow" fieldPosition="1"/>
    </format>
    <format dxfId="854">
      <pivotArea field="21" type="button" dataOnly="0" labelOnly="1" outline="0" axis="axisRow" fieldPosition="4"/>
    </format>
    <format dxfId="853">
      <pivotArea dataOnly="0" labelOnly="1" grandCol="1" outline="0" fieldPosition="0"/>
    </format>
    <format dxfId="852">
      <pivotArea field="1" type="button" dataOnly="0" labelOnly="1" outline="0" axis="axisRow" fieldPosition="2"/>
    </format>
    <format dxfId="851">
      <pivotArea field="0" type="button" dataOnly="0" labelOnly="1" outline="0" axis="axisRow" fieldPosition="0"/>
    </format>
    <format dxfId="850">
      <pivotArea field="9" type="button" dataOnly="0" labelOnly="1" outline="0" axis="axisRow" fieldPosition="3"/>
    </format>
    <format dxfId="849">
      <pivotArea field="7" type="button" dataOnly="0" labelOnly="1" outline="0" axis="axisRow" fieldPosition="1"/>
    </format>
    <format dxfId="848">
      <pivotArea field="21" type="button" dataOnly="0" labelOnly="1" outline="0" axis="axisRow" fieldPosition="4"/>
    </format>
    <format dxfId="847">
      <pivotArea dataOnly="0" labelOnly="1" grandCol="1" outline="0" fieldPosition="0"/>
    </format>
    <format dxfId="846">
      <pivotArea field="1" type="button" dataOnly="0" labelOnly="1" outline="0" axis="axisRow" fieldPosition="2"/>
    </format>
    <format dxfId="845">
      <pivotArea field="0" type="button" dataOnly="0" labelOnly="1" outline="0" axis="axisRow" fieldPosition="0"/>
    </format>
    <format dxfId="844">
      <pivotArea field="9" type="button" dataOnly="0" labelOnly="1" outline="0" axis="axisRow" fieldPosition="3"/>
    </format>
    <format dxfId="843">
      <pivotArea field="7" type="button" dataOnly="0" labelOnly="1" outline="0" axis="axisRow" fieldPosition="1"/>
    </format>
    <format dxfId="842">
      <pivotArea field="21" type="button" dataOnly="0" labelOnly="1" outline="0" axis="axisRow" fieldPosition="4"/>
    </format>
    <format dxfId="841">
      <pivotArea dataOnly="0" labelOnly="1" grandCol="1" outline="0" fieldPosition="0"/>
    </format>
    <format dxfId="840">
      <pivotArea outline="0" fieldPosition="0">
        <references count="1">
          <reference field="4294967294" count="1">
            <x v="0"/>
          </reference>
        </references>
      </pivotArea>
    </format>
    <format dxfId="839">
      <pivotArea dataOnly="0" outline="0" fieldPosition="0">
        <references count="1">
          <reference field="9" count="1">
            <x v="0"/>
          </reference>
        </references>
      </pivotArea>
    </format>
    <format dxfId="838">
      <pivotArea dataOnly="0" outline="0" fieldPosition="0">
        <references count="1">
          <reference field="9" count="1">
            <x v="1"/>
          </reference>
        </references>
      </pivotArea>
    </format>
    <format dxfId="837">
      <pivotArea dataOnly="0" outline="0" fieldPosition="0">
        <references count="1">
          <reference field="9" count="1">
            <x v="3"/>
          </reference>
        </references>
      </pivotArea>
    </format>
    <format dxfId="836">
      <pivotArea dataOnly="0" outline="0" fieldPosition="0">
        <references count="1">
          <reference field="9" count="1">
            <x v="2"/>
          </reference>
        </references>
      </pivotArea>
    </format>
    <format dxfId="835">
      <pivotArea outline="0" fieldPosition="0">
        <references count="5">
          <reference field="0" count="1" selected="0">
            <x v="0"/>
          </reference>
          <reference field="1" count="0" selected="0"/>
          <reference field="7" count="4" selected="0">
            <x v="26"/>
            <x v="27"/>
            <x v="30"/>
            <x v="31"/>
          </reference>
          <reference field="9" count="2" selected="0">
            <x v="0"/>
            <x v="1"/>
          </reference>
          <reference field="21" count="2" selected="0">
            <x v="8"/>
            <x v="14"/>
          </reference>
        </references>
      </pivotArea>
    </format>
    <format dxfId="834">
      <pivotArea dataOnly="0" labelOnly="1" outline="0" offset="IV7:IV11" fieldPosition="0">
        <references count="1">
          <reference field="0" count="1">
            <x v="0"/>
          </reference>
        </references>
      </pivotArea>
    </format>
    <format dxfId="833">
      <pivotArea dataOnly="0" labelOnly="1" outline="0" fieldPosition="0">
        <references count="2">
          <reference field="0" count="1" selected="0">
            <x v="0"/>
          </reference>
          <reference field="7" count="4">
            <x v="26"/>
            <x v="27"/>
            <x v="30"/>
            <x v="31"/>
          </reference>
        </references>
      </pivotArea>
    </format>
    <format dxfId="832">
      <pivotArea dataOnly="0" labelOnly="1" outline="0" offset="IV7:IV11" fieldPosition="0">
        <references count="3">
          <reference field="0" count="1" selected="0">
            <x v="0"/>
          </reference>
          <reference field="1" count="0"/>
          <reference field="7" count="1" selected="0">
            <x v="19"/>
          </reference>
        </references>
      </pivotArea>
    </format>
    <format dxfId="831">
      <pivotArea dataOnly="0" labelOnly="1" outline="0" offset="IV256" fieldPosition="0">
        <references count="4">
          <reference field="0" count="1" selected="0">
            <x v="0"/>
          </reference>
          <reference field="1" count="0" selected="0"/>
          <reference field="7" count="1" selected="0">
            <x v="24"/>
          </reference>
          <reference field="9" count="1">
            <x v="0"/>
          </reference>
        </references>
      </pivotArea>
    </format>
    <format dxfId="830">
      <pivotArea dataOnly="0" labelOnly="1" outline="0" fieldPosition="0">
        <references count="4">
          <reference field="0" count="1" selected="0">
            <x v="0"/>
          </reference>
          <reference field="1" count="0" selected="0"/>
          <reference field="7" count="1" selected="0">
            <x v="27"/>
          </reference>
          <reference field="9" count="1">
            <x v="1"/>
          </reference>
        </references>
      </pivotArea>
    </format>
    <format dxfId="829">
      <pivotArea dataOnly="0" labelOnly="1" outline="0" fieldPosition="0">
        <references count="4">
          <reference field="0" count="1" selected="0">
            <x v="0"/>
          </reference>
          <reference field="1" count="0" selected="0"/>
          <reference field="7" count="1" selected="0">
            <x v="30"/>
          </reference>
          <reference field="9" count="2">
            <x v="0"/>
            <x v="1"/>
          </reference>
        </references>
      </pivotArea>
    </format>
    <format dxfId="828">
      <pivotArea dataOnly="0" labelOnly="1" outline="0" fieldPosition="0">
        <references count="5">
          <reference field="0" count="1" selected="0">
            <x v="0"/>
          </reference>
          <reference field="1" count="0" selected="0"/>
          <reference field="7" count="1" selected="0">
            <x v="26"/>
          </reference>
          <reference field="9" count="1" selected="0">
            <x v="0"/>
          </reference>
          <reference field="21" count="1">
            <x v="14"/>
          </reference>
        </references>
      </pivotArea>
    </format>
    <format dxfId="827">
      <pivotArea dataOnly="0" labelOnly="1" outline="0" fieldPosition="0">
        <references count="5">
          <reference field="0" count="1" selected="0">
            <x v="0"/>
          </reference>
          <reference field="1" count="0" selected="0"/>
          <reference field="7" count="1" selected="0">
            <x v="27"/>
          </reference>
          <reference field="9" count="1" selected="0">
            <x v="1"/>
          </reference>
          <reference field="21" count="1">
            <x v="8"/>
          </reference>
        </references>
      </pivotArea>
    </format>
    <format dxfId="826">
      <pivotArea dataOnly="0" labelOnly="1" outline="0" fieldPosition="0">
        <references count="5">
          <reference field="0" count="1" selected="0">
            <x v="0"/>
          </reference>
          <reference field="1" count="0" selected="0"/>
          <reference field="7" count="1" selected="0">
            <x v="30"/>
          </reference>
          <reference field="9" count="1" selected="0">
            <x v="0"/>
          </reference>
          <reference field="21" count="1">
            <x v="14"/>
          </reference>
        </references>
      </pivotArea>
    </format>
    <format dxfId="825">
      <pivotArea dataOnly="0" labelOnly="1" outline="0" fieldPosition="0">
        <references count="5">
          <reference field="0" count="1" selected="0">
            <x v="0"/>
          </reference>
          <reference field="1" count="0" selected="0"/>
          <reference field="7" count="1" selected="0">
            <x v="30"/>
          </reference>
          <reference field="9" count="1" selected="0">
            <x v="1"/>
          </reference>
          <reference field="21" count="1">
            <x v="14"/>
          </reference>
        </references>
      </pivotArea>
    </format>
    <format dxfId="824">
      <pivotArea dataOnly="0" labelOnly="1" outline="0" fieldPosition="0">
        <references count="5">
          <reference field="0" count="1" selected="0">
            <x v="0"/>
          </reference>
          <reference field="1" count="0" selected="0"/>
          <reference field="7" count="1" selected="0">
            <x v="31"/>
          </reference>
          <reference field="9" count="1" selected="0">
            <x v="1"/>
          </reference>
          <reference field="21" count="1">
            <x v="8"/>
          </reference>
        </references>
      </pivotArea>
    </format>
    <format dxfId="823">
      <pivotArea field="0" grandCol="1" outline="0" axis="axisRow" fieldPosition="0">
        <references count="1">
          <reference field="0" count="1" selected="0" sumSubtotal="1">
            <x v="0"/>
          </reference>
        </references>
      </pivotArea>
    </format>
    <format dxfId="822">
      <pivotArea field="0" grandCol="1" outline="0" axis="axisRow" fieldPosition="0">
        <references count="1">
          <reference field="0" count="1" selected="0" sumSubtotal="1">
            <x v="0"/>
          </reference>
        </references>
      </pivotArea>
    </format>
    <format dxfId="821">
      <pivotArea outline="0" fieldPosition="0">
        <references count="1">
          <reference field="0" count="1" selected="0" sumSubtotal="1">
            <x v="0"/>
          </reference>
        </references>
      </pivotArea>
    </format>
    <format dxfId="820">
      <pivotArea outline="0" fieldPosition="0">
        <references count="1">
          <reference field="0" count="1" selected="0" sumSubtotal="1">
            <x v="0"/>
          </reference>
        </references>
      </pivotArea>
    </format>
    <format dxfId="819">
      <pivotArea field="0" grandCol="1" outline="0" axis="axisRow" fieldPosition="0">
        <references count="1">
          <reference field="0" count="1" selected="0" sumSubtotal="1">
            <x v="1"/>
          </reference>
        </references>
      </pivotArea>
    </format>
    <format dxfId="818">
      <pivotArea field="0" grandCol="1" outline="0" axis="axisRow" fieldPosition="0">
        <references count="1">
          <reference field="0" count="1" selected="0" sumSubtotal="1">
            <x v="1"/>
          </reference>
        </references>
      </pivotArea>
    </format>
    <format dxfId="817">
      <pivotArea outline="0" fieldPosition="0">
        <references count="7">
          <reference field="0" count="1" selected="0">
            <x v="0"/>
          </reference>
          <reference field="1" count="1" selected="0">
            <x v="1"/>
          </reference>
          <reference field="7" count="22" selected="0">
            <x v="20"/>
            <x v="22"/>
            <x v="23"/>
            <x v="24"/>
            <x v="26"/>
            <x v="27"/>
            <x v="30"/>
            <x v="31"/>
            <x v="32"/>
            <x v="33"/>
            <x v="35"/>
            <x v="36"/>
            <x v="37"/>
            <x v="39"/>
            <x v="52"/>
            <x v="53"/>
            <x v="59"/>
            <x v="61"/>
            <x v="63"/>
            <x v="65"/>
            <x v="67"/>
            <x v="71"/>
          </reference>
          <reference field="9" count="4" selected="0">
            <x v="0"/>
            <x v="1"/>
            <x v="2"/>
            <x v="3"/>
          </reference>
          <reference field="21" count="18" selected="0">
            <x v="0"/>
            <x v="4"/>
            <x v="8"/>
            <x v="9"/>
            <x v="11"/>
            <x v="12"/>
            <x v="13"/>
            <x v="14"/>
            <x v="17"/>
            <x v="19"/>
            <x v="20"/>
            <x v="21"/>
            <x v="22"/>
            <x v="24"/>
            <x v="26"/>
            <x v="27"/>
            <x v="28"/>
            <x v="30"/>
          </reference>
          <reference field="25" count="6" selected="0">
            <x v="6"/>
            <x v="7"/>
            <x v="8"/>
            <x v="9"/>
            <x v="10"/>
            <x v="11"/>
          </reference>
          <reference field="26" count="0" selected="0"/>
        </references>
      </pivotArea>
    </format>
    <format dxfId="816">
      <pivotArea outline="0" fieldPosition="0">
        <references count="7">
          <reference field="0" count="1" selected="0">
            <x v="0"/>
          </reference>
          <reference field="1" count="1" selected="0">
            <x v="1"/>
          </reference>
          <reference field="7" count="1" selected="0">
            <x v="61"/>
          </reference>
          <reference field="9" count="1" selected="0">
            <x v="1"/>
          </reference>
          <reference field="21" count="1" selected="0">
            <x v="9"/>
          </reference>
          <reference field="25" count="2" selected="0">
            <x v="7"/>
            <x v="8"/>
          </reference>
          <reference field="26" count="0" selected="0"/>
        </references>
      </pivotArea>
    </format>
    <format dxfId="815">
      <pivotArea outline="0" fieldPosition="0">
        <references count="7">
          <reference field="0" count="1" selected="0">
            <x v="0"/>
          </reference>
          <reference field="1" count="1" selected="0">
            <x v="1"/>
          </reference>
          <reference field="7" count="24" selected="0">
            <x v="20"/>
            <x v="22"/>
            <x v="23"/>
            <x v="24"/>
            <x v="26"/>
            <x v="27"/>
            <x v="29"/>
            <x v="30"/>
            <x v="31"/>
            <x v="32"/>
            <x v="33"/>
            <x v="35"/>
            <x v="36"/>
            <x v="37"/>
            <x v="38"/>
            <x v="39"/>
            <x v="52"/>
            <x v="53"/>
            <x v="59"/>
            <x v="61"/>
            <x v="63"/>
            <x v="65"/>
            <x v="67"/>
            <x v="71"/>
          </reference>
          <reference field="9" count="0" selected="0"/>
          <reference field="21" count="19" selected="0">
            <x v="0"/>
            <x v="4"/>
            <x v="8"/>
            <x v="11"/>
            <x v="12"/>
            <x v="13"/>
            <x v="14"/>
            <x v="16"/>
            <x v="17"/>
            <x v="19"/>
            <x v="20"/>
            <x v="21"/>
            <x v="22"/>
            <x v="24"/>
            <x v="26"/>
            <x v="27"/>
            <x v="28"/>
            <x v="29"/>
            <x v="30"/>
          </reference>
          <reference field="25" count="6" selected="0">
            <x v="6"/>
            <x v="7"/>
            <x v="8"/>
            <x v="9"/>
            <x v="10"/>
            <x v="11"/>
          </reference>
          <reference field="26" count="0" selected="0"/>
        </references>
      </pivotArea>
    </format>
    <format dxfId="814">
      <pivotArea outline="0" fieldPosition="0">
        <references count="7">
          <reference field="0" count="1" selected="0">
            <x v="1"/>
          </reference>
          <reference field="1" count="1" selected="0">
            <x v="1"/>
          </reference>
          <reference field="7" count="1" selected="0">
            <x v="0"/>
          </reference>
          <reference field="9" count="1" selected="0">
            <x v="1"/>
          </reference>
          <reference field="21" count="1" selected="0">
            <x v="7"/>
          </reference>
          <reference field="25" count="7" selected="0">
            <x v="5"/>
            <x v="6"/>
            <x v="7"/>
            <x v="8"/>
            <x v="9"/>
            <x v="10"/>
            <x v="11"/>
          </reference>
          <reference field="26" count="0" selected="0"/>
        </references>
      </pivotArea>
    </format>
    <format dxfId="813">
      <pivotArea outline="0" fieldPosition="0">
        <references count="7">
          <reference field="0" count="1" selected="0">
            <x v="1"/>
          </reference>
          <reference field="1" count="1" selected="0">
            <x v="1"/>
          </reference>
          <reference field="7" count="19" selected="0">
            <x v="1"/>
            <x v="2"/>
            <x v="3"/>
            <x v="4"/>
            <x v="6"/>
            <x v="7"/>
            <x v="8"/>
            <x v="9"/>
            <x v="10"/>
            <x v="12"/>
            <x v="14"/>
            <x v="17"/>
            <x v="48"/>
            <x v="68"/>
            <x v="70"/>
            <x v="72"/>
            <x v="75"/>
            <x v="79"/>
            <x v="80"/>
          </reference>
          <reference field="9" count="3" selected="0">
            <x v="0"/>
            <x v="1"/>
            <x v="3"/>
          </reference>
          <reference field="21" count="9" selected="0">
            <x v="0"/>
            <x v="1"/>
            <x v="2"/>
            <x v="3"/>
            <x v="4"/>
            <x v="6"/>
            <x v="7"/>
            <x v="8"/>
            <x v="32"/>
          </reference>
          <reference field="25" count="7" selected="0">
            <x v="5"/>
            <x v="6"/>
            <x v="7"/>
            <x v="8"/>
            <x v="9"/>
            <x v="10"/>
            <x v="11"/>
          </reference>
          <reference field="26" count="0" selected="0"/>
        </references>
      </pivotArea>
    </format>
    <format dxfId="812">
      <pivotArea dataOnly="0" outline="0" fieldPosition="0">
        <references count="1">
          <reference field="9" count="1">
            <x v="1"/>
          </reference>
        </references>
      </pivotArea>
    </format>
    <format dxfId="811">
      <pivotArea dataOnly="0" outline="0" fieldPosition="0">
        <references count="1">
          <reference field="9" count="1">
            <x v="1"/>
          </reference>
        </references>
      </pivotArea>
    </format>
    <format dxfId="810">
      <pivotArea dataOnly="0" outline="0" fieldPosition="0">
        <references count="1">
          <reference field="9" count="1">
            <x v="2"/>
          </reference>
        </references>
      </pivotArea>
    </format>
    <format dxfId="809">
      <pivotArea dataOnly="0" outline="0" fieldPosition="0">
        <references count="1">
          <reference field="9" count="1">
            <x v="3"/>
          </reference>
        </references>
      </pivotArea>
    </format>
    <format dxfId="808">
      <pivotArea outline="0" fieldPosition="0">
        <references count="7">
          <reference field="0" count="1" selected="0">
            <x v="1"/>
          </reference>
          <reference field="1" count="0" selected="0"/>
          <reference field="7" count="1" selected="0">
            <x v="0"/>
          </reference>
          <reference field="9" count="1" selected="0">
            <x v="1"/>
          </reference>
          <reference field="21" count="1" selected="0">
            <x v="7"/>
          </reference>
          <reference field="25" count="2" selected="0">
            <x v="7"/>
            <x v="8"/>
          </reference>
          <reference field="26" count="0" selected="0"/>
        </references>
      </pivotArea>
    </format>
    <format dxfId="807">
      <pivotArea outline="0" fieldPosition="0">
        <references count="7">
          <reference field="0" count="1" selected="0">
            <x v="1"/>
          </reference>
          <reference field="1" count="0" selected="0"/>
          <reference field="7" count="8" selected="0">
            <x v="1"/>
            <x v="2"/>
            <x v="3"/>
            <x v="4"/>
            <x v="6"/>
            <x v="7"/>
            <x v="8"/>
            <x v="9"/>
          </reference>
          <reference field="9" count="2" selected="0">
            <x v="0"/>
            <x v="1"/>
          </reference>
          <reference field="21" count="7" selected="0">
            <x v="0"/>
            <x v="2"/>
            <x v="3"/>
            <x v="4"/>
            <x v="6"/>
            <x v="7"/>
            <x v="8"/>
          </reference>
          <reference field="25" count="2" selected="0">
            <x v="7"/>
            <x v="8"/>
          </reference>
          <reference field="26" count="0" selected="0"/>
        </references>
      </pivotArea>
    </format>
    <format dxfId="806">
      <pivotArea field="0" grandCol="1" outline="0" axis="axisRow" fieldPosition="0">
        <references count="1">
          <reference field="0" count="1" selected="0" sumSubtotal="1">
            <x v="0"/>
          </reference>
        </references>
      </pivotArea>
    </format>
    <format dxfId="805">
      <pivotArea field="0" grandCol="1" outline="0" axis="axisRow" fieldPosition="0">
        <references count="1">
          <reference field="0" count="1" selected="0" sumSubtotal="1">
            <x v="1"/>
          </reference>
        </references>
      </pivotArea>
    </format>
    <format dxfId="804">
      <pivotArea field="0" grandCol="1" outline="0" axis="axisRow" fieldPosition="0">
        <references count="1">
          <reference field="0" count="1" selected="0" sumSubtotal="1">
            <x v="1"/>
          </reference>
        </references>
      </pivotArea>
    </format>
    <format dxfId="803">
      <pivotArea field="0" grandCol="1" outline="0" axis="axisRow" fieldPosition="0">
        <references count="1">
          <reference field="0" count="1" selected="0" sumSubtotal="1">
            <x v="0"/>
          </reference>
        </references>
      </pivotArea>
    </format>
    <format dxfId="802">
      <pivotArea outline="0" fieldPosition="0">
        <references count="7">
          <reference field="0" count="1" selected="0">
            <x v="0"/>
          </reference>
          <reference field="1" count="0" selected="0"/>
          <reference field="7" count="23" selected="0">
            <x v="20"/>
            <x v="22"/>
            <x v="24"/>
            <x v="26"/>
            <x v="27"/>
            <x v="30"/>
            <x v="31"/>
            <x v="32"/>
            <x v="33"/>
            <x v="35"/>
            <x v="36"/>
            <x v="37"/>
            <x v="39"/>
            <x v="52"/>
            <x v="53"/>
            <x v="59"/>
            <x v="61"/>
            <x v="63"/>
            <x v="65"/>
            <x v="67"/>
            <x v="89"/>
            <x v="90"/>
            <x v="91"/>
          </reference>
          <reference field="9" count="3" selected="0">
            <x v="0"/>
            <x v="1"/>
            <x v="2"/>
          </reference>
          <reference field="21" count="17" selected="0">
            <x v="0"/>
            <x v="1"/>
            <x v="4"/>
            <x v="8"/>
            <x v="11"/>
            <x v="13"/>
            <x v="14"/>
            <x v="17"/>
            <x v="19"/>
            <x v="20"/>
            <x v="21"/>
            <x v="22"/>
            <x v="26"/>
            <x v="27"/>
            <x v="28"/>
            <x v="29"/>
            <x v="30"/>
          </reference>
          <reference field="25" count="6" selected="0">
            <x v="6"/>
            <x v="7"/>
            <x v="8"/>
            <x v="9"/>
            <x v="10"/>
            <x v="11"/>
          </reference>
          <reference field="26" count="0" selected="0"/>
        </references>
      </pivotArea>
    </format>
    <format dxfId="801">
      <pivotArea outline="0" fieldPosition="0">
        <references count="7">
          <reference field="0" count="1" selected="0">
            <x v="0"/>
          </reference>
          <reference field="1" count="0" selected="0"/>
          <reference field="7" count="1" selected="0">
            <x v="88"/>
          </reference>
          <reference field="9" count="1" selected="0">
            <x v="3"/>
          </reference>
          <reference field="21" count="1" selected="0">
            <x v="21"/>
          </reference>
          <reference field="25" count="1" selected="0">
            <x v="14"/>
          </reference>
          <reference field="26" count="0" selected="0"/>
        </references>
      </pivotArea>
    </format>
    <format dxfId="800">
      <pivotArea outline="0" fieldPosition="0">
        <references count="7">
          <reference field="0" count="1" selected="0">
            <x v="0"/>
          </reference>
          <reference field="1" count="0" selected="0"/>
          <reference field="7" count="1" selected="0">
            <x v="43"/>
          </reference>
          <reference field="9" count="1" selected="0">
            <x v="3"/>
          </reference>
          <reference field="21" count="1" selected="0">
            <x v="21"/>
          </reference>
          <reference field="25" count="1" selected="0">
            <x v="14"/>
          </reference>
          <reference field="26" count="0" selected="0"/>
        </references>
      </pivotArea>
    </format>
    <format dxfId="799">
      <pivotArea outline="0" fieldPosition="0">
        <references count="7">
          <reference field="0" count="1" selected="0">
            <x v="0"/>
          </reference>
          <reference field="1" count="0" selected="0"/>
          <reference field="7" count="2" selected="0">
            <x v="113"/>
            <x v="114"/>
          </reference>
          <reference field="9" count="2" selected="0">
            <x v="2"/>
            <x v="3"/>
          </reference>
          <reference field="21" count="2" selected="0">
            <x v="24"/>
            <x v="36"/>
          </reference>
          <reference field="25" count="1" selected="0">
            <x v="14"/>
          </reference>
          <reference field="26" count="0" selected="0"/>
        </references>
      </pivotArea>
    </format>
    <format dxfId="798">
      <pivotArea outline="0" fieldPosition="0">
        <references count="7">
          <reference field="0" count="1" selected="0">
            <x v="0"/>
          </reference>
          <reference field="1" count="0" selected="0"/>
          <reference field="7" count="1" selected="0">
            <x v="50"/>
          </reference>
          <reference field="9" count="1" selected="0">
            <x v="3"/>
          </reference>
          <reference field="21" count="1" selected="0">
            <x v="14"/>
          </reference>
          <reference field="25" count="1" selected="0">
            <x v="15"/>
          </reference>
          <reference field="26" count="0" selected="0"/>
        </references>
      </pivotArea>
    </format>
    <format dxfId="797">
      <pivotArea outline="0" fieldPosition="0">
        <references count="7">
          <reference field="0" count="1" selected="0">
            <x v="0"/>
          </reference>
          <reference field="1" count="0" selected="0"/>
          <reference field="7" count="1" selected="0">
            <x v="118"/>
          </reference>
          <reference field="9" count="1" selected="0">
            <x v="3"/>
          </reference>
          <reference field="21" count="1" selected="0">
            <x v="1"/>
          </reference>
          <reference field="25" count="1" selected="0">
            <x v="15"/>
          </reference>
          <reference field="26" count="0" selected="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12EF07-2230-413E-8BA2-B3F89FD03BEE}" name="PivotTable1"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T1:AJ38" firstHeaderRow="1" firstDataRow="3" firstDataCol="5"/>
  <pivotFields count="58">
    <pivotField axis="axisRow" compact="0" outline="0" showAll="0" sumSubtotal="1">
      <items count="6">
        <item x="0"/>
        <item x="1"/>
        <item h="1" x="4"/>
        <item h="1" x="2"/>
        <item h="1" x="3"/>
        <item t="sum"/>
      </items>
    </pivotField>
    <pivotField axis="axisRow" compact="0" outline="0" multipleItemSelectionAllowed="1" showAll="0" defaultSubtotal="0">
      <items count="4">
        <item x="0"/>
        <item h="1" x="1"/>
        <item h="1" x="2"/>
        <item h="1"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33">
        <item x="1"/>
        <item x="3"/>
        <item x="4"/>
        <item x="5"/>
        <item x="10"/>
        <item x="8"/>
        <item x="12"/>
        <item x="6"/>
        <item x="7"/>
        <item x="2"/>
        <item x="0"/>
        <item x="13"/>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m="1" x="123"/>
        <item m="1" x="124"/>
        <item m="1" x="125"/>
        <item m="1" x="126"/>
        <item m="1" x="127"/>
        <item m="1" x="128"/>
        <item m="1" x="129"/>
        <item m="1" x="130"/>
        <item m="1" x="131"/>
        <item m="1" x="132"/>
        <item x="11"/>
        <item x="9"/>
        <item x="34"/>
        <item x="114"/>
        <item m="1" x="121"/>
        <item x="116"/>
        <item x="117"/>
        <item x="118"/>
        <item m="1" x="122"/>
        <item x="120"/>
        <item x="115"/>
        <item x="119"/>
      </items>
    </pivotField>
    <pivotField dataField="1" compact="0" outline="0" showAll="0" defaultSubtotal="0"/>
    <pivotField axis="axisRow" compact="0" outline="0" showAll="0" defaultSubtotal="0">
      <items count="12">
        <item h="1" x="0"/>
        <item x="3"/>
        <item x="1"/>
        <item h="1" x="2"/>
        <item h="1" x="5"/>
        <item x="4"/>
        <item h="1" x="6"/>
        <item h="1" x="7"/>
        <item h="1" x="9"/>
        <item h="1" x="8"/>
        <item h="1" x="11"/>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39">
        <item x="6"/>
        <item x="4"/>
        <item x="3"/>
        <item x="7"/>
        <item x="5"/>
        <item x="0"/>
        <item x="2"/>
        <item x="1"/>
        <item x="8"/>
        <item x="9"/>
        <item x="10"/>
        <item x="11"/>
        <item x="12"/>
        <item x="13"/>
        <item x="14"/>
        <item x="15"/>
        <item x="16"/>
        <item x="17"/>
        <item x="18"/>
        <item x="19"/>
        <item x="20"/>
        <item x="22"/>
        <item x="23"/>
        <item x="24"/>
        <item x="25"/>
        <item x="26"/>
        <item x="27"/>
        <item x="28"/>
        <item x="29"/>
        <item x="30"/>
        <item x="31"/>
        <item x="32"/>
        <item n="-" x="33"/>
        <item x="34"/>
        <item x="35"/>
        <item x="21"/>
        <item x="36"/>
        <item m="1" x="37"/>
        <item m="1" x="38"/>
      </items>
    </pivotField>
    <pivotField compact="0" outline="0" subtotalTop="0" showAll="0" defaultSubtotal="0"/>
    <pivotField compact="0" outline="0" showAll="0" defaultSubtotal="0"/>
    <pivotField compact="0" outline="0" subtotalTop="0" showAll="0" defaultSubtotal="0"/>
    <pivotField name="SM" axis="axisCol" compact="0" outline="0" subtotalTop="0" showAll="0" defaultSubtotal="0">
      <items count="29">
        <item x="7"/>
        <item x="0"/>
        <item x="1"/>
        <item x="2"/>
        <item x="3"/>
        <item x="8"/>
        <item x="9"/>
        <item x="10"/>
        <item x="4"/>
        <item x="5"/>
        <item x="6"/>
        <item x="12"/>
        <item x="13"/>
        <item x="14"/>
        <item x="15"/>
        <item x="11"/>
        <item x="16"/>
        <item x="17"/>
        <item x="18"/>
        <item x="19"/>
        <item x="20"/>
        <item x="21"/>
        <item x="22"/>
        <item x="23"/>
        <item x="24"/>
        <item x="25"/>
        <item x="26"/>
        <item m="1" x="28"/>
        <item x="27"/>
      </items>
    </pivotField>
    <pivotField name="YEAR" axis="axisCol" compact="0" outline="0" subtotalTop="0" showAll="0" defaultSubtotal="0">
      <items count="7">
        <item h="1" x="0"/>
        <item h="1" x="2"/>
        <item x="1"/>
        <item h="1" x="3"/>
        <item h="1" x="4"/>
        <item h="1" m="1" x="6"/>
        <item h="1"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5">
    <field x="0"/>
    <field x="7"/>
    <field x="1"/>
    <field x="9"/>
    <field x="21"/>
  </rowFields>
  <rowItems count="35">
    <i>
      <x/>
      <x v="8"/>
      <x/>
      <x v="2"/>
      <x v="4"/>
    </i>
    <i r="1">
      <x v="9"/>
      <x/>
      <x v="2"/>
      <x v="7"/>
    </i>
    <i r="1">
      <x v="14"/>
      <x/>
      <x v="2"/>
      <x v="8"/>
    </i>
    <i r="1">
      <x v="18"/>
      <x/>
      <x v="1"/>
      <x v="11"/>
    </i>
    <i r="1">
      <x v="19"/>
      <x/>
      <x v="2"/>
      <x v="12"/>
    </i>
    <i r="1">
      <x v="49"/>
      <x/>
      <x v="2"/>
      <x v="32"/>
    </i>
    <i r="1">
      <x v="66"/>
      <x/>
      <x v="1"/>
      <x v="28"/>
    </i>
    <i r="1">
      <x v="78"/>
      <x/>
      <x v="2"/>
      <x v="1"/>
    </i>
    <i r="1">
      <x v="80"/>
      <x/>
      <x v="1"/>
      <x v="1"/>
    </i>
    <i r="1">
      <x v="82"/>
      <x/>
      <x v="2"/>
      <x v="1"/>
    </i>
    <i r="1">
      <x v="84"/>
      <x/>
      <x v="2"/>
      <x v="13"/>
    </i>
    <i r="1">
      <x v="85"/>
      <x/>
      <x v="2"/>
      <x v="4"/>
    </i>
    <i r="1">
      <x v="95"/>
      <x/>
      <x v="2"/>
      <x v="32"/>
    </i>
    <i r="1">
      <x v="121"/>
      <x/>
      <x v="5"/>
      <x/>
    </i>
    <i r="1">
      <x v="124"/>
      <x/>
      <x v="2"/>
      <x v="6"/>
    </i>
    <i r="1">
      <x v="131"/>
      <x/>
      <x v="2"/>
      <x v="19"/>
    </i>
    <i t="sum">
      <x/>
    </i>
    <i>
      <x v="1"/>
      <x v="24"/>
      <x/>
      <x v="2"/>
      <x v="16"/>
    </i>
    <i r="1">
      <x v="36"/>
      <x/>
      <x v="2"/>
      <x v="24"/>
    </i>
    <i r="1">
      <x v="41"/>
      <x/>
      <x v="2"/>
      <x v="2"/>
    </i>
    <i r="1">
      <x v="42"/>
      <x/>
      <x v="2"/>
      <x v="4"/>
    </i>
    <i r="1">
      <x v="43"/>
      <x/>
      <x v="2"/>
      <x v="29"/>
    </i>
    <i r="1">
      <x v="44"/>
      <x/>
      <x v="2"/>
      <x v="27"/>
    </i>
    <i r="1">
      <x v="45"/>
      <x/>
      <x v="2"/>
      <x v="2"/>
    </i>
    <i r="1">
      <x v="46"/>
      <x/>
      <x v="2"/>
      <x v="31"/>
    </i>
    <i r="1">
      <x v="52"/>
      <x/>
      <x v="2"/>
      <x v="20"/>
    </i>
    <i r="1">
      <x v="90"/>
      <x/>
      <x v="2"/>
      <x v="27"/>
    </i>
    <i r="1">
      <x v="97"/>
      <x/>
      <x v="1"/>
      <x v="21"/>
    </i>
    <i r="1">
      <x v="102"/>
      <x/>
      <x v="2"/>
      <x v="32"/>
    </i>
    <i r="1">
      <x v="105"/>
      <x/>
      <x v="5"/>
      <x/>
    </i>
    <i r="1">
      <x v="108"/>
      <x/>
      <x v="5"/>
      <x v="7"/>
    </i>
    <i r="1">
      <x v="110"/>
      <x/>
      <x v="2"/>
      <x v="1"/>
    </i>
    <i r="1">
      <x v="126"/>
      <x/>
      <x v="5"/>
      <x v="1"/>
    </i>
    <i t="sum">
      <x v="1"/>
    </i>
    <i t="grand">
      <x/>
    </i>
  </rowItems>
  <colFields count="2">
    <field x="26"/>
    <field x="25"/>
  </colFields>
  <colItems count="12">
    <i>
      <x v="2"/>
      <x v="8"/>
    </i>
    <i r="1">
      <x v="9"/>
    </i>
    <i r="1">
      <x v="10"/>
    </i>
    <i r="1">
      <x v="13"/>
    </i>
    <i r="1">
      <x v="15"/>
    </i>
    <i r="1">
      <x v="16"/>
    </i>
    <i r="1">
      <x v="17"/>
    </i>
    <i r="1">
      <x v="19"/>
    </i>
    <i r="1">
      <x v="21"/>
    </i>
    <i r="1">
      <x v="22"/>
    </i>
    <i r="1">
      <x v="23"/>
    </i>
    <i t="grand">
      <x/>
    </i>
  </colItems>
  <dataFields count="1">
    <dataField name="Sum of COUNT" fld="8" baseField="20" baseItem="13" numFmtId="176"/>
  </dataFields>
  <formats count="82">
    <format dxfId="989">
      <pivotArea dataOnly="0" outline="0" fieldPosition="0">
        <references count="1">
          <reference field="9" count="0" sumSubtotal="1"/>
        </references>
      </pivotArea>
    </format>
    <format dxfId="988">
      <pivotArea dataOnly="0" outline="0" fieldPosition="0">
        <references count="1">
          <reference field="9" count="0" sumSubtotal="1"/>
        </references>
      </pivotArea>
    </format>
    <format dxfId="987">
      <pivotArea field="1" type="button" dataOnly="0" labelOnly="1" outline="0" axis="axisRow" fieldPosition="2"/>
    </format>
    <format dxfId="986">
      <pivotArea field="9" type="button" dataOnly="0" labelOnly="1" outline="0" axis="axisRow" fieldPosition="3"/>
    </format>
    <format dxfId="985">
      <pivotArea field="7" type="button" dataOnly="0" labelOnly="1" outline="0" axis="axisRow" fieldPosition="1"/>
    </format>
    <format dxfId="984">
      <pivotArea field="0" type="button" dataOnly="0" labelOnly="1" outline="0" axis="axisRow" fieldPosition="0"/>
    </format>
    <format dxfId="983">
      <pivotArea dataOnly="0" labelOnly="1" grandCol="1" outline="0" fieldPosition="0"/>
    </format>
    <format dxfId="982">
      <pivotArea field="1" type="button" dataOnly="0" labelOnly="1" outline="0" axis="axisRow" fieldPosition="2"/>
    </format>
    <format dxfId="981">
      <pivotArea field="9" type="button" dataOnly="0" labelOnly="1" outline="0" axis="axisRow" fieldPosition="3"/>
    </format>
    <format dxfId="980">
      <pivotArea field="7" type="button" dataOnly="0" labelOnly="1" outline="0" axis="axisRow" fieldPosition="1"/>
    </format>
    <format dxfId="979">
      <pivotArea field="0" type="button" dataOnly="0" labelOnly="1" outline="0" axis="axisRow" fieldPosition="0"/>
    </format>
    <format dxfId="978">
      <pivotArea dataOnly="0" labelOnly="1" grandCol="1" outline="0" fieldPosition="0"/>
    </format>
    <format dxfId="977">
      <pivotArea field="1" type="button" dataOnly="0" labelOnly="1" outline="0" axis="axisRow" fieldPosition="2"/>
    </format>
    <format dxfId="976">
      <pivotArea field="9" type="button" dataOnly="0" labelOnly="1" outline="0" axis="axisRow" fieldPosition="3"/>
    </format>
    <format dxfId="975">
      <pivotArea field="7" type="button" dataOnly="0" labelOnly="1" outline="0" axis="axisRow" fieldPosition="1"/>
    </format>
    <format dxfId="974">
      <pivotArea field="0" type="button" dataOnly="0" labelOnly="1" outline="0" axis="axisRow" fieldPosition="0"/>
    </format>
    <format dxfId="973">
      <pivotArea dataOnly="0" labelOnly="1" grandCol="1" outline="0" fieldPosition="0"/>
    </format>
    <format dxfId="972">
      <pivotArea field="21" type="button" dataOnly="0" labelOnly="1" outline="0" axis="axisRow" fieldPosition="4"/>
    </format>
    <format dxfId="971">
      <pivotArea field="21" type="button" dataOnly="0" labelOnly="1" outline="0" axis="axisRow" fieldPosition="4"/>
    </format>
    <format dxfId="970">
      <pivotArea type="all" dataOnly="0" outline="0" fieldPosition="0"/>
    </format>
    <format dxfId="969">
      <pivotArea type="all" dataOnly="0" outline="0" fieldPosition="0"/>
    </format>
    <format dxfId="968">
      <pivotArea outline="0" collapsedLevelsAreSubtotals="1" fieldPosition="0"/>
    </format>
    <format dxfId="967">
      <pivotArea type="origin" dataOnly="0" labelOnly="1" outline="0" fieldPosition="0"/>
    </format>
    <format dxfId="966">
      <pivotArea type="topRight" dataOnly="0" labelOnly="1" outline="0" fieldPosition="0"/>
    </format>
    <format dxfId="965">
      <pivotArea field="1" type="button" dataOnly="0" labelOnly="1" outline="0" axis="axisRow" fieldPosition="2"/>
    </format>
    <format dxfId="964">
      <pivotArea field="0" type="button" dataOnly="0" labelOnly="1" outline="0" axis="axisRow" fieldPosition="0"/>
    </format>
    <format dxfId="963">
      <pivotArea field="9" type="button" dataOnly="0" labelOnly="1" outline="0" axis="axisRow" fieldPosition="3"/>
    </format>
    <format dxfId="962">
      <pivotArea field="7" type="button" dataOnly="0" labelOnly="1" outline="0" axis="axisRow" fieldPosition="1"/>
    </format>
    <format dxfId="961">
      <pivotArea field="21" type="button" dataOnly="0" labelOnly="1" outline="0" axis="axisRow" fieldPosition="4"/>
    </format>
    <format dxfId="960">
      <pivotArea dataOnly="0" labelOnly="1" outline="0" fieldPosition="0">
        <references count="1">
          <reference field="1" count="0"/>
        </references>
      </pivotArea>
    </format>
    <format dxfId="959">
      <pivotArea dataOnly="0" labelOnly="1" grandRow="1" outline="0" fieldPosition="0"/>
    </format>
    <format dxfId="958">
      <pivotArea dataOnly="0" labelOnly="1" outline="0" fieldPosition="0">
        <references count="2">
          <reference field="0" count="0"/>
          <reference field="1" count="0" selected="0"/>
        </references>
      </pivotArea>
    </format>
    <format dxfId="957">
      <pivotArea dataOnly="0" labelOnly="1" outline="0" fieldPosition="0">
        <references count="2">
          <reference field="0" count="0" sumSubtotal="1"/>
          <reference field="1" count="0" selected="0"/>
        </references>
      </pivotArea>
    </format>
    <format dxfId="956">
      <pivotArea dataOnly="0" labelOnly="1" outline="0" fieldPosition="0">
        <references count="3">
          <reference field="0" count="1" selected="0">
            <x v="0"/>
          </reference>
          <reference field="1" count="0" selected="0"/>
          <reference field="9" count="0"/>
        </references>
      </pivotArea>
    </format>
    <format dxfId="955">
      <pivotArea dataOnly="0" labelOnly="1" grandCol="1" outline="0" fieldPosition="0"/>
    </format>
    <format dxfId="954">
      <pivotArea dataOnly="0" outline="0" fieldPosition="0">
        <references count="1">
          <reference field="9" count="0" sumSubtotal="1"/>
        </references>
      </pivotArea>
    </format>
    <format dxfId="953">
      <pivotArea grandCol="1" outline="0" collapsedLevelsAreSubtotals="1" fieldPosition="0"/>
    </format>
    <format dxfId="952">
      <pivotArea field="1" type="button" dataOnly="0" labelOnly="1" outline="0" axis="axisRow" fieldPosition="2"/>
    </format>
    <format dxfId="951">
      <pivotArea field="0" type="button" dataOnly="0" labelOnly="1" outline="0" axis="axisRow" fieldPosition="0"/>
    </format>
    <format dxfId="950">
      <pivotArea field="9" type="button" dataOnly="0" labelOnly="1" outline="0" axis="axisRow" fieldPosition="3"/>
    </format>
    <format dxfId="949">
      <pivotArea field="7" type="button" dataOnly="0" labelOnly="1" outline="0" axis="axisRow" fieldPosition="1"/>
    </format>
    <format dxfId="948">
      <pivotArea field="21" type="button" dataOnly="0" labelOnly="1" outline="0" axis="axisRow" fieldPosition="4"/>
    </format>
    <format dxfId="947">
      <pivotArea dataOnly="0" labelOnly="1" grandCol="1" outline="0" fieldPosition="0"/>
    </format>
    <format dxfId="946">
      <pivotArea field="1" type="button" dataOnly="0" labelOnly="1" outline="0" axis="axisRow" fieldPosition="2"/>
    </format>
    <format dxfId="945">
      <pivotArea field="0" type="button" dataOnly="0" labelOnly="1" outline="0" axis="axisRow" fieldPosition="0"/>
    </format>
    <format dxfId="944">
      <pivotArea field="9" type="button" dataOnly="0" labelOnly="1" outline="0" axis="axisRow" fieldPosition="3"/>
    </format>
    <format dxfId="943">
      <pivotArea field="7" type="button" dataOnly="0" labelOnly="1" outline="0" axis="axisRow" fieldPosition="1"/>
    </format>
    <format dxfId="942">
      <pivotArea field="21" type="button" dataOnly="0" labelOnly="1" outline="0" axis="axisRow" fieldPosition="4"/>
    </format>
    <format dxfId="941">
      <pivotArea dataOnly="0" labelOnly="1" grandCol="1" outline="0" fieldPosition="0"/>
    </format>
    <format dxfId="940">
      <pivotArea field="1" type="button" dataOnly="0" labelOnly="1" outline="0" axis="axisRow" fieldPosition="2"/>
    </format>
    <format dxfId="939">
      <pivotArea field="0" type="button" dataOnly="0" labelOnly="1" outline="0" axis="axisRow" fieldPosition="0"/>
    </format>
    <format dxfId="938">
      <pivotArea field="9" type="button" dataOnly="0" labelOnly="1" outline="0" axis="axisRow" fieldPosition="3"/>
    </format>
    <format dxfId="937">
      <pivotArea field="7" type="button" dataOnly="0" labelOnly="1" outline="0" axis="axisRow" fieldPosition="1"/>
    </format>
    <format dxfId="936">
      <pivotArea field="21" type="button" dataOnly="0" labelOnly="1" outline="0" axis="axisRow" fieldPosition="4"/>
    </format>
    <format dxfId="935">
      <pivotArea dataOnly="0" labelOnly="1" grandCol="1" outline="0" fieldPosition="0"/>
    </format>
    <format dxfId="934">
      <pivotArea field="1" type="button" dataOnly="0" labelOnly="1" outline="0" axis="axisRow" fieldPosition="2"/>
    </format>
    <format dxfId="933">
      <pivotArea field="0" type="button" dataOnly="0" labelOnly="1" outline="0" axis="axisRow" fieldPosition="0"/>
    </format>
    <format dxfId="932">
      <pivotArea field="9" type="button" dataOnly="0" labelOnly="1" outline="0" axis="axisRow" fieldPosition="3"/>
    </format>
    <format dxfId="931">
      <pivotArea field="7" type="button" dataOnly="0" labelOnly="1" outline="0" axis="axisRow" fieldPosition="1"/>
    </format>
    <format dxfId="930">
      <pivotArea field="21" type="button" dataOnly="0" labelOnly="1" outline="0" axis="axisRow" fieldPosition="4"/>
    </format>
    <format dxfId="929">
      <pivotArea dataOnly="0" labelOnly="1" grandCol="1" outline="0" fieldPosition="0"/>
    </format>
    <format dxfId="928">
      <pivotArea field="1" type="button" dataOnly="0" labelOnly="1" outline="0" axis="axisRow" fieldPosition="2"/>
    </format>
    <format dxfId="927">
      <pivotArea field="0" type="button" dataOnly="0" labelOnly="1" outline="0" axis="axisRow" fieldPosition="0"/>
    </format>
    <format dxfId="926">
      <pivotArea field="9" type="button" dataOnly="0" labelOnly="1" outline="0" axis="axisRow" fieldPosition="3"/>
    </format>
    <format dxfId="925">
      <pivotArea field="7" type="button" dataOnly="0" labelOnly="1" outline="0" axis="axisRow" fieldPosition="1"/>
    </format>
    <format dxfId="924">
      <pivotArea field="21" type="button" dataOnly="0" labelOnly="1" outline="0" axis="axisRow" fieldPosition="4"/>
    </format>
    <format dxfId="923">
      <pivotArea dataOnly="0" labelOnly="1" grandCol="1" outline="0" fieldPosition="0"/>
    </format>
    <format dxfId="922">
      <pivotArea dataOnly="0" outline="0" fieldPosition="0">
        <references count="1">
          <reference field="9" count="1">
            <x v="0"/>
          </reference>
        </references>
      </pivotArea>
    </format>
    <format dxfId="921">
      <pivotArea dataOnly="0" outline="0" fieldPosition="0">
        <references count="1">
          <reference field="9" count="1">
            <x v="1"/>
          </reference>
        </references>
      </pivotArea>
    </format>
    <format dxfId="920">
      <pivotArea dataOnly="0" outline="0" fieldPosition="0">
        <references count="1">
          <reference field="9" count="1">
            <x v="2"/>
          </reference>
        </references>
      </pivotArea>
    </format>
    <format dxfId="919">
      <pivotArea field="0" grandCol="1" outline="0" axis="axisRow" fieldPosition="0">
        <references count="1">
          <reference field="0" count="1" selected="0" sumSubtotal="1">
            <x v="0"/>
          </reference>
        </references>
      </pivotArea>
    </format>
    <format dxfId="918">
      <pivotArea field="0" grandCol="1" outline="0" axis="axisRow" fieldPosition="0">
        <references count="1">
          <reference field="0" count="1" selected="0" sumSubtotal="1">
            <x v="0"/>
          </reference>
        </references>
      </pivotArea>
    </format>
    <format dxfId="917">
      <pivotArea outline="0" fieldPosition="0">
        <references count="7">
          <reference field="0" count="1" selected="0">
            <x v="0"/>
          </reference>
          <reference field="1" count="1" selected="0">
            <x v="0"/>
          </reference>
          <reference field="7" count="1" selected="0">
            <x v="0"/>
          </reference>
          <reference field="9" count="1" selected="0">
            <x v="1"/>
          </reference>
          <reference field="21" count="1" selected="0">
            <x v="5"/>
          </reference>
          <reference field="25" count="6" selected="0">
            <x v="2"/>
            <x v="3"/>
            <x v="4"/>
            <x v="5"/>
            <x v="6"/>
            <x v="7"/>
          </reference>
          <reference field="26" count="0" selected="0"/>
        </references>
      </pivotArea>
    </format>
    <format dxfId="916">
      <pivotArea outline="0" fieldPosition="0">
        <references count="7">
          <reference field="0" count="1" selected="0">
            <x v="0"/>
          </reference>
          <reference field="1" count="1" selected="0">
            <x v="0"/>
          </reference>
          <reference field="7" count="5" selected="0">
            <x v="1"/>
            <x v="2"/>
            <x v="3"/>
            <x v="4"/>
            <x v="5"/>
          </reference>
          <reference field="9" count="3" selected="0">
            <x v="0"/>
            <x v="1"/>
            <x v="2"/>
          </reference>
          <reference field="21" count="7" selected="0">
            <x v="0"/>
            <x v="1"/>
            <x v="2"/>
            <x v="3"/>
            <x v="4"/>
            <x v="5"/>
            <x v="6"/>
          </reference>
          <reference field="25" count="6" selected="0">
            <x v="2"/>
            <x v="3"/>
            <x v="4"/>
            <x v="5"/>
            <x v="6"/>
            <x v="7"/>
          </reference>
          <reference field="26" count="0" selected="0"/>
        </references>
      </pivotArea>
    </format>
    <format dxfId="915">
      <pivotArea dataOnly="0" outline="0" fieldPosition="0">
        <references count="1">
          <reference field="9" count="1">
            <x v="1"/>
          </reference>
        </references>
      </pivotArea>
    </format>
    <format dxfId="914">
      <pivotArea dataOnly="0" outline="0" fieldPosition="0">
        <references count="1">
          <reference field="9" count="1">
            <x v="1"/>
          </reference>
        </references>
      </pivotArea>
    </format>
    <format dxfId="913">
      <pivotArea dataOnly="0" outline="0" fieldPosition="0">
        <references count="1">
          <reference field="9" count="1">
            <x v="2"/>
          </reference>
        </references>
      </pivotArea>
    </format>
    <format dxfId="912">
      <pivotArea outline="0" fieldPosition="0">
        <references count="7">
          <reference field="0" count="1" selected="0">
            <x v="0"/>
          </reference>
          <reference field="1" count="0" selected="0"/>
          <reference field="7" count="1" selected="0">
            <x v="0"/>
          </reference>
          <reference field="9" count="1" selected="0">
            <x v="1"/>
          </reference>
          <reference field="21" count="1" selected="0">
            <x v="5"/>
          </reference>
          <reference field="25" count="2" selected="0">
            <x v="4"/>
            <x v="5"/>
          </reference>
          <reference field="26" count="0" selected="0"/>
        </references>
      </pivotArea>
    </format>
    <format dxfId="911">
      <pivotArea outline="0" fieldPosition="0">
        <references count="7">
          <reference field="0" count="1" selected="0">
            <x v="0"/>
          </reference>
          <reference field="1" count="0" selected="0"/>
          <reference field="7" count="4" selected="0">
            <x v="1"/>
            <x v="2"/>
            <x v="3"/>
            <x v="4"/>
          </reference>
          <reference field="9" count="2" selected="0">
            <x v="0"/>
            <x v="1"/>
          </reference>
          <reference field="21" count="6" selected="0">
            <x v="0"/>
            <x v="2"/>
            <x v="3"/>
            <x v="4"/>
            <x v="5"/>
            <x v="6"/>
          </reference>
          <reference field="25" count="2" selected="0">
            <x v="4"/>
            <x v="5"/>
          </reference>
          <reference field="26" count="0" selected="0"/>
        </references>
      </pivotArea>
    </format>
    <format dxfId="910">
      <pivotArea field="0" grandCol="1" outline="0" axis="axisRow" fieldPosition="0">
        <references count="1">
          <reference field="0" count="1" selected="0" sumSubtotal="1">
            <x v="0"/>
          </reference>
        </references>
      </pivotArea>
    </format>
    <format dxfId="909">
      <pivotArea field="0" grandCol="1" outline="0" axis="axisRow" fieldPosition="0">
        <references count="1">
          <reference field="0" count="1" selected="0" sumSubtotal="1">
            <x v="0"/>
          </reference>
        </references>
      </pivotArea>
    </format>
    <format dxfId="908">
      <pivotArea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D983A3-4899-4FFA-81BC-8371BF4F73E5}" name="PivotTable3"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O21" firstHeaderRow="1" firstDataRow="3" firstDataCol="8"/>
  <pivotFields count="58">
    <pivotField axis="axisRow" compact="0" outline="0" showAll="0" sumSubtotal="1">
      <items count="6">
        <item x="1"/>
        <item x="0"/>
        <item x="4"/>
        <item x="2"/>
        <item x="3"/>
        <item t="sum"/>
      </items>
    </pivotField>
    <pivotField axis="axisRow" compact="0" outline="0" multipleItemSelectionAllowed="1" showAll="0" defaultSubtotal="0">
      <items count="4">
        <item x="1"/>
        <item h="1" x="0"/>
        <item h="1" x="2"/>
        <item h="1"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33">
        <item x="1"/>
        <item x="15"/>
        <item x="3"/>
        <item x="4"/>
        <item x="23"/>
        <item x="16"/>
        <item x="19"/>
        <item x="13"/>
        <item x="5"/>
        <item x="10"/>
        <item x="8"/>
        <item x="12"/>
        <item x="18"/>
        <item x="21"/>
        <item x="22"/>
        <item x="57"/>
        <item x="6"/>
        <item x="20"/>
        <item x="7"/>
        <item x="24"/>
        <item x="25"/>
        <item x="26"/>
        <item x="27"/>
        <item x="28"/>
        <item x="29"/>
        <item x="30"/>
        <item x="60"/>
        <item x="32"/>
        <item x="35"/>
        <item x="36"/>
        <item x="31"/>
        <item x="33"/>
        <item x="37"/>
        <item x="38"/>
        <item x="39"/>
        <item x="40"/>
        <item x="61"/>
        <item x="41"/>
        <item x="42"/>
        <item x="43"/>
        <item x="44"/>
        <item m="1" x="132"/>
        <item x="45"/>
        <item x="46"/>
        <item x="47"/>
        <item x="48"/>
        <item x="49"/>
        <item x="51"/>
        <item x="52"/>
        <item x="53"/>
        <item x="54"/>
        <item x="55"/>
        <item x="56"/>
        <item x="58"/>
        <item x="59"/>
        <item x="63"/>
        <item x="64"/>
        <item x="65"/>
        <item x="66"/>
        <item x="67"/>
        <item x="68"/>
        <item m="1" x="125"/>
        <item x="70"/>
        <item x="71"/>
        <item x="72"/>
        <item x="17"/>
        <item x="50"/>
        <item x="73"/>
        <item x="74"/>
        <item x="75"/>
        <item x="14"/>
        <item x="62"/>
        <item x="76"/>
        <item x="77"/>
        <item x="78"/>
        <item x="79"/>
        <item x="80"/>
        <item x="81"/>
        <item x="82"/>
        <item m="1" x="126"/>
        <item x="84"/>
        <item x="85"/>
        <item x="86"/>
        <item x="87"/>
        <item x="88"/>
        <item m="1" x="131"/>
        <item x="89"/>
        <item x="90"/>
        <item x="91"/>
        <item x="92"/>
        <item x="93"/>
        <item x="94"/>
        <item x="95"/>
        <item x="96"/>
        <item m="1" x="123"/>
        <item x="98"/>
        <item x="99"/>
        <item x="100"/>
        <item x="2"/>
        <item x="0"/>
        <item x="101"/>
        <item x="102"/>
        <item x="103"/>
        <item x="105"/>
        <item x="107"/>
        <item x="108"/>
        <item m="1" x="130"/>
        <item m="1" x="128"/>
        <item m="1" x="127"/>
        <item x="110"/>
        <item m="1" x="124"/>
        <item m="1" x="129"/>
        <item x="97"/>
        <item x="111"/>
        <item x="109"/>
        <item x="83"/>
        <item x="112"/>
        <item x="69"/>
        <item x="113"/>
        <item x="104"/>
        <item x="106"/>
        <item x="11"/>
        <item x="9"/>
        <item x="34"/>
        <item x="114"/>
        <item m="1" x="121"/>
        <item x="116"/>
        <item x="117"/>
        <item x="118"/>
        <item m="1" x="122"/>
        <item x="120"/>
        <item x="115"/>
        <item x="119"/>
      </items>
    </pivotField>
    <pivotField compact="0" outline="0" showAll="0" defaultSubtotal="0"/>
    <pivotField axis="axisRow" compact="0" outline="0" showAll="0" defaultSubtotal="0">
      <items count="12">
        <item h="1" x="0"/>
        <item x="3"/>
        <item x="4"/>
        <item x="1"/>
        <item h="1" x="2"/>
        <item h="1" x="5"/>
        <item h="1" x="7"/>
        <item h="1" x="9"/>
        <item h="1" x="6"/>
        <item h="1" x="8"/>
        <item h="1" x="11"/>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39">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x="32"/>
        <item x="10"/>
        <item x="31"/>
        <item m="1" x="38"/>
        <item x="1"/>
        <item m="1" x="37"/>
      </items>
    </pivotField>
    <pivotField axis="axisRow" compact="0" outline="0" subtotalTop="0" showAll="0" defaultSubtotal="0">
      <items count="44">
        <item x="4"/>
        <item x="13"/>
        <item x="17"/>
        <item x="8"/>
        <item x="9"/>
        <item x="32"/>
        <item x="20"/>
        <item x="1"/>
        <item x="16"/>
        <item x="10"/>
        <item x="14"/>
        <item x="31"/>
        <item x="22"/>
        <item x="28"/>
        <item x="27"/>
        <item x="0"/>
        <item x="11"/>
        <item x="29"/>
        <item x="33"/>
        <item x="34"/>
        <item m="1" x="43"/>
        <item x="25"/>
        <item x="36"/>
        <item x="15"/>
        <item x="37"/>
        <item x="35"/>
        <item x="2"/>
        <item x="24"/>
        <item m="1" x="42"/>
        <item x="19"/>
        <item x="21"/>
        <item x="26"/>
        <item x="30"/>
        <item x="12"/>
        <item x="23"/>
        <item x="3"/>
        <item x="5"/>
        <item x="6"/>
        <item x="18"/>
        <item x="7"/>
        <item x="38"/>
        <item x="39"/>
        <item x="40"/>
        <item x="41"/>
      </items>
    </pivotField>
    <pivotField compact="0" outline="0" showAll="0" defaultSubtotal="0"/>
    <pivotField dataField="1" compact="0" outline="0" subtotalTop="0" showAll="0" defaultSubtotal="0"/>
    <pivotField name="SM" axis="axisCol" compact="0" outline="0" subtotalTop="0" showAll="0" defaultSubtotal="0">
      <items count="29">
        <item x="24"/>
        <item x="25"/>
        <item x="13"/>
        <item x="7"/>
        <item x="0"/>
        <item x="1"/>
        <item x="2"/>
        <item x="3"/>
        <item x="8"/>
        <item x="9"/>
        <item x="10"/>
        <item x="15"/>
        <item x="11"/>
        <item x="18"/>
        <item x="19"/>
        <item x="16"/>
        <item x="14"/>
        <item x="4"/>
        <item x="5"/>
        <item x="6"/>
        <item x="23"/>
        <item x="17"/>
        <item x="20"/>
        <item x="12"/>
        <item x="26"/>
        <item m="1" x="28"/>
        <item x="21"/>
        <item x="22"/>
        <item x="27"/>
      </items>
    </pivotField>
    <pivotField name="YEAR" axis="axisCol" compact="0" outline="0" subtotalTop="0" showAll="0" defaultSubtotal="0">
      <items count="7">
        <item x="0"/>
        <item h="1" x="2"/>
        <item x="1"/>
        <item h="1" x="3"/>
        <item h="1" x="4"/>
        <item h="1" m="1" x="6"/>
        <item h="1"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46">
        <item x="22"/>
        <item x="21"/>
        <item x="25"/>
        <item x="2"/>
        <item x="14"/>
        <item m="1" x="45"/>
        <item x="0"/>
        <item x="4"/>
        <item x="17"/>
        <item x="3"/>
        <item x="15"/>
        <item x="12"/>
        <item x="29"/>
        <item m="1" x="43"/>
        <item x="19"/>
        <item x="30"/>
        <item x="6"/>
        <item x="33"/>
        <item x="16"/>
        <item x="35"/>
        <item x="26"/>
        <item x="18"/>
        <item x="34"/>
        <item x="7"/>
        <item x="11"/>
        <item x="20"/>
        <item x="41"/>
        <item x="36"/>
        <item x="24"/>
        <item m="1" x="44"/>
        <item x="38"/>
        <item x="13"/>
        <item x="31"/>
        <item x="28"/>
        <item x="9"/>
        <item x="8"/>
        <item x="10"/>
        <item x="5"/>
        <item x="37"/>
        <item x="40"/>
        <item x="23"/>
        <item x="32"/>
        <item x="27"/>
        <item x="39"/>
        <item x="42"/>
        <item x="1"/>
      </items>
    </pivotField>
    <pivotField axis="axisRow" compact="0" outline="0" subtotalTop="0" showAll="0" defaultSubtotal="0">
      <items count="50">
        <item x="23"/>
        <item x="21"/>
        <item x="25"/>
        <item x="2"/>
        <item x="14"/>
        <item m="1" x="49"/>
        <item x="28"/>
        <item x="4"/>
        <item x="27"/>
        <item x="33"/>
        <item x="36"/>
        <item x="15"/>
        <item x="31"/>
        <item x="0"/>
        <item x="12"/>
        <item x="3"/>
        <item x="6"/>
        <item x="16"/>
        <item x="22"/>
        <item x="19"/>
        <item x="32"/>
        <item x="38"/>
        <item x="7"/>
        <item m="1" x="46"/>
        <item x="39"/>
        <item x="26"/>
        <item x="20"/>
        <item m="1" x="47"/>
        <item x="17"/>
        <item m="1" x="48"/>
        <item x="37"/>
        <item x="34"/>
        <item x="8"/>
        <item x="13"/>
        <item x="43"/>
        <item x="30"/>
        <item x="9"/>
        <item x="11"/>
        <item x="18"/>
        <item x="42"/>
        <item x="10"/>
        <item x="5"/>
        <item x="40"/>
        <item m="1" x="45"/>
        <item x="24"/>
        <item x="41"/>
        <item x="35"/>
        <item x="29"/>
        <item x="44"/>
        <item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8">
    <field x="0"/>
    <field x="7"/>
    <field x="1"/>
    <field x="9"/>
    <field x="21"/>
    <field x="22"/>
    <field x="31"/>
    <field x="32"/>
  </rowFields>
  <rowItems count="18">
    <i>
      <x/>
      <x v="44"/>
      <x/>
      <x v="1"/>
      <x v="21"/>
      <x v="3"/>
      <x v="16"/>
      <x v="19"/>
    </i>
    <i r="1">
      <x v="46"/>
      <x/>
      <x v="1"/>
      <x v="35"/>
      <x v="9"/>
      <x v="25"/>
      <x v="26"/>
    </i>
    <i r="1">
      <x v="51"/>
      <x/>
      <x v="1"/>
      <x v="21"/>
      <x v="3"/>
      <x v="16"/>
      <x v="19"/>
    </i>
    <i r="1">
      <x v="74"/>
      <x/>
      <x v="1"/>
      <x v="24"/>
      <x v="2"/>
      <x v="18"/>
      <x v="18"/>
    </i>
    <i r="1">
      <x v="90"/>
      <x/>
      <x v="1"/>
      <x/>
      <x/>
      <x v="37"/>
      <x v="41"/>
    </i>
    <i r="1">
      <x v="102"/>
      <x/>
      <x v="1"/>
      <x v="26"/>
      <x v="8"/>
      <x v="32"/>
      <x v="31"/>
    </i>
    <i r="1">
      <x v="103"/>
      <x/>
      <x v="1"/>
      <x v="25"/>
      <x v="11"/>
      <x v="32"/>
      <x v="31"/>
    </i>
    <i r="1">
      <x v="104"/>
      <x/>
      <x v="1"/>
      <x v="22"/>
      <x v="5"/>
      <x v="35"/>
      <x v="32"/>
    </i>
    <i r="1">
      <x v="118"/>
      <x/>
      <x v="2"/>
      <x/>
      <x/>
      <x v="26"/>
      <x v="25"/>
    </i>
    <i r="1">
      <x v="120"/>
      <x/>
      <x v="1"/>
      <x v="16"/>
      <x v="29"/>
      <x v="32"/>
      <x v="31"/>
    </i>
    <i r="1">
      <x v="128"/>
      <x/>
      <x v="3"/>
      <x v="24"/>
      <x v="15"/>
      <x v="34"/>
      <x v="36"/>
    </i>
    <i r="1">
      <x v="132"/>
      <x/>
      <x v="3"/>
      <x v="3"/>
      <x v="15"/>
      <x v="34"/>
      <x v="36"/>
    </i>
    <i t="sum">
      <x/>
    </i>
    <i>
      <x v="1"/>
      <x v="57"/>
      <x/>
      <x v="1"/>
      <x v="1"/>
      <x v="1"/>
      <x v="23"/>
      <x v="22"/>
    </i>
    <i r="1">
      <x v="83"/>
      <x/>
      <x v="1"/>
      <x v="10"/>
      <x v="10"/>
      <x v="22"/>
      <x v="21"/>
    </i>
    <i r="1">
      <x v="84"/>
      <x/>
      <x v="1"/>
      <x v="26"/>
      <x v="12"/>
      <x v="25"/>
      <x v="24"/>
    </i>
    <i t="sum">
      <x v="1"/>
    </i>
    <i t="grand">
      <x/>
    </i>
  </rowItems>
  <colFields count="2">
    <field x="26"/>
    <field x="25"/>
  </colFields>
  <colItems count="7">
    <i>
      <x/>
      <x v="7"/>
    </i>
    <i r="1">
      <x v="8"/>
    </i>
    <i r="1">
      <x v="9"/>
    </i>
    <i r="1">
      <x v="10"/>
    </i>
    <i r="1">
      <x v="11"/>
    </i>
    <i>
      <x v="2"/>
      <x v="12"/>
    </i>
    <i t="grand">
      <x/>
    </i>
  </colItems>
  <dataFields count="1">
    <dataField name="VALUE" fld="24" baseField="20" baseItem="10" numFmtId="166"/>
  </dataFields>
  <formats count="128">
    <format dxfId="796">
      <pivotArea dataOnly="0" outline="0" fieldPosition="0">
        <references count="1">
          <reference field="9" count="0" sumSubtotal="1"/>
        </references>
      </pivotArea>
    </format>
    <format dxfId="795">
      <pivotArea dataOnly="0" outline="0" fieldPosition="0">
        <references count="1">
          <reference field="9" count="0" sumSubtotal="1"/>
        </references>
      </pivotArea>
    </format>
    <format dxfId="794">
      <pivotArea field="1" type="button" dataOnly="0" labelOnly="1" outline="0" axis="axisRow" fieldPosition="2"/>
    </format>
    <format dxfId="793">
      <pivotArea field="9" type="button" dataOnly="0" labelOnly="1" outline="0" axis="axisRow" fieldPosition="3"/>
    </format>
    <format dxfId="792">
      <pivotArea field="7" type="button" dataOnly="0" labelOnly="1" outline="0" axis="axisRow" fieldPosition="1"/>
    </format>
    <format dxfId="791">
      <pivotArea field="0" type="button" dataOnly="0" labelOnly="1" outline="0" axis="axisRow" fieldPosition="0"/>
    </format>
    <format dxfId="790">
      <pivotArea dataOnly="0" labelOnly="1" grandCol="1" outline="0" fieldPosition="0"/>
    </format>
    <format dxfId="789">
      <pivotArea field="1" type="button" dataOnly="0" labelOnly="1" outline="0" axis="axisRow" fieldPosition="2"/>
    </format>
    <format dxfId="788">
      <pivotArea field="9" type="button" dataOnly="0" labelOnly="1" outline="0" axis="axisRow" fieldPosition="3"/>
    </format>
    <format dxfId="787">
      <pivotArea field="7" type="button" dataOnly="0" labelOnly="1" outline="0" axis="axisRow" fieldPosition="1"/>
    </format>
    <format dxfId="786">
      <pivotArea field="0" type="button" dataOnly="0" labelOnly="1" outline="0" axis="axisRow" fieldPosition="0"/>
    </format>
    <format dxfId="785">
      <pivotArea dataOnly="0" labelOnly="1" grandCol="1" outline="0" fieldPosition="0"/>
    </format>
    <format dxfId="784">
      <pivotArea field="1" type="button" dataOnly="0" labelOnly="1" outline="0" axis="axisRow" fieldPosition="2"/>
    </format>
    <format dxfId="783">
      <pivotArea field="9" type="button" dataOnly="0" labelOnly="1" outline="0" axis="axisRow" fieldPosition="3"/>
    </format>
    <format dxfId="782">
      <pivotArea field="7" type="button" dataOnly="0" labelOnly="1" outline="0" axis="axisRow" fieldPosition="1"/>
    </format>
    <format dxfId="781">
      <pivotArea field="0" type="button" dataOnly="0" labelOnly="1" outline="0" axis="axisRow" fieldPosition="0"/>
    </format>
    <format dxfId="780">
      <pivotArea dataOnly="0" labelOnly="1" grandCol="1" outline="0" fieldPosition="0"/>
    </format>
    <format dxfId="779">
      <pivotArea field="21" type="button" dataOnly="0" labelOnly="1" outline="0" axis="axisRow" fieldPosition="4"/>
    </format>
    <format dxfId="778">
      <pivotArea field="21" type="button" dataOnly="0" labelOnly="1" outline="0" axis="axisRow" fieldPosition="4"/>
    </format>
    <format dxfId="777">
      <pivotArea type="all" dataOnly="0" outline="0" fieldPosition="0"/>
    </format>
    <format dxfId="776">
      <pivotArea type="all" dataOnly="0" outline="0" fieldPosition="0"/>
    </format>
    <format dxfId="775">
      <pivotArea outline="0" collapsedLevelsAreSubtotals="1" fieldPosition="0"/>
    </format>
    <format dxfId="774">
      <pivotArea type="origin" dataOnly="0" labelOnly="1" outline="0" fieldPosition="0"/>
    </format>
    <format dxfId="773">
      <pivotArea type="topRight" dataOnly="0" labelOnly="1" outline="0" fieldPosition="0"/>
    </format>
    <format dxfId="772">
      <pivotArea field="1" type="button" dataOnly="0" labelOnly="1" outline="0" axis="axisRow" fieldPosition="2"/>
    </format>
    <format dxfId="771">
      <pivotArea field="0" type="button" dataOnly="0" labelOnly="1" outline="0" axis="axisRow" fieldPosition="0"/>
    </format>
    <format dxfId="770">
      <pivotArea field="9" type="button" dataOnly="0" labelOnly="1" outline="0" axis="axisRow" fieldPosition="3"/>
    </format>
    <format dxfId="769">
      <pivotArea field="7" type="button" dataOnly="0" labelOnly="1" outline="0" axis="axisRow" fieldPosition="1"/>
    </format>
    <format dxfId="768">
      <pivotArea field="21" type="button" dataOnly="0" labelOnly="1" outline="0" axis="axisRow" fieldPosition="4"/>
    </format>
    <format dxfId="767">
      <pivotArea dataOnly="0" labelOnly="1" outline="0" fieldPosition="0">
        <references count="1">
          <reference field="1" count="0"/>
        </references>
      </pivotArea>
    </format>
    <format dxfId="766">
      <pivotArea dataOnly="0" labelOnly="1" grandRow="1" outline="0" fieldPosition="0"/>
    </format>
    <format dxfId="765">
      <pivotArea dataOnly="0" labelOnly="1" outline="0" fieldPosition="0">
        <references count="2">
          <reference field="0" count="0"/>
          <reference field="1" count="0" selected="0"/>
        </references>
      </pivotArea>
    </format>
    <format dxfId="764">
      <pivotArea dataOnly="0" labelOnly="1" outline="0" fieldPosition="0">
        <references count="2">
          <reference field="0" count="0" sumSubtotal="1"/>
          <reference field="1" count="0" selected="0"/>
        </references>
      </pivotArea>
    </format>
    <format dxfId="763">
      <pivotArea dataOnly="0" labelOnly="1" outline="0" fieldPosition="0">
        <references count="3">
          <reference field="0" count="1" selected="0">
            <x v="1"/>
          </reference>
          <reference field="1" count="0" selected="0"/>
          <reference field="9" count="0"/>
        </references>
      </pivotArea>
    </format>
    <format dxfId="762">
      <pivotArea dataOnly="0" labelOnly="1" grandCol="1" outline="0" fieldPosition="0"/>
    </format>
    <format dxfId="761">
      <pivotArea dataOnly="0" outline="0" fieldPosition="0">
        <references count="1">
          <reference field="9" count="0" sumSubtotal="1"/>
        </references>
      </pivotArea>
    </format>
    <format dxfId="760">
      <pivotArea grandCol="1" outline="0" collapsedLevelsAreSubtotals="1" fieldPosition="0"/>
    </format>
    <format dxfId="759">
      <pivotArea field="1" type="button" dataOnly="0" labelOnly="1" outline="0" axis="axisRow" fieldPosition="2"/>
    </format>
    <format dxfId="758">
      <pivotArea field="0" type="button" dataOnly="0" labelOnly="1" outline="0" axis="axisRow" fieldPosition="0"/>
    </format>
    <format dxfId="757">
      <pivotArea field="9" type="button" dataOnly="0" labelOnly="1" outline="0" axis="axisRow" fieldPosition="3"/>
    </format>
    <format dxfId="756">
      <pivotArea field="7" type="button" dataOnly="0" labelOnly="1" outline="0" axis="axisRow" fieldPosition="1"/>
    </format>
    <format dxfId="755">
      <pivotArea field="21" type="button" dataOnly="0" labelOnly="1" outline="0" axis="axisRow" fieldPosition="4"/>
    </format>
    <format dxfId="754">
      <pivotArea dataOnly="0" labelOnly="1" grandCol="1" outline="0" fieldPosition="0"/>
    </format>
    <format dxfId="753">
      <pivotArea field="1" type="button" dataOnly="0" labelOnly="1" outline="0" axis="axisRow" fieldPosition="2"/>
    </format>
    <format dxfId="752">
      <pivotArea field="0" type="button" dataOnly="0" labelOnly="1" outline="0" axis="axisRow" fieldPosition="0"/>
    </format>
    <format dxfId="751">
      <pivotArea field="9" type="button" dataOnly="0" labelOnly="1" outline="0" axis="axisRow" fieldPosition="3"/>
    </format>
    <format dxfId="750">
      <pivotArea field="7" type="button" dataOnly="0" labelOnly="1" outline="0" axis="axisRow" fieldPosition="1"/>
    </format>
    <format dxfId="749">
      <pivotArea field="21" type="button" dataOnly="0" labelOnly="1" outline="0" axis="axisRow" fieldPosition="4"/>
    </format>
    <format dxfId="748">
      <pivotArea dataOnly="0" labelOnly="1" grandCol="1" outline="0" fieldPosition="0"/>
    </format>
    <format dxfId="747">
      <pivotArea field="1" type="button" dataOnly="0" labelOnly="1" outline="0" axis="axisRow" fieldPosition="2"/>
    </format>
    <format dxfId="746">
      <pivotArea field="0" type="button" dataOnly="0" labelOnly="1" outline="0" axis="axisRow" fieldPosition="0"/>
    </format>
    <format dxfId="745">
      <pivotArea field="9" type="button" dataOnly="0" labelOnly="1" outline="0" axis="axisRow" fieldPosition="3"/>
    </format>
    <format dxfId="744">
      <pivotArea field="7" type="button" dataOnly="0" labelOnly="1" outline="0" axis="axisRow" fieldPosition="1"/>
    </format>
    <format dxfId="743">
      <pivotArea field="21" type="button" dataOnly="0" labelOnly="1" outline="0" axis="axisRow" fieldPosition="4"/>
    </format>
    <format dxfId="742">
      <pivotArea dataOnly="0" labelOnly="1" grandCol="1" outline="0" fieldPosition="0"/>
    </format>
    <format dxfId="741">
      <pivotArea field="1" type="button" dataOnly="0" labelOnly="1" outline="0" axis="axisRow" fieldPosition="2"/>
    </format>
    <format dxfId="740">
      <pivotArea field="0" type="button" dataOnly="0" labelOnly="1" outline="0" axis="axisRow" fieldPosition="0"/>
    </format>
    <format dxfId="739">
      <pivotArea field="9" type="button" dataOnly="0" labelOnly="1" outline="0" axis="axisRow" fieldPosition="3"/>
    </format>
    <format dxfId="738">
      <pivotArea field="7" type="button" dataOnly="0" labelOnly="1" outline="0" axis="axisRow" fieldPosition="1"/>
    </format>
    <format dxfId="737">
      <pivotArea field="21" type="button" dataOnly="0" labelOnly="1" outline="0" axis="axisRow" fieldPosition="4"/>
    </format>
    <format dxfId="736">
      <pivotArea dataOnly="0" labelOnly="1" grandCol="1" outline="0" fieldPosition="0"/>
    </format>
    <format dxfId="735">
      <pivotArea field="1" type="button" dataOnly="0" labelOnly="1" outline="0" axis="axisRow" fieldPosition="2"/>
    </format>
    <format dxfId="734">
      <pivotArea field="0" type="button" dataOnly="0" labelOnly="1" outline="0" axis="axisRow" fieldPosition="0"/>
    </format>
    <format dxfId="733">
      <pivotArea field="9" type="button" dataOnly="0" labelOnly="1" outline="0" axis="axisRow" fieldPosition="3"/>
    </format>
    <format dxfId="732">
      <pivotArea field="7" type="button" dataOnly="0" labelOnly="1" outline="0" axis="axisRow" fieldPosition="1"/>
    </format>
    <format dxfId="731">
      <pivotArea field="21" type="button" dataOnly="0" labelOnly="1" outline="0" axis="axisRow" fieldPosition="4"/>
    </format>
    <format dxfId="730">
      <pivotArea dataOnly="0" labelOnly="1" grandCol="1" outline="0" fieldPosition="0"/>
    </format>
    <format dxfId="729">
      <pivotArea outline="0" fieldPosition="0">
        <references count="1">
          <reference field="4294967294" count="1">
            <x v="0"/>
          </reference>
        </references>
      </pivotArea>
    </format>
    <format dxfId="728">
      <pivotArea dataOnly="0" outline="0" fieldPosition="0">
        <references count="1">
          <reference field="9" count="1">
            <x v="0"/>
          </reference>
        </references>
      </pivotArea>
    </format>
    <format dxfId="727">
      <pivotArea dataOnly="0" outline="0" fieldPosition="0">
        <references count="1">
          <reference field="9" count="1">
            <x v="1"/>
          </reference>
        </references>
      </pivotArea>
    </format>
    <format dxfId="726">
      <pivotArea dataOnly="0" outline="0" fieldPosition="0">
        <references count="1">
          <reference field="9" count="1">
            <x v="3"/>
          </reference>
        </references>
      </pivotArea>
    </format>
    <format dxfId="725">
      <pivotArea dataOnly="0" outline="0" fieldPosition="0">
        <references count="1">
          <reference field="9" count="1">
            <x v="2"/>
          </reference>
        </references>
      </pivotArea>
    </format>
    <format dxfId="724">
      <pivotArea outline="0" fieldPosition="0">
        <references count="5">
          <reference field="0" count="1" selected="0">
            <x v="0"/>
          </reference>
          <reference field="1" count="0" selected="0"/>
          <reference field="7" count="4" selected="0">
            <x v="26"/>
            <x v="27"/>
            <x v="30"/>
            <x v="31"/>
          </reference>
          <reference field="9" count="2" selected="0">
            <x v="0"/>
            <x v="1"/>
          </reference>
          <reference field="21" count="2" selected="0">
            <x v="8"/>
            <x v="14"/>
          </reference>
        </references>
      </pivotArea>
    </format>
    <format dxfId="723">
      <pivotArea dataOnly="0" labelOnly="1" outline="0" offset="IV7:IV11" fieldPosition="0">
        <references count="1">
          <reference field="0" count="1">
            <x v="0"/>
          </reference>
        </references>
      </pivotArea>
    </format>
    <format dxfId="722">
      <pivotArea dataOnly="0" labelOnly="1" outline="0" fieldPosition="0">
        <references count="2">
          <reference field="0" count="1" selected="0">
            <x v="0"/>
          </reference>
          <reference field="7" count="4">
            <x v="26"/>
            <x v="27"/>
            <x v="30"/>
            <x v="31"/>
          </reference>
        </references>
      </pivotArea>
    </format>
    <format dxfId="721">
      <pivotArea dataOnly="0" labelOnly="1" outline="0" offset="IV7:IV11" fieldPosition="0">
        <references count="3">
          <reference field="0" count="1" selected="0">
            <x v="0"/>
          </reference>
          <reference field="1" count="0"/>
          <reference field="7" count="1" selected="0">
            <x v="19"/>
          </reference>
        </references>
      </pivotArea>
    </format>
    <format dxfId="720">
      <pivotArea dataOnly="0" labelOnly="1" outline="0" offset="IV256" fieldPosition="0">
        <references count="4">
          <reference field="0" count="1" selected="0">
            <x v="0"/>
          </reference>
          <reference field="1" count="0" selected="0"/>
          <reference field="7" count="1" selected="0">
            <x v="24"/>
          </reference>
          <reference field="9" count="1">
            <x v="0"/>
          </reference>
        </references>
      </pivotArea>
    </format>
    <format dxfId="719">
      <pivotArea dataOnly="0" labelOnly="1" outline="0" fieldPosition="0">
        <references count="4">
          <reference field="0" count="1" selected="0">
            <x v="0"/>
          </reference>
          <reference field="1" count="0" selected="0"/>
          <reference field="7" count="1" selected="0">
            <x v="27"/>
          </reference>
          <reference field="9" count="1">
            <x v="1"/>
          </reference>
        </references>
      </pivotArea>
    </format>
    <format dxfId="718">
      <pivotArea dataOnly="0" labelOnly="1" outline="0" fieldPosition="0">
        <references count="4">
          <reference field="0" count="1" selected="0">
            <x v="0"/>
          </reference>
          <reference field="1" count="0" selected="0"/>
          <reference field="7" count="1" selected="0">
            <x v="30"/>
          </reference>
          <reference field="9" count="2">
            <x v="0"/>
            <x v="1"/>
          </reference>
        </references>
      </pivotArea>
    </format>
    <format dxfId="717">
      <pivotArea dataOnly="0" labelOnly="1" outline="0" fieldPosition="0">
        <references count="5">
          <reference field="0" count="1" selected="0">
            <x v="0"/>
          </reference>
          <reference field="1" count="0" selected="0"/>
          <reference field="7" count="1" selected="0">
            <x v="26"/>
          </reference>
          <reference field="9" count="1" selected="0">
            <x v="0"/>
          </reference>
          <reference field="21" count="1">
            <x v="14"/>
          </reference>
        </references>
      </pivotArea>
    </format>
    <format dxfId="716">
      <pivotArea dataOnly="0" labelOnly="1" outline="0" fieldPosition="0">
        <references count="5">
          <reference field="0" count="1" selected="0">
            <x v="0"/>
          </reference>
          <reference field="1" count="0" selected="0"/>
          <reference field="7" count="1" selected="0">
            <x v="27"/>
          </reference>
          <reference field="9" count="1" selected="0">
            <x v="1"/>
          </reference>
          <reference field="21" count="1">
            <x v="8"/>
          </reference>
        </references>
      </pivotArea>
    </format>
    <format dxfId="715">
      <pivotArea dataOnly="0" labelOnly="1" outline="0" fieldPosition="0">
        <references count="5">
          <reference field="0" count="1" selected="0">
            <x v="0"/>
          </reference>
          <reference field="1" count="0" selected="0"/>
          <reference field="7" count="1" selected="0">
            <x v="30"/>
          </reference>
          <reference field="9" count="1" selected="0">
            <x v="0"/>
          </reference>
          <reference field="21" count="1">
            <x v="14"/>
          </reference>
        </references>
      </pivotArea>
    </format>
    <format dxfId="714">
      <pivotArea dataOnly="0" labelOnly="1" outline="0" fieldPosition="0">
        <references count="5">
          <reference field="0" count="1" selected="0">
            <x v="0"/>
          </reference>
          <reference field="1" count="0" selected="0"/>
          <reference field="7" count="1" selected="0">
            <x v="30"/>
          </reference>
          <reference field="9" count="1" selected="0">
            <x v="1"/>
          </reference>
          <reference field="21" count="1">
            <x v="14"/>
          </reference>
        </references>
      </pivotArea>
    </format>
    <format dxfId="713">
      <pivotArea dataOnly="0" labelOnly="1" outline="0" fieldPosition="0">
        <references count="5">
          <reference field="0" count="1" selected="0">
            <x v="0"/>
          </reference>
          <reference field="1" count="0" selected="0"/>
          <reference field="7" count="1" selected="0">
            <x v="31"/>
          </reference>
          <reference field="9" count="1" selected="0">
            <x v="1"/>
          </reference>
          <reference field="21" count="1">
            <x v="8"/>
          </reference>
        </references>
      </pivotArea>
    </format>
    <format dxfId="712">
      <pivotArea field="0" grandCol="1" outline="0" axis="axisRow" fieldPosition="0">
        <references count="1">
          <reference field="0" count="1" selected="0" sumSubtotal="1">
            <x v="0"/>
          </reference>
        </references>
      </pivotArea>
    </format>
    <format dxfId="711">
      <pivotArea field="0" grandCol="1" outline="0" axis="axisRow" fieldPosition="0">
        <references count="1">
          <reference field="0" count="1" selected="0" sumSubtotal="1">
            <x v="0"/>
          </reference>
        </references>
      </pivotArea>
    </format>
    <format dxfId="710">
      <pivotArea outline="0" fieldPosition="0">
        <references count="1">
          <reference field="0" count="1" selected="0" sumSubtotal="1">
            <x v="0"/>
          </reference>
        </references>
      </pivotArea>
    </format>
    <format dxfId="709">
      <pivotArea outline="0" fieldPosition="0">
        <references count="1">
          <reference field="0" count="1" selected="0" sumSubtotal="1">
            <x v="0"/>
          </reference>
        </references>
      </pivotArea>
    </format>
    <format dxfId="708">
      <pivotArea field="0" grandCol="1" outline="0" axis="axisRow" fieldPosition="0">
        <references count="1">
          <reference field="0" count="1" selected="0" sumSubtotal="1">
            <x v="1"/>
          </reference>
        </references>
      </pivotArea>
    </format>
    <format dxfId="707">
      <pivotArea field="0" grandCol="1" outline="0" axis="axisRow" fieldPosition="0">
        <references count="1">
          <reference field="0" count="1" selected="0" sumSubtotal="1">
            <x v="1"/>
          </reference>
        </references>
      </pivotArea>
    </format>
    <format dxfId="706">
      <pivotArea outline="0" fieldPosition="0">
        <references count="7">
          <reference field="0" count="1" selected="0">
            <x v="0"/>
          </reference>
          <reference field="1" count="1" selected="0">
            <x v="1"/>
          </reference>
          <reference field="7" count="22" selected="0">
            <x v="20"/>
            <x v="22"/>
            <x v="23"/>
            <x v="24"/>
            <x v="26"/>
            <x v="27"/>
            <x v="30"/>
            <x v="31"/>
            <x v="32"/>
            <x v="33"/>
            <x v="35"/>
            <x v="36"/>
            <x v="37"/>
            <x v="39"/>
            <x v="53"/>
            <x v="54"/>
            <x v="60"/>
            <x v="62"/>
            <x v="64"/>
            <x v="66"/>
            <x v="68"/>
            <x v="72"/>
          </reference>
          <reference field="9" count="4" selected="0">
            <x v="0"/>
            <x v="1"/>
            <x v="2"/>
            <x v="3"/>
          </reference>
          <reference field="21" count="18" selected="0">
            <x v="0"/>
            <x v="4"/>
            <x v="8"/>
            <x v="9"/>
            <x v="11"/>
            <x v="12"/>
            <x v="13"/>
            <x v="14"/>
            <x v="17"/>
            <x v="19"/>
            <x v="20"/>
            <x v="21"/>
            <x v="22"/>
            <x v="24"/>
            <x v="26"/>
            <x v="27"/>
            <x v="28"/>
            <x v="30"/>
          </reference>
          <reference field="25" count="6" selected="0">
            <x v="6"/>
            <x v="7"/>
            <x v="8"/>
            <x v="9"/>
            <x v="10"/>
            <x v="11"/>
          </reference>
          <reference field="26" count="0" selected="0"/>
        </references>
      </pivotArea>
    </format>
    <format dxfId="705">
      <pivotArea outline="0" fieldPosition="0">
        <references count="7">
          <reference field="0" count="1" selected="0">
            <x v="0"/>
          </reference>
          <reference field="1" count="1" selected="0">
            <x v="1"/>
          </reference>
          <reference field="7" count="1" selected="0">
            <x v="62"/>
          </reference>
          <reference field="9" count="1" selected="0">
            <x v="1"/>
          </reference>
          <reference field="21" count="1" selected="0">
            <x v="9"/>
          </reference>
          <reference field="25" count="2" selected="0">
            <x v="7"/>
            <x v="8"/>
          </reference>
          <reference field="26" count="0" selected="0"/>
        </references>
      </pivotArea>
    </format>
    <format dxfId="704">
      <pivotArea outline="0" fieldPosition="0">
        <references count="7">
          <reference field="0" count="1" selected="0">
            <x v="0"/>
          </reference>
          <reference field="1" count="1" selected="0">
            <x v="1"/>
          </reference>
          <reference field="7" count="24" selected="0">
            <x v="20"/>
            <x v="22"/>
            <x v="23"/>
            <x v="24"/>
            <x v="26"/>
            <x v="27"/>
            <x v="29"/>
            <x v="30"/>
            <x v="31"/>
            <x v="32"/>
            <x v="33"/>
            <x v="35"/>
            <x v="36"/>
            <x v="37"/>
            <x v="38"/>
            <x v="39"/>
            <x v="53"/>
            <x v="54"/>
            <x v="60"/>
            <x v="62"/>
            <x v="64"/>
            <x v="66"/>
            <x v="68"/>
            <x v="72"/>
          </reference>
          <reference field="9" count="0" selected="0"/>
          <reference field="21" count="19" selected="0">
            <x v="0"/>
            <x v="4"/>
            <x v="8"/>
            <x v="11"/>
            <x v="12"/>
            <x v="13"/>
            <x v="14"/>
            <x v="16"/>
            <x v="17"/>
            <x v="19"/>
            <x v="20"/>
            <x v="21"/>
            <x v="22"/>
            <x v="24"/>
            <x v="26"/>
            <x v="27"/>
            <x v="28"/>
            <x v="29"/>
            <x v="30"/>
          </reference>
          <reference field="25" count="6" selected="0">
            <x v="6"/>
            <x v="7"/>
            <x v="8"/>
            <x v="9"/>
            <x v="10"/>
            <x v="11"/>
          </reference>
          <reference field="26" count="0" selected="0"/>
        </references>
      </pivotArea>
    </format>
    <format dxfId="703">
      <pivotArea outline="0" fieldPosition="0">
        <references count="7">
          <reference field="0" count="1" selected="0">
            <x v="1"/>
          </reference>
          <reference field="1" count="1" selected="0">
            <x v="1"/>
          </reference>
          <reference field="7" count="1" selected="0">
            <x v="0"/>
          </reference>
          <reference field="9" count="1" selected="0">
            <x v="1"/>
          </reference>
          <reference field="21" count="1" selected="0">
            <x v="7"/>
          </reference>
          <reference field="25" count="7" selected="0">
            <x v="5"/>
            <x v="6"/>
            <x v="7"/>
            <x v="8"/>
            <x v="9"/>
            <x v="10"/>
            <x v="11"/>
          </reference>
          <reference field="26" count="0" selected="0"/>
        </references>
      </pivotArea>
    </format>
    <format dxfId="702">
      <pivotArea outline="0" fieldPosition="0">
        <references count="7">
          <reference field="0" count="1" selected="0">
            <x v="1"/>
          </reference>
          <reference field="1" count="1" selected="0">
            <x v="1"/>
          </reference>
          <reference field="7" count="19" selected="0">
            <x v="1"/>
            <x v="2"/>
            <x v="3"/>
            <x v="4"/>
            <x v="6"/>
            <x v="7"/>
            <x v="8"/>
            <x v="9"/>
            <x v="10"/>
            <x v="12"/>
            <x v="14"/>
            <x v="17"/>
            <x v="49"/>
            <x v="69"/>
            <x v="71"/>
            <x v="73"/>
            <x v="76"/>
            <x v="80"/>
            <x v="81"/>
          </reference>
          <reference field="9" count="3" selected="0">
            <x v="0"/>
            <x v="1"/>
            <x v="3"/>
          </reference>
          <reference field="21" count="9" selected="0">
            <x v="0"/>
            <x v="1"/>
            <x v="2"/>
            <x v="3"/>
            <x v="4"/>
            <x v="6"/>
            <x v="7"/>
            <x v="8"/>
            <x v="32"/>
          </reference>
          <reference field="25" count="7" selected="0">
            <x v="5"/>
            <x v="6"/>
            <x v="7"/>
            <x v="8"/>
            <x v="9"/>
            <x v="10"/>
            <x v="11"/>
          </reference>
          <reference field="26" count="0" selected="0"/>
        </references>
      </pivotArea>
    </format>
    <format dxfId="701">
      <pivotArea dataOnly="0" outline="0" fieldPosition="0">
        <references count="1">
          <reference field="9" count="1">
            <x v="1"/>
          </reference>
        </references>
      </pivotArea>
    </format>
    <format dxfId="700">
      <pivotArea dataOnly="0" outline="0" fieldPosition="0">
        <references count="1">
          <reference field="9" count="1">
            <x v="1"/>
          </reference>
        </references>
      </pivotArea>
    </format>
    <format dxfId="699">
      <pivotArea dataOnly="0" outline="0" fieldPosition="0">
        <references count="1">
          <reference field="9" count="1">
            <x v="2"/>
          </reference>
        </references>
      </pivotArea>
    </format>
    <format dxfId="698">
      <pivotArea dataOnly="0" outline="0" fieldPosition="0">
        <references count="1">
          <reference field="9" count="1">
            <x v="3"/>
          </reference>
        </references>
      </pivotArea>
    </format>
    <format dxfId="697">
      <pivotArea outline="0" fieldPosition="0">
        <references count="7">
          <reference field="0" count="1" selected="0">
            <x v="1"/>
          </reference>
          <reference field="1" count="0" selected="0"/>
          <reference field="7" count="1" selected="0">
            <x v="0"/>
          </reference>
          <reference field="9" count="1" selected="0">
            <x v="1"/>
          </reference>
          <reference field="21" count="1" selected="0">
            <x v="7"/>
          </reference>
          <reference field="25" count="2" selected="0">
            <x v="7"/>
            <x v="8"/>
          </reference>
          <reference field="26" count="0" selected="0"/>
        </references>
      </pivotArea>
    </format>
    <format dxfId="696">
      <pivotArea outline="0" fieldPosition="0">
        <references count="7">
          <reference field="0" count="1" selected="0">
            <x v="1"/>
          </reference>
          <reference field="1" count="0" selected="0"/>
          <reference field="7" count="8" selected="0">
            <x v="1"/>
            <x v="2"/>
            <x v="3"/>
            <x v="4"/>
            <x v="6"/>
            <x v="7"/>
            <x v="8"/>
            <x v="9"/>
          </reference>
          <reference field="9" count="2" selected="0">
            <x v="0"/>
            <x v="1"/>
          </reference>
          <reference field="21" count="7" selected="0">
            <x v="0"/>
            <x v="2"/>
            <x v="3"/>
            <x v="4"/>
            <x v="6"/>
            <x v="7"/>
            <x v="8"/>
          </reference>
          <reference field="25" count="2" selected="0">
            <x v="7"/>
            <x v="8"/>
          </reference>
          <reference field="26" count="0" selected="0"/>
        </references>
      </pivotArea>
    </format>
    <format dxfId="695">
      <pivotArea dataOnly="0" outline="0" fieldPosition="0">
        <references count="1">
          <reference field="7" count="1">
            <x v="51"/>
          </reference>
        </references>
      </pivotArea>
    </format>
    <format dxfId="694">
      <pivotArea dataOnly="0" outline="0" fieldPosition="0">
        <references count="1">
          <reference field="7" count="1">
            <x v="44"/>
          </reference>
        </references>
      </pivotArea>
    </format>
    <format dxfId="693">
      <pivotArea dataOnly="0" outline="0" fieldPosition="0">
        <references count="1">
          <reference field="7" count="1">
            <x v="82"/>
          </reference>
        </references>
      </pivotArea>
    </format>
    <format dxfId="692">
      <pivotArea outline="0" fieldPosition="0">
        <references count="5">
          <reference field="0" count="1" selected="0">
            <x v="0"/>
          </reference>
          <reference field="1" count="0" selected="0"/>
          <reference field="7" count="11" selected="0">
            <x v="43"/>
            <x v="44"/>
            <x v="45"/>
            <x v="46"/>
            <x v="51"/>
            <x v="52"/>
            <x v="74"/>
            <x v="82"/>
            <x v="87"/>
            <x v="90"/>
            <x v="100"/>
          </reference>
          <reference field="9" count="2" selected="0">
            <x v="1"/>
            <x v="3"/>
          </reference>
          <reference field="21" count="7" selected="0">
            <x v="0"/>
            <x v="1"/>
            <x v="2"/>
            <x v="21"/>
            <x v="24"/>
            <x v="25"/>
            <x v="35"/>
          </reference>
        </references>
      </pivotArea>
    </format>
    <format dxfId="691">
      <pivotArea dataOnly="0" labelOnly="1" outline="0" fieldPosition="0">
        <references count="2">
          <reference field="0" count="1" selected="0">
            <x v="0"/>
          </reference>
          <reference field="7" count="11">
            <x v="43"/>
            <x v="44"/>
            <x v="45"/>
            <x v="46"/>
            <x v="51"/>
            <x v="52"/>
            <x v="74"/>
            <x v="82"/>
            <x v="87"/>
            <x v="90"/>
            <x v="100"/>
          </reference>
        </references>
      </pivotArea>
    </format>
    <format dxfId="690">
      <pivotArea dataOnly="0" labelOnly="1" outline="0" offset="IV2:IV12" fieldPosition="0">
        <references count="3">
          <reference field="0" count="1" selected="0">
            <x v="0"/>
          </reference>
          <reference field="1" count="0"/>
          <reference field="7" count="1" selected="0">
            <x v="42"/>
          </reference>
        </references>
      </pivotArea>
    </format>
    <format dxfId="689">
      <pivotArea dataOnly="0" labelOnly="1" outline="0" offset="IV2:IV256" fieldPosition="0">
        <references count="4">
          <reference field="0" count="1" selected="0">
            <x v="0"/>
          </reference>
          <reference field="1" count="0" selected="0"/>
          <reference field="7" count="1" selected="0">
            <x v="42"/>
          </reference>
          <reference field="9" count="1">
            <x v="1"/>
          </reference>
        </references>
      </pivotArea>
    </format>
    <format dxfId="688">
      <pivotArea dataOnly="0" labelOnly="1" outline="0" fieldPosition="0">
        <references count="4">
          <reference field="0" count="1" selected="0">
            <x v="0"/>
          </reference>
          <reference field="1" count="0" selected="0"/>
          <reference field="7" count="1" selected="0">
            <x v="90"/>
          </reference>
          <reference field="9" count="1">
            <x v="3"/>
          </reference>
        </references>
      </pivotArea>
    </format>
    <format dxfId="687">
      <pivotArea dataOnly="0" labelOnly="1" outline="0" fieldPosition="0">
        <references count="4">
          <reference field="0" count="1" selected="0">
            <x v="0"/>
          </reference>
          <reference field="1" count="0" selected="0"/>
          <reference field="7" count="1" selected="0">
            <x v="100"/>
          </reference>
          <reference field="9" count="1">
            <x v="1"/>
          </reference>
        </references>
      </pivotArea>
    </format>
    <format dxfId="686">
      <pivotArea dataOnly="0" labelOnly="1" outline="0" fieldPosition="0">
        <references count="5">
          <reference field="0" count="1" selected="0">
            <x v="0"/>
          </reference>
          <reference field="1" count="0" selected="0"/>
          <reference field="7" count="1" selected="0">
            <x v="43"/>
          </reference>
          <reference field="9" count="1" selected="0">
            <x v="1"/>
          </reference>
          <reference field="21" count="1">
            <x v="25"/>
          </reference>
        </references>
      </pivotArea>
    </format>
    <format dxfId="685">
      <pivotArea dataOnly="0" labelOnly="1" outline="0" fieldPosition="0">
        <references count="5">
          <reference field="0" count="1" selected="0">
            <x v="0"/>
          </reference>
          <reference field="1" count="0" selected="0"/>
          <reference field="7" count="1" selected="0">
            <x v="44"/>
          </reference>
          <reference field="9" count="1" selected="0">
            <x v="1"/>
          </reference>
          <reference field="21" count="1">
            <x v="21"/>
          </reference>
        </references>
      </pivotArea>
    </format>
    <format dxfId="684">
      <pivotArea dataOnly="0" labelOnly="1" outline="0" fieldPosition="0">
        <references count="5">
          <reference field="0" count="1" selected="0">
            <x v="0"/>
          </reference>
          <reference field="1" count="0" selected="0"/>
          <reference field="7" count="1" selected="0">
            <x v="45"/>
          </reference>
          <reference field="9" count="1" selected="0">
            <x v="1"/>
          </reference>
          <reference field="21" count="1">
            <x v="2"/>
          </reference>
        </references>
      </pivotArea>
    </format>
    <format dxfId="683">
      <pivotArea dataOnly="0" labelOnly="1" outline="0" fieldPosition="0">
        <references count="5">
          <reference field="0" count="1" selected="0">
            <x v="0"/>
          </reference>
          <reference field="1" count="0" selected="0"/>
          <reference field="7" count="1" selected="0">
            <x v="46"/>
          </reference>
          <reference field="9" count="1" selected="0">
            <x v="1"/>
          </reference>
          <reference field="21" count="1">
            <x v="35"/>
          </reference>
        </references>
      </pivotArea>
    </format>
    <format dxfId="682">
      <pivotArea dataOnly="0" labelOnly="1" outline="0" fieldPosition="0">
        <references count="5">
          <reference field="0" count="1" selected="0">
            <x v="0"/>
          </reference>
          <reference field="1" count="0" selected="0"/>
          <reference field="7" count="1" selected="0">
            <x v="51"/>
          </reference>
          <reference field="9" count="1" selected="0">
            <x v="1"/>
          </reference>
          <reference field="21" count="1">
            <x v="21"/>
          </reference>
        </references>
      </pivotArea>
    </format>
    <format dxfId="681">
      <pivotArea dataOnly="0" labelOnly="1" outline="0" fieldPosition="0">
        <references count="5">
          <reference field="0" count="1" selected="0">
            <x v="0"/>
          </reference>
          <reference field="1" count="0" selected="0"/>
          <reference field="7" count="1" selected="0">
            <x v="52"/>
          </reference>
          <reference field="9" count="1" selected="0">
            <x v="1"/>
          </reference>
          <reference field="21" count="1">
            <x v="21"/>
          </reference>
        </references>
      </pivotArea>
    </format>
    <format dxfId="680">
      <pivotArea dataOnly="0" labelOnly="1" outline="0" fieldPosition="0">
        <references count="5">
          <reference field="0" count="1" selected="0">
            <x v="0"/>
          </reference>
          <reference field="1" count="0" selected="0"/>
          <reference field="7" count="1" selected="0">
            <x v="74"/>
          </reference>
          <reference field="9" count="1" selected="0">
            <x v="1"/>
          </reference>
          <reference field="21" count="1">
            <x v="24"/>
          </reference>
        </references>
      </pivotArea>
    </format>
    <format dxfId="679">
      <pivotArea dataOnly="0" labelOnly="1" outline="0" fieldPosition="0">
        <references count="5">
          <reference field="0" count="1" selected="0">
            <x v="0"/>
          </reference>
          <reference field="1" count="0" selected="0"/>
          <reference field="7" count="1" selected="0">
            <x v="82"/>
          </reference>
          <reference field="9" count="1" selected="0">
            <x v="1"/>
          </reference>
          <reference field="21" count="1">
            <x v="2"/>
          </reference>
        </references>
      </pivotArea>
    </format>
    <format dxfId="678">
      <pivotArea dataOnly="0" labelOnly="1" outline="0" fieldPosition="0">
        <references count="5">
          <reference field="0" count="1" selected="0">
            <x v="0"/>
          </reference>
          <reference field="1" count="0" selected="0"/>
          <reference field="7" count="1" selected="0">
            <x v="87"/>
          </reference>
          <reference field="9" count="1" selected="0">
            <x v="1"/>
          </reference>
          <reference field="21" count="1">
            <x v="1"/>
          </reference>
        </references>
      </pivotArea>
    </format>
    <format dxfId="677">
      <pivotArea dataOnly="0" labelOnly="1" outline="0" fieldPosition="0">
        <references count="5">
          <reference field="0" count="1" selected="0">
            <x v="0"/>
          </reference>
          <reference field="1" count="0" selected="0"/>
          <reference field="7" count="1" selected="0">
            <x v="90"/>
          </reference>
          <reference field="9" count="1" selected="0">
            <x v="3"/>
          </reference>
          <reference field="21" count="1">
            <x v="0"/>
          </reference>
        </references>
      </pivotArea>
    </format>
    <format dxfId="676">
      <pivotArea dataOnly="0" labelOnly="1" outline="0" fieldPosition="0">
        <references count="5">
          <reference field="0" count="1" selected="0">
            <x v="0"/>
          </reference>
          <reference field="1" count="0" selected="0"/>
          <reference field="7" count="1" selected="0">
            <x v="100"/>
          </reference>
          <reference field="9" count="1" selected="0">
            <x v="1"/>
          </reference>
          <reference field="21" count="1">
            <x v="0"/>
          </reference>
        </references>
      </pivotArea>
    </format>
    <format dxfId="675">
      <pivotArea field="22" type="button" dataOnly="0" labelOnly="1" outline="0" axis="axisRow" fieldPosition="5"/>
    </format>
    <format dxfId="674">
      <pivotArea field="0" grandCol="1" outline="0" axis="axisRow" fieldPosition="0">
        <references count="1">
          <reference field="0" count="1" selected="0" sumSubtotal="1">
            <x v="0"/>
          </reference>
        </references>
      </pivotArea>
    </format>
    <format dxfId="673">
      <pivotArea field="0" grandCol="1" outline="0" axis="axisRow" fieldPosition="0">
        <references count="1">
          <reference field="0" count="1" selected="0" sumSubtotal="1">
            <x v="1"/>
          </reference>
        </references>
      </pivotArea>
    </format>
    <format dxfId="672">
      <pivotArea field="0" grandCol="1" outline="0" axis="axisRow" fieldPosition="0">
        <references count="1">
          <reference field="0" count="1" selected="0" sumSubtotal="1">
            <x v="0"/>
          </reference>
        </references>
      </pivotArea>
    </format>
    <format dxfId="671">
      <pivotArea field="0" grandCol="1" outline="0" axis="axisRow" fieldPosition="0">
        <references count="1">
          <reference field="0" count="1" selected="0" sumSubtotal="1">
            <x v="1"/>
          </reference>
        </references>
      </pivotArea>
    </format>
    <format dxfId="670">
      <pivotArea field="31" type="button" dataOnly="0" labelOnly="1" outline="0" axis="axisRow" fieldPosition="6"/>
    </format>
    <format dxfId="669">
      <pivotArea field="32" type="button" dataOnly="0" labelOnly="1" outline="0" axis="axisRow" fieldPosition="7"/>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209D16-0C11-4E8A-B2B5-FFC18B5D6C92}" name="PivotTable3"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T30" firstHeaderRow="1" firstDataRow="3" firstDataCol="9"/>
  <pivotFields count="58">
    <pivotField axis="axisRow" compact="0" outline="0" showAll="0" sumSubtotal="1">
      <items count="6">
        <item x="1"/>
        <item x="0"/>
        <item x="4"/>
        <item x="2"/>
        <item x="3"/>
        <item t="sum"/>
      </items>
    </pivotField>
    <pivotField axis="axisRow" compact="0" outline="0" multipleItemSelectionAllowed="1" showAll="0" defaultSubtotal="0">
      <items count="4">
        <item h="1" x="1"/>
        <item x="0"/>
        <item h="1" x="2"/>
        <item m="1" x="3"/>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33">
        <item x="1"/>
        <item x="15"/>
        <item x="3"/>
        <item x="4"/>
        <item x="23"/>
        <item x="16"/>
        <item x="19"/>
        <item x="13"/>
        <item x="5"/>
        <item x="10"/>
        <item x="8"/>
        <item x="12"/>
        <item x="18"/>
        <item x="21"/>
        <item x="22"/>
        <item x="57"/>
        <item x="6"/>
        <item x="20"/>
        <item x="7"/>
        <item x="24"/>
        <item x="25"/>
        <item x="26"/>
        <item x="27"/>
        <item x="28"/>
        <item x="29"/>
        <item x="30"/>
        <item x="60"/>
        <item x="32"/>
        <item x="35"/>
        <item x="36"/>
        <item x="31"/>
        <item x="33"/>
        <item x="37"/>
        <item x="38"/>
        <item x="39"/>
        <item x="40"/>
        <item x="61"/>
        <item x="41"/>
        <item x="42"/>
        <item x="43"/>
        <item x="44"/>
        <item m="1" x="132"/>
        <item x="45"/>
        <item x="46"/>
        <item x="47"/>
        <item x="48"/>
        <item x="49"/>
        <item x="51"/>
        <item x="52"/>
        <item x="53"/>
        <item x="54"/>
        <item x="55"/>
        <item x="56"/>
        <item x="58"/>
        <item x="59"/>
        <item x="63"/>
        <item x="64"/>
        <item x="65"/>
        <item x="66"/>
        <item x="67"/>
        <item x="68"/>
        <item m="1" x="125"/>
        <item x="70"/>
        <item x="71"/>
        <item x="72"/>
        <item x="17"/>
        <item x="50"/>
        <item x="73"/>
        <item x="74"/>
        <item x="75"/>
        <item x="14"/>
        <item x="62"/>
        <item x="76"/>
        <item x="77"/>
        <item x="78"/>
        <item x="79"/>
        <item x="80"/>
        <item x="81"/>
        <item x="82"/>
        <item m="1" x="126"/>
        <item x="84"/>
        <item x="85"/>
        <item x="86"/>
        <item x="87"/>
        <item x="88"/>
        <item m="1" x="131"/>
        <item x="89"/>
        <item x="90"/>
        <item x="91"/>
        <item x="92"/>
        <item x="93"/>
        <item x="94"/>
        <item x="95"/>
        <item x="96"/>
        <item m="1" x="123"/>
        <item x="98"/>
        <item x="99"/>
        <item x="100"/>
        <item x="2"/>
        <item x="0"/>
        <item x="101"/>
        <item x="102"/>
        <item x="103"/>
        <item x="105"/>
        <item x="107"/>
        <item x="108"/>
        <item m="1" x="130"/>
        <item m="1" x="128"/>
        <item m="1" x="127"/>
        <item x="110"/>
        <item m="1" x="124"/>
        <item m="1" x="129"/>
        <item x="97"/>
        <item x="111"/>
        <item x="109"/>
        <item x="83"/>
        <item x="112"/>
        <item x="69"/>
        <item x="113"/>
        <item x="104"/>
        <item x="106"/>
        <item x="11"/>
        <item x="9"/>
        <item x="34"/>
        <item x="114"/>
        <item m="1" x="121"/>
        <item x="116"/>
        <item x="117"/>
        <item x="118"/>
        <item m="1" x="122"/>
        <item x="120"/>
        <item x="115"/>
        <item x="119"/>
      </items>
    </pivotField>
    <pivotField compact="0" outline="0" showAll="0" defaultSubtotal="0"/>
    <pivotField axis="axisRow" compact="0" outline="0" showAll="0" defaultSubtotal="0">
      <items count="12">
        <item h="1" x="0"/>
        <item x="3"/>
        <item x="4"/>
        <item x="1"/>
        <item h="1" x="2"/>
        <item h="1" x="5"/>
        <item h="1" x="7"/>
        <item h="1" x="9"/>
        <item h="1" x="6"/>
        <item h="1" x="8"/>
        <item h="1" x="11"/>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axis="axisRow" compact="0" outline="0" subtotalTop="0" showAll="0" defaultSubtotal="0">
      <items count="18">
        <item h="1" x="1"/>
        <item x="2"/>
        <item x="4"/>
        <item x="10"/>
        <item x="8"/>
        <item x="11"/>
        <item x="6"/>
        <item x="9"/>
        <item m="1" x="17"/>
        <item x="5"/>
        <item x="7"/>
        <item h="1" x="3"/>
        <item h="1" x="0"/>
        <item m="1" x="13"/>
        <item m="1" x="16"/>
        <item m="1" x="15"/>
        <item m="1" x="14"/>
        <item x="12"/>
      </items>
    </pivotField>
    <pivotField axis="axisRow" compact="0" outline="0" subtotalTop="0" showAll="0" defaultSubtotal="0">
      <items count="21">
        <item x="1"/>
        <item x="2"/>
        <item x="12"/>
        <item x="4"/>
        <item x="13"/>
        <item x="14"/>
        <item x="11"/>
        <item x="8"/>
        <item x="10"/>
        <item x="6"/>
        <item x="15"/>
        <item x="5"/>
        <item m="1" x="20"/>
        <item x="7"/>
        <item x="3"/>
        <item x="0"/>
        <item x="17"/>
        <item m="1" x="19"/>
        <item x="9"/>
        <item m="1" x="18"/>
        <item x="16"/>
      </items>
    </pivotField>
    <pivotField compact="0" outline="0" subtotalTop="0" showAll="0" defaultSubtotal="0"/>
    <pivotField compact="0" outline="0" subtotalTop="0" showAll="0" defaultSubtotal="0"/>
    <pivotField axis="axisRow" compact="0" outline="0" showAll="0" defaultSubtotal="0">
      <items count="39">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x="32"/>
        <item x="10"/>
        <item x="31"/>
        <item m="1" x="38"/>
        <item x="1"/>
        <item m="1" x="37"/>
      </items>
    </pivotField>
    <pivotField compact="0" outline="0" subtotalTop="0" showAll="0" defaultSubtotal="0"/>
    <pivotField compact="0" outline="0" showAll="0" defaultSubtotal="0"/>
    <pivotField dataField="1" compact="0" outline="0" subtotalTop="0" showAll="0" defaultSubtotal="0"/>
    <pivotField name="SM" axis="axisCol" compact="0" outline="0" subtotalTop="0" showAll="0" defaultSubtotal="0">
      <items count="29">
        <item x="24"/>
        <item x="25"/>
        <item x="13"/>
        <item x="7"/>
        <item x="0"/>
        <item x="1"/>
        <item x="2"/>
        <item x="3"/>
        <item x="8"/>
        <item x="9"/>
        <item x="10"/>
        <item x="15"/>
        <item x="11"/>
        <item x="18"/>
        <item x="19"/>
        <item x="16"/>
        <item x="14"/>
        <item x="4"/>
        <item x="5"/>
        <item x="6"/>
        <item x="23"/>
        <item x="17"/>
        <item x="20"/>
        <item x="12"/>
        <item x="26"/>
        <item m="1" x="28"/>
        <item x="21"/>
        <item x="22"/>
        <item x="27"/>
      </items>
    </pivotField>
    <pivotField name="YEAR" axis="axisCol" compact="0" outline="0" subtotalTop="0" showAll="0" defaultSubtotal="0">
      <items count="7">
        <item x="0"/>
        <item x="1"/>
        <item h="1" x="3"/>
        <item h="1" x="4"/>
        <item h="1" m="1" x="6"/>
        <item x="2"/>
        <item h="1"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46">
        <item x="22"/>
        <item x="21"/>
        <item x="25"/>
        <item x="2"/>
        <item x="14"/>
        <item m="1" x="45"/>
        <item x="0"/>
        <item x="4"/>
        <item x="17"/>
        <item x="3"/>
        <item x="15"/>
        <item x="12"/>
        <item x="29"/>
        <item m="1" x="43"/>
        <item x="19"/>
        <item x="30"/>
        <item x="6"/>
        <item x="33"/>
        <item x="16"/>
        <item x="35"/>
        <item x="26"/>
        <item x="18"/>
        <item x="34"/>
        <item x="7"/>
        <item x="11"/>
        <item x="20"/>
        <item x="41"/>
        <item x="36"/>
        <item x="24"/>
        <item m="1" x="44"/>
        <item x="38"/>
        <item x="13"/>
        <item x="31"/>
        <item x="8"/>
        <item x="28"/>
        <item x="9"/>
        <item x="10"/>
        <item x="5"/>
        <item x="37"/>
        <item x="40"/>
        <item x="23"/>
        <item x="32"/>
        <item x="27"/>
        <item x="39"/>
        <item x="42"/>
        <item x="1"/>
      </items>
    </pivotField>
    <pivotField axis="axisRow" compact="0" outline="0" subtotalTop="0" showAll="0" defaultSubtotal="0">
      <items count="50">
        <item x="23"/>
        <item x="21"/>
        <item x="25"/>
        <item x="2"/>
        <item x="14"/>
        <item m="1" x="49"/>
        <item x="28"/>
        <item x="4"/>
        <item x="27"/>
        <item x="33"/>
        <item x="36"/>
        <item x="15"/>
        <item x="31"/>
        <item x="0"/>
        <item x="12"/>
        <item x="3"/>
        <item x="6"/>
        <item x="16"/>
        <item x="22"/>
        <item x="19"/>
        <item x="18"/>
        <item x="32"/>
        <item x="38"/>
        <item x="7"/>
        <item m="1" x="46"/>
        <item x="39"/>
        <item x="26"/>
        <item x="20"/>
        <item x="11"/>
        <item m="1" x="47"/>
        <item x="17"/>
        <item m="1" x="48"/>
        <item x="37"/>
        <item x="34"/>
        <item x="8"/>
        <item x="13"/>
        <item x="42"/>
        <item x="43"/>
        <item x="30"/>
        <item x="9"/>
        <item x="10"/>
        <item x="5"/>
        <item x="40"/>
        <item m="1" x="45"/>
        <item x="24"/>
        <item x="41"/>
        <item x="35"/>
        <item x="29"/>
        <item x="44"/>
        <item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9">
    <field x="9"/>
    <field x="0"/>
    <field x="7"/>
    <field x="1"/>
    <field x="21"/>
    <field x="17"/>
    <field x="18"/>
    <field x="31"/>
    <field x="32"/>
  </rowFields>
  <rowItems count="27">
    <i>
      <x v="1"/>
      <x/>
      <x v="27"/>
      <x v="1"/>
      <x v="8"/>
      <x v="9"/>
      <x v="11"/>
      <x v="18"/>
      <x v="30"/>
    </i>
    <i r="2">
      <x v="31"/>
      <x v="1"/>
      <x v="8"/>
      <x v="9"/>
      <x v="11"/>
      <x v="18"/>
      <x v="30"/>
    </i>
    <i r="2">
      <x v="53"/>
      <x v="1"/>
      <x v="26"/>
      <x v="4"/>
      <x v="7"/>
      <x v="24"/>
      <x v="26"/>
    </i>
    <i r="2">
      <x v="68"/>
      <x v="1"/>
      <x v="30"/>
      <x v="4"/>
      <x v="6"/>
      <x v="25"/>
      <x v="27"/>
    </i>
    <i r="2">
      <x v="91"/>
      <x v="1"/>
      <x v="13"/>
      <x v="4"/>
      <x v="5"/>
      <x v="27"/>
      <x v="27"/>
    </i>
    <i r="2">
      <x v="92"/>
      <x v="1"/>
      <x v="1"/>
      <x v="2"/>
      <x v="2"/>
      <x v="37"/>
      <x v="41"/>
    </i>
    <i r="2">
      <x v="93"/>
      <x v="1"/>
      <x v="22"/>
      <x v="3"/>
      <x v="5"/>
      <x v="37"/>
      <x v="41"/>
    </i>
    <i r="2">
      <x v="97"/>
      <x v="1"/>
      <x v="15"/>
      <x v="17"/>
      <x v="20"/>
      <x v="30"/>
      <x v="34"/>
    </i>
    <i r="2">
      <x v="100"/>
      <x v="1"/>
      <x/>
      <x v="1"/>
      <x v="1"/>
      <x v="27"/>
      <x v="27"/>
    </i>
    <i t="sum" r="1">
      <x/>
    </i>
    <i r="1">
      <x v="1"/>
      <x v="117"/>
      <x v="1"/>
      <x v="31"/>
      <x v="4"/>
      <x v="18"/>
      <x v="42"/>
      <x v="47"/>
    </i>
    <i t="sum" r="1">
      <x v="1"/>
    </i>
    <i>
      <x v="2"/>
      <x/>
      <x v="113"/>
      <x v="1"/>
      <x v="37"/>
      <x v="7"/>
      <x v="8"/>
      <x v="39"/>
      <x v="37"/>
    </i>
    <i r="7">
      <x v="43"/>
      <x v="35"/>
    </i>
    <i t="sum" r="1">
      <x/>
    </i>
    <i r="1">
      <x v="1"/>
      <x v="121"/>
      <x v="1"/>
      <x/>
      <x v="1"/>
      <x v="1"/>
      <x v="33"/>
      <x v="34"/>
    </i>
    <i t="sum" r="1">
      <x v="1"/>
    </i>
    <i>
      <x v="3"/>
      <x/>
      <x v="43"/>
      <x v="1"/>
      <x v="22"/>
      <x v="6"/>
      <x v="9"/>
      <x v="35"/>
      <x v="39"/>
    </i>
    <i r="2">
      <x v="46"/>
      <x v="1"/>
      <x v="33"/>
      <x v="10"/>
      <x v="13"/>
      <x v="35"/>
      <x v="39"/>
    </i>
    <i r="2">
      <x v="90"/>
      <x v="1"/>
      <x v="21"/>
      <x v="1"/>
      <x v="1"/>
      <x v="38"/>
      <x v="42"/>
    </i>
    <i t="sum" r="1">
      <x/>
    </i>
    <i r="1">
      <x v="1"/>
      <x v="5"/>
      <x v="1"/>
      <x v="30"/>
      <x v="2"/>
      <x v="3"/>
      <x v="36"/>
      <x v="40"/>
    </i>
    <i r="2">
      <x v="77"/>
      <x v="1"/>
      <x v="1"/>
      <x v="2"/>
      <x v="2"/>
      <x v="32"/>
      <x v="33"/>
    </i>
    <i r="2">
      <x v="81"/>
      <x v="1"/>
      <x v="1"/>
      <x v="2"/>
      <x v="4"/>
      <x v="31"/>
      <x v="32"/>
    </i>
    <i r="2">
      <x v="131"/>
      <x v="1"/>
      <x v="13"/>
      <x v="3"/>
      <x v="16"/>
      <x v="35"/>
      <x v="39"/>
    </i>
    <i t="sum" r="1">
      <x v="1"/>
    </i>
    <i t="grand">
      <x/>
    </i>
  </rowItems>
  <colFields count="2">
    <field x="26"/>
    <field x="25"/>
  </colFields>
  <colItems count="11">
    <i>
      <x/>
      <x v="9"/>
    </i>
    <i r="1">
      <x v="10"/>
    </i>
    <i r="1">
      <x v="11"/>
    </i>
    <i>
      <x v="1"/>
      <x v="12"/>
    </i>
    <i r="1">
      <x v="14"/>
    </i>
    <i r="1">
      <x v="15"/>
    </i>
    <i r="1">
      <x v="16"/>
    </i>
    <i r="1">
      <x v="17"/>
    </i>
    <i r="1">
      <x v="20"/>
    </i>
    <i r="1">
      <x v="21"/>
    </i>
    <i t="grand">
      <x/>
    </i>
  </colItems>
  <dataFields count="1">
    <dataField name="VALUE" fld="24" baseField="19" baseItem="7" numFmtId="166"/>
  </dataFields>
  <formats count="155">
    <format dxfId="530">
      <pivotArea dataOnly="0" outline="0" fieldPosition="0">
        <references count="1">
          <reference field="9" count="0" sumSubtotal="1"/>
        </references>
      </pivotArea>
    </format>
    <format dxfId="529">
      <pivotArea dataOnly="0" outline="0" fieldPosition="0">
        <references count="1">
          <reference field="9" count="0" sumSubtotal="1"/>
        </references>
      </pivotArea>
    </format>
    <format dxfId="528">
      <pivotArea field="1" type="button" dataOnly="0" labelOnly="1" outline="0" axis="axisRow" fieldPosition="3"/>
    </format>
    <format dxfId="527">
      <pivotArea field="9" type="button" dataOnly="0" labelOnly="1" outline="0" axis="axisRow" fieldPosition="0"/>
    </format>
    <format dxfId="526">
      <pivotArea field="7" type="button" dataOnly="0" labelOnly="1" outline="0" axis="axisRow" fieldPosition="2"/>
    </format>
    <format dxfId="525">
      <pivotArea field="0" type="button" dataOnly="0" labelOnly="1" outline="0" axis="axisRow" fieldPosition="1"/>
    </format>
    <format dxfId="524">
      <pivotArea dataOnly="0" labelOnly="1" grandCol="1" outline="0" fieldPosition="0"/>
    </format>
    <format dxfId="523">
      <pivotArea field="1" type="button" dataOnly="0" labelOnly="1" outline="0" axis="axisRow" fieldPosition="3"/>
    </format>
    <format dxfId="522">
      <pivotArea field="9" type="button" dataOnly="0" labelOnly="1" outline="0" axis="axisRow" fieldPosition="0"/>
    </format>
    <format dxfId="521">
      <pivotArea field="7" type="button" dataOnly="0" labelOnly="1" outline="0" axis="axisRow" fieldPosition="2"/>
    </format>
    <format dxfId="520">
      <pivotArea field="0" type="button" dataOnly="0" labelOnly="1" outline="0" axis="axisRow" fieldPosition="1"/>
    </format>
    <format dxfId="519">
      <pivotArea dataOnly="0" labelOnly="1" grandCol="1" outline="0" fieldPosition="0"/>
    </format>
    <format dxfId="518">
      <pivotArea field="1" type="button" dataOnly="0" labelOnly="1" outline="0" axis="axisRow" fieldPosition="3"/>
    </format>
    <format dxfId="517">
      <pivotArea field="9" type="button" dataOnly="0" labelOnly="1" outline="0" axis="axisRow" fieldPosition="0"/>
    </format>
    <format dxfId="516">
      <pivotArea field="7" type="button" dataOnly="0" labelOnly="1" outline="0" axis="axisRow" fieldPosition="2"/>
    </format>
    <format dxfId="515">
      <pivotArea field="0" type="button" dataOnly="0" labelOnly="1" outline="0" axis="axisRow" fieldPosition="1"/>
    </format>
    <format dxfId="514">
      <pivotArea dataOnly="0" labelOnly="1" grandCol="1" outline="0" fieldPosition="0"/>
    </format>
    <format dxfId="513">
      <pivotArea field="21" type="button" dataOnly="0" labelOnly="1" outline="0" axis="axisRow" fieldPosition="4"/>
    </format>
    <format dxfId="512">
      <pivotArea field="21" type="button" dataOnly="0" labelOnly="1" outline="0" axis="axisRow" fieldPosition="4"/>
    </format>
    <format dxfId="511">
      <pivotArea type="all" dataOnly="0" outline="0" fieldPosition="0"/>
    </format>
    <format dxfId="510">
      <pivotArea type="all" dataOnly="0" outline="0" fieldPosition="0"/>
    </format>
    <format dxfId="509">
      <pivotArea outline="0" collapsedLevelsAreSubtotals="1" fieldPosition="0"/>
    </format>
    <format dxfId="508">
      <pivotArea type="origin" dataOnly="0" labelOnly="1" outline="0" fieldPosition="0"/>
    </format>
    <format dxfId="507">
      <pivotArea type="topRight" dataOnly="0" labelOnly="1" outline="0" fieldPosition="0"/>
    </format>
    <format dxfId="506">
      <pivotArea field="1" type="button" dataOnly="0" labelOnly="1" outline="0" axis="axisRow" fieldPosition="3"/>
    </format>
    <format dxfId="505">
      <pivotArea field="0" type="button" dataOnly="0" labelOnly="1" outline="0" axis="axisRow" fieldPosition="1"/>
    </format>
    <format dxfId="504">
      <pivotArea field="9" type="button" dataOnly="0" labelOnly="1" outline="0" axis="axisRow" fieldPosition="0"/>
    </format>
    <format dxfId="503">
      <pivotArea field="7" type="button" dataOnly="0" labelOnly="1" outline="0" axis="axisRow" fieldPosition="2"/>
    </format>
    <format dxfId="502">
      <pivotArea field="21" type="button" dataOnly="0" labelOnly="1" outline="0" axis="axisRow" fieldPosition="4"/>
    </format>
    <format dxfId="501">
      <pivotArea dataOnly="0" labelOnly="1" outline="0" fieldPosition="0">
        <references count="1">
          <reference field="1" count="0"/>
        </references>
      </pivotArea>
    </format>
    <format dxfId="500">
      <pivotArea dataOnly="0" labelOnly="1" grandRow="1" outline="0" fieldPosition="0"/>
    </format>
    <format dxfId="499">
      <pivotArea dataOnly="0" labelOnly="1" outline="0" fieldPosition="0">
        <references count="2">
          <reference field="0" count="0"/>
          <reference field="1" count="0" selected="0"/>
        </references>
      </pivotArea>
    </format>
    <format dxfId="498">
      <pivotArea dataOnly="0" labelOnly="1" outline="0" fieldPosition="0">
        <references count="2">
          <reference field="0" count="0" sumSubtotal="1"/>
          <reference field="1" count="0" selected="0"/>
        </references>
      </pivotArea>
    </format>
    <format dxfId="497">
      <pivotArea dataOnly="0" labelOnly="1" outline="0" fieldPosition="0">
        <references count="3">
          <reference field="0" count="1" selected="0">
            <x v="1"/>
          </reference>
          <reference field="1" count="0" selected="0"/>
          <reference field="9" count="0"/>
        </references>
      </pivotArea>
    </format>
    <format dxfId="496">
      <pivotArea dataOnly="0" labelOnly="1" grandCol="1" outline="0" fieldPosition="0"/>
    </format>
    <format dxfId="495">
      <pivotArea dataOnly="0" outline="0" fieldPosition="0">
        <references count="1">
          <reference field="9" count="0" sumSubtotal="1"/>
        </references>
      </pivotArea>
    </format>
    <format dxfId="494">
      <pivotArea grandCol="1" outline="0" collapsedLevelsAreSubtotals="1" fieldPosition="0"/>
    </format>
    <format dxfId="493">
      <pivotArea field="1" type="button" dataOnly="0" labelOnly="1" outline="0" axis="axisRow" fieldPosition="3"/>
    </format>
    <format dxfId="492">
      <pivotArea field="0" type="button" dataOnly="0" labelOnly="1" outline="0" axis="axisRow" fieldPosition="1"/>
    </format>
    <format dxfId="491">
      <pivotArea field="9" type="button" dataOnly="0" labelOnly="1" outline="0" axis="axisRow" fieldPosition="0"/>
    </format>
    <format dxfId="490">
      <pivotArea field="7" type="button" dataOnly="0" labelOnly="1" outline="0" axis="axisRow" fieldPosition="2"/>
    </format>
    <format dxfId="489">
      <pivotArea field="21" type="button" dataOnly="0" labelOnly="1" outline="0" axis="axisRow" fieldPosition="4"/>
    </format>
    <format dxfId="488">
      <pivotArea dataOnly="0" labelOnly="1" grandCol="1" outline="0" fieldPosition="0"/>
    </format>
    <format dxfId="487">
      <pivotArea field="1" type="button" dataOnly="0" labelOnly="1" outline="0" axis="axisRow" fieldPosition="3"/>
    </format>
    <format dxfId="486">
      <pivotArea field="0" type="button" dataOnly="0" labelOnly="1" outline="0" axis="axisRow" fieldPosition="1"/>
    </format>
    <format dxfId="485">
      <pivotArea field="9" type="button" dataOnly="0" labelOnly="1" outline="0" axis="axisRow" fieldPosition="0"/>
    </format>
    <format dxfId="484">
      <pivotArea field="7" type="button" dataOnly="0" labelOnly="1" outline="0" axis="axisRow" fieldPosition="2"/>
    </format>
    <format dxfId="483">
      <pivotArea field="21" type="button" dataOnly="0" labelOnly="1" outline="0" axis="axisRow" fieldPosition="4"/>
    </format>
    <format dxfId="482">
      <pivotArea dataOnly="0" labelOnly="1" grandCol="1" outline="0" fieldPosition="0"/>
    </format>
    <format dxfId="481">
      <pivotArea field="1" type="button" dataOnly="0" labelOnly="1" outline="0" axis="axisRow" fieldPosition="3"/>
    </format>
    <format dxfId="480">
      <pivotArea field="0" type="button" dataOnly="0" labelOnly="1" outline="0" axis="axisRow" fieldPosition="1"/>
    </format>
    <format dxfId="479">
      <pivotArea field="9" type="button" dataOnly="0" labelOnly="1" outline="0" axis="axisRow" fieldPosition="0"/>
    </format>
    <format dxfId="478">
      <pivotArea field="7" type="button" dataOnly="0" labelOnly="1" outline="0" axis="axisRow" fieldPosition="2"/>
    </format>
    <format dxfId="477">
      <pivotArea field="21" type="button" dataOnly="0" labelOnly="1" outline="0" axis="axisRow" fieldPosition="4"/>
    </format>
    <format dxfId="476">
      <pivotArea dataOnly="0" labelOnly="1" grandCol="1" outline="0" fieldPosition="0"/>
    </format>
    <format dxfId="475">
      <pivotArea field="1" type="button" dataOnly="0" labelOnly="1" outline="0" axis="axisRow" fieldPosition="3"/>
    </format>
    <format dxfId="474">
      <pivotArea field="0" type="button" dataOnly="0" labelOnly="1" outline="0" axis="axisRow" fieldPosition="1"/>
    </format>
    <format dxfId="473">
      <pivotArea field="9" type="button" dataOnly="0" labelOnly="1" outline="0" axis="axisRow" fieldPosition="0"/>
    </format>
    <format dxfId="472">
      <pivotArea field="7" type="button" dataOnly="0" labelOnly="1" outline="0" axis="axisRow" fieldPosition="2"/>
    </format>
    <format dxfId="471">
      <pivotArea field="21" type="button" dataOnly="0" labelOnly="1" outline="0" axis="axisRow" fieldPosition="4"/>
    </format>
    <format dxfId="470">
      <pivotArea dataOnly="0" labelOnly="1" grandCol="1" outline="0" fieldPosition="0"/>
    </format>
    <format dxfId="469">
      <pivotArea field="1" type="button" dataOnly="0" labelOnly="1" outline="0" axis="axisRow" fieldPosition="3"/>
    </format>
    <format dxfId="468">
      <pivotArea field="0" type="button" dataOnly="0" labelOnly="1" outline="0" axis="axisRow" fieldPosition="1"/>
    </format>
    <format dxfId="467">
      <pivotArea field="9" type="button" dataOnly="0" labelOnly="1" outline="0" axis="axisRow" fieldPosition="0"/>
    </format>
    <format dxfId="466">
      <pivotArea field="7" type="button" dataOnly="0" labelOnly="1" outline="0" axis="axisRow" fieldPosition="2"/>
    </format>
    <format dxfId="465">
      <pivotArea field="21" type="button" dataOnly="0" labelOnly="1" outline="0" axis="axisRow" fieldPosition="4"/>
    </format>
    <format dxfId="464">
      <pivotArea dataOnly="0" labelOnly="1" grandCol="1" outline="0" fieldPosition="0"/>
    </format>
    <format dxfId="463">
      <pivotArea dataOnly="0" outline="0" fieldPosition="0">
        <references count="1">
          <reference field="9" count="1">
            <x v="0"/>
          </reference>
        </references>
      </pivotArea>
    </format>
    <format dxfId="462">
      <pivotArea dataOnly="0" outline="0" fieldPosition="0">
        <references count="1">
          <reference field="9" count="1">
            <x v="1"/>
          </reference>
        </references>
      </pivotArea>
    </format>
    <format dxfId="461">
      <pivotArea dataOnly="0" outline="0" fieldPosition="0">
        <references count="1">
          <reference field="9" count="1">
            <x v="3"/>
          </reference>
        </references>
      </pivotArea>
    </format>
    <format dxfId="460">
      <pivotArea dataOnly="0" outline="0" fieldPosition="0">
        <references count="1">
          <reference field="9" count="1">
            <x v="2"/>
          </reference>
        </references>
      </pivotArea>
    </format>
    <format dxfId="459">
      <pivotArea outline="0" fieldPosition="0">
        <references count="5">
          <reference field="0" count="1" selected="0">
            <x v="0"/>
          </reference>
          <reference field="1" count="0" selected="0"/>
          <reference field="7" count="4" selected="0">
            <x v="26"/>
            <x v="27"/>
            <x v="30"/>
            <x v="31"/>
          </reference>
          <reference field="9" count="2" selected="0">
            <x v="0"/>
            <x v="1"/>
          </reference>
          <reference field="21" count="2" selected="0">
            <x v="8"/>
            <x v="14"/>
          </reference>
        </references>
      </pivotArea>
    </format>
    <format dxfId="458">
      <pivotArea dataOnly="0" labelOnly="1" outline="0" fieldPosition="0">
        <references count="2">
          <reference field="0" count="1" selected="0">
            <x v="0"/>
          </reference>
          <reference field="7" count="4">
            <x v="26"/>
            <x v="27"/>
            <x v="30"/>
            <x v="31"/>
          </reference>
        </references>
      </pivotArea>
    </format>
    <format dxfId="457">
      <pivotArea dataOnly="0" labelOnly="1" outline="0" fieldPosition="0">
        <references count="4">
          <reference field="0" count="1" selected="0">
            <x v="0"/>
          </reference>
          <reference field="1" count="0" selected="0"/>
          <reference field="7" count="1" selected="0">
            <x v="27"/>
          </reference>
          <reference field="9" count="1">
            <x v="1"/>
          </reference>
        </references>
      </pivotArea>
    </format>
    <format dxfId="456">
      <pivotArea dataOnly="0" labelOnly="1" outline="0" fieldPosition="0">
        <references count="4">
          <reference field="0" count="1" selected="0">
            <x v="0"/>
          </reference>
          <reference field="1" count="0" selected="0"/>
          <reference field="7" count="1" selected="0">
            <x v="30"/>
          </reference>
          <reference field="9" count="2">
            <x v="0"/>
            <x v="1"/>
          </reference>
        </references>
      </pivotArea>
    </format>
    <format dxfId="455">
      <pivotArea dataOnly="0" labelOnly="1" outline="0" fieldPosition="0">
        <references count="5">
          <reference field="0" count="1" selected="0">
            <x v="0"/>
          </reference>
          <reference field="1" count="0" selected="0"/>
          <reference field="7" count="1" selected="0">
            <x v="26"/>
          </reference>
          <reference field="9" count="1" selected="0">
            <x v="0"/>
          </reference>
          <reference field="21" count="1">
            <x v="14"/>
          </reference>
        </references>
      </pivotArea>
    </format>
    <format dxfId="454">
      <pivotArea dataOnly="0" labelOnly="1" outline="0" fieldPosition="0">
        <references count="5">
          <reference field="0" count="1" selected="0">
            <x v="0"/>
          </reference>
          <reference field="1" count="0" selected="0"/>
          <reference field="7" count="1" selected="0">
            <x v="27"/>
          </reference>
          <reference field="9" count="1" selected="0">
            <x v="1"/>
          </reference>
          <reference field="21" count="1">
            <x v="8"/>
          </reference>
        </references>
      </pivotArea>
    </format>
    <format dxfId="453">
      <pivotArea dataOnly="0" labelOnly="1" outline="0" fieldPosition="0">
        <references count="5">
          <reference field="0" count="1" selected="0">
            <x v="0"/>
          </reference>
          <reference field="1" count="0" selected="0"/>
          <reference field="7" count="1" selected="0">
            <x v="30"/>
          </reference>
          <reference field="9" count="1" selected="0">
            <x v="0"/>
          </reference>
          <reference field="21" count="1">
            <x v="14"/>
          </reference>
        </references>
      </pivotArea>
    </format>
    <format dxfId="452">
      <pivotArea dataOnly="0" labelOnly="1" outline="0" fieldPosition="0">
        <references count="5">
          <reference field="0" count="1" selected="0">
            <x v="0"/>
          </reference>
          <reference field="1" count="0" selected="0"/>
          <reference field="7" count="1" selected="0">
            <x v="30"/>
          </reference>
          <reference field="9" count="1" selected="0">
            <x v="1"/>
          </reference>
          <reference field="21" count="1">
            <x v="14"/>
          </reference>
        </references>
      </pivotArea>
    </format>
    <format dxfId="451">
      <pivotArea dataOnly="0" labelOnly="1" outline="0" fieldPosition="0">
        <references count="5">
          <reference field="0" count="1" selected="0">
            <x v="0"/>
          </reference>
          <reference field="1" count="0" selected="0"/>
          <reference field="7" count="1" selected="0">
            <x v="31"/>
          </reference>
          <reference field="9" count="1" selected="0">
            <x v="1"/>
          </reference>
          <reference field="21" count="1">
            <x v="8"/>
          </reference>
        </references>
      </pivotArea>
    </format>
    <format dxfId="450">
      <pivotArea field="0" outline="0" axis="axisRow" fieldPosition="1">
        <references count="1">
          <reference field="0" count="1" selected="0" sumSubtotal="1">
            <x v="0"/>
          </reference>
        </references>
      </pivotArea>
    </format>
    <format dxfId="449">
      <pivotArea field="0" outline="0" axis="axisRow" fieldPosition="1">
        <references count="1">
          <reference field="0" count="1" selected="0" sumSubtotal="1">
            <x v="0"/>
          </reference>
        </references>
      </pivotArea>
    </format>
    <format dxfId="448">
      <pivotArea outline="0" fieldPosition="0">
        <references count="1">
          <reference field="0" count="1" selected="0" sumSubtotal="1">
            <x v="0"/>
          </reference>
        </references>
      </pivotArea>
    </format>
    <format dxfId="447">
      <pivotArea outline="0" fieldPosition="0">
        <references count="1">
          <reference field="0" count="1" selected="0" sumSubtotal="1">
            <x v="0"/>
          </reference>
        </references>
      </pivotArea>
    </format>
    <format dxfId="446">
      <pivotArea field="0" outline="0" axis="axisRow" fieldPosition="1">
        <references count="1">
          <reference field="0" count="1" selected="0" sumSubtotal="1">
            <x v="1"/>
          </reference>
        </references>
      </pivotArea>
    </format>
    <format dxfId="445">
      <pivotArea field="0" outline="0" axis="axisRow" fieldPosition="1">
        <references count="1">
          <reference field="0" count="1" selected="0" sumSubtotal="1">
            <x v="1"/>
          </reference>
        </references>
      </pivotArea>
    </format>
    <format dxfId="444">
      <pivotArea outline="0" fieldPosition="0">
        <references count="7">
          <reference field="0" count="1" selected="0">
            <x v="0"/>
          </reference>
          <reference field="1" count="1" selected="0">
            <x v="1"/>
          </reference>
          <reference field="7" count="22" selected="0">
            <x v="20"/>
            <x v="22"/>
            <x v="23"/>
            <x v="24"/>
            <x v="26"/>
            <x v="27"/>
            <x v="30"/>
            <x v="31"/>
            <x v="32"/>
            <x v="33"/>
            <x v="35"/>
            <x v="36"/>
            <x v="37"/>
            <x v="39"/>
            <x v="53"/>
            <x v="54"/>
            <x v="60"/>
            <x v="62"/>
            <x v="64"/>
            <x v="66"/>
            <x v="68"/>
            <x v="72"/>
          </reference>
          <reference field="9" count="4" selected="0">
            <x v="0"/>
            <x v="1"/>
            <x v="2"/>
            <x v="3"/>
          </reference>
          <reference field="21" count="18" selected="0">
            <x v="0"/>
            <x v="4"/>
            <x v="8"/>
            <x v="9"/>
            <x v="11"/>
            <x v="12"/>
            <x v="13"/>
            <x v="14"/>
            <x v="17"/>
            <x v="19"/>
            <x v="20"/>
            <x v="21"/>
            <x v="22"/>
            <x v="24"/>
            <x v="26"/>
            <x v="27"/>
            <x v="28"/>
            <x v="30"/>
          </reference>
          <reference field="25" count="6" selected="0">
            <x v="6"/>
            <x v="7"/>
            <x v="8"/>
            <x v="9"/>
            <x v="10"/>
            <x v="11"/>
          </reference>
          <reference field="26" count="0" selected="0"/>
        </references>
      </pivotArea>
    </format>
    <format dxfId="443">
      <pivotArea outline="0" fieldPosition="0">
        <references count="7">
          <reference field="0" count="1" selected="0">
            <x v="0"/>
          </reference>
          <reference field="1" count="1" selected="0">
            <x v="1"/>
          </reference>
          <reference field="7" count="1" selected="0">
            <x v="62"/>
          </reference>
          <reference field="9" count="1" selected="0">
            <x v="1"/>
          </reference>
          <reference field="21" count="1" selected="0">
            <x v="9"/>
          </reference>
          <reference field="25" count="2" selected="0">
            <x v="7"/>
            <x v="8"/>
          </reference>
          <reference field="26" count="0" selected="0"/>
        </references>
      </pivotArea>
    </format>
    <format dxfId="442">
      <pivotArea outline="0" fieldPosition="0">
        <references count="7">
          <reference field="0" count="1" selected="0">
            <x v="0"/>
          </reference>
          <reference field="1" count="1" selected="0">
            <x v="1"/>
          </reference>
          <reference field="7" count="24" selected="0">
            <x v="20"/>
            <x v="22"/>
            <x v="23"/>
            <x v="24"/>
            <x v="26"/>
            <x v="27"/>
            <x v="29"/>
            <x v="30"/>
            <x v="31"/>
            <x v="32"/>
            <x v="33"/>
            <x v="35"/>
            <x v="36"/>
            <x v="37"/>
            <x v="38"/>
            <x v="39"/>
            <x v="53"/>
            <x v="54"/>
            <x v="60"/>
            <x v="62"/>
            <x v="64"/>
            <x v="66"/>
            <x v="68"/>
            <x v="72"/>
          </reference>
          <reference field="9" count="0" selected="0"/>
          <reference field="21" count="19" selected="0">
            <x v="0"/>
            <x v="4"/>
            <x v="8"/>
            <x v="11"/>
            <x v="12"/>
            <x v="13"/>
            <x v="14"/>
            <x v="16"/>
            <x v="17"/>
            <x v="19"/>
            <x v="20"/>
            <x v="21"/>
            <x v="22"/>
            <x v="24"/>
            <x v="26"/>
            <x v="27"/>
            <x v="28"/>
            <x v="29"/>
            <x v="30"/>
          </reference>
          <reference field="25" count="6" selected="0">
            <x v="6"/>
            <x v="7"/>
            <x v="8"/>
            <x v="9"/>
            <x v="10"/>
            <x v="11"/>
          </reference>
          <reference field="26" count="0" selected="0"/>
        </references>
      </pivotArea>
    </format>
    <format dxfId="441">
      <pivotArea outline="0" fieldPosition="0">
        <references count="7">
          <reference field="0" count="1" selected="0">
            <x v="1"/>
          </reference>
          <reference field="1" count="1" selected="0">
            <x v="1"/>
          </reference>
          <reference field="7" count="1" selected="0">
            <x v="0"/>
          </reference>
          <reference field="9" count="1" selected="0">
            <x v="1"/>
          </reference>
          <reference field="21" count="1" selected="0">
            <x v="7"/>
          </reference>
          <reference field="25" count="7" selected="0">
            <x v="5"/>
            <x v="6"/>
            <x v="7"/>
            <x v="8"/>
            <x v="9"/>
            <x v="10"/>
            <x v="11"/>
          </reference>
          <reference field="26" count="0" selected="0"/>
        </references>
      </pivotArea>
    </format>
    <format dxfId="440">
      <pivotArea outline="0" fieldPosition="0">
        <references count="7">
          <reference field="0" count="1" selected="0">
            <x v="1"/>
          </reference>
          <reference field="1" count="1" selected="0">
            <x v="1"/>
          </reference>
          <reference field="7" count="19" selected="0">
            <x v="1"/>
            <x v="2"/>
            <x v="3"/>
            <x v="4"/>
            <x v="6"/>
            <x v="7"/>
            <x v="8"/>
            <x v="9"/>
            <x v="10"/>
            <x v="12"/>
            <x v="14"/>
            <x v="17"/>
            <x v="49"/>
            <x v="69"/>
            <x v="71"/>
            <x v="73"/>
            <x v="76"/>
            <x v="80"/>
            <x v="81"/>
          </reference>
          <reference field="9" count="3" selected="0">
            <x v="0"/>
            <x v="1"/>
            <x v="3"/>
          </reference>
          <reference field="21" count="9" selected="0">
            <x v="0"/>
            <x v="1"/>
            <x v="2"/>
            <x v="3"/>
            <x v="4"/>
            <x v="6"/>
            <x v="7"/>
            <x v="8"/>
            <x v="32"/>
          </reference>
          <reference field="25" count="7" selected="0">
            <x v="5"/>
            <x v="6"/>
            <x v="7"/>
            <x v="8"/>
            <x v="9"/>
            <x v="10"/>
            <x v="11"/>
          </reference>
          <reference field="26" count="0" selected="0"/>
        </references>
      </pivotArea>
    </format>
    <format dxfId="439">
      <pivotArea field="0" outline="0" axis="axisRow" fieldPosition="1">
        <references count="1">
          <reference field="0" count="1" selected="0" sumSubtotal="1">
            <x v="0"/>
          </reference>
        </references>
      </pivotArea>
    </format>
    <format dxfId="438">
      <pivotArea field="0" outline="0" axis="axisRow" fieldPosition="1">
        <references count="1">
          <reference field="0" count="1" selected="0" sumSubtotal="1">
            <x v="1"/>
          </reference>
        </references>
      </pivotArea>
    </format>
    <format dxfId="437">
      <pivotArea dataOnly="0" outline="0" fieldPosition="0">
        <references count="1">
          <reference field="9" count="1">
            <x v="1"/>
          </reference>
        </references>
      </pivotArea>
    </format>
    <format dxfId="436">
      <pivotArea dataOnly="0" outline="0" fieldPosition="0">
        <references count="1">
          <reference field="9" count="1">
            <x v="1"/>
          </reference>
        </references>
      </pivotArea>
    </format>
    <format dxfId="435">
      <pivotArea dataOnly="0" outline="0" fieldPosition="0">
        <references count="1">
          <reference field="9" count="1">
            <x v="2"/>
          </reference>
        </references>
      </pivotArea>
    </format>
    <format dxfId="434">
      <pivotArea dataOnly="0" outline="0" fieldPosition="0">
        <references count="1">
          <reference field="9" count="1">
            <x v="3"/>
          </reference>
        </references>
      </pivotArea>
    </format>
    <format dxfId="433">
      <pivotArea outline="0" fieldPosition="0">
        <references count="7">
          <reference field="0" count="1" selected="0">
            <x v="1"/>
          </reference>
          <reference field="1" count="0" selected="0"/>
          <reference field="7" count="1" selected="0">
            <x v="0"/>
          </reference>
          <reference field="9" count="1" selected="0">
            <x v="1"/>
          </reference>
          <reference field="21" count="1" selected="0">
            <x v="7"/>
          </reference>
          <reference field="25" count="2" selected="0">
            <x v="7"/>
            <x v="8"/>
          </reference>
          <reference field="26" count="0" selected="0"/>
        </references>
      </pivotArea>
    </format>
    <format dxfId="432">
      <pivotArea outline="0" fieldPosition="0">
        <references count="7">
          <reference field="0" count="1" selected="0">
            <x v="1"/>
          </reference>
          <reference field="1" count="0" selected="0"/>
          <reference field="7" count="8" selected="0">
            <x v="1"/>
            <x v="2"/>
            <x v="3"/>
            <x v="4"/>
            <x v="6"/>
            <x v="7"/>
            <x v="8"/>
            <x v="9"/>
          </reference>
          <reference field="9" count="2" selected="0">
            <x v="0"/>
            <x v="1"/>
          </reference>
          <reference field="21" count="7" selected="0">
            <x v="0"/>
            <x v="2"/>
            <x v="3"/>
            <x v="4"/>
            <x v="6"/>
            <x v="7"/>
            <x v="8"/>
          </reference>
          <reference field="25" count="2" selected="0">
            <x v="7"/>
            <x v="8"/>
          </reference>
          <reference field="26" count="0" selected="0"/>
        </references>
      </pivotArea>
    </format>
    <format dxfId="431">
      <pivotArea field="0" outline="0" axis="axisRow" fieldPosition="1">
        <references count="1">
          <reference field="0" count="1" selected="0" sumSubtotal="1">
            <x v="1"/>
          </reference>
        </references>
      </pivotArea>
    </format>
    <format dxfId="430">
      <pivotArea field="0" outline="0" axis="axisRow" fieldPosition="1">
        <references count="1">
          <reference field="0" count="1" selected="0" sumSubtotal="1">
            <x v="0"/>
          </reference>
        </references>
      </pivotArea>
    </format>
    <format dxfId="429">
      <pivotArea field="0" outline="0" axis="axisRow" fieldPosition="1">
        <references count="1">
          <reference field="0" count="1" selected="0" sumSubtotal="1">
            <x v="1"/>
          </reference>
        </references>
      </pivotArea>
    </format>
    <format dxfId="428">
      <pivotArea field="0" outline="0" axis="axisRow" fieldPosition="1">
        <references count="1">
          <reference field="0" count="1" selected="0" sumSubtotal="1">
            <x v="0"/>
          </reference>
        </references>
      </pivotArea>
    </format>
    <format dxfId="427">
      <pivotArea dataOnly="0" outline="0" fieldPosition="0">
        <references count="1">
          <reference field="0" count="0" sumSubtotal="1"/>
        </references>
      </pivotArea>
    </format>
    <format dxfId="426">
      <pivotArea outline="0" fieldPosition="0">
        <references count="1">
          <reference field="4294967294" count="1">
            <x v="0"/>
          </reference>
        </references>
      </pivotArea>
    </format>
    <format dxfId="425">
      <pivotArea field="9" type="button" dataOnly="0" labelOnly="1" outline="0" axis="axisRow" fieldPosition="0"/>
    </format>
    <format dxfId="424">
      <pivotArea field="0" type="button" dataOnly="0" labelOnly="1" outline="0" axis="axisRow" fieldPosition="1"/>
    </format>
    <format dxfId="423">
      <pivotArea field="7" type="button" dataOnly="0" labelOnly="1" outline="0" axis="axisRow" fieldPosition="2"/>
    </format>
    <format dxfId="422">
      <pivotArea field="1" type="button" dataOnly="0" labelOnly="1" outline="0" axis="axisRow" fieldPosition="3"/>
    </format>
    <format dxfId="421">
      <pivotArea field="21" type="button" dataOnly="0" labelOnly="1" outline="0" axis="axisRow" fieldPosition="4"/>
    </format>
    <format dxfId="420">
      <pivotArea field="17" type="button" dataOnly="0" labelOnly="1" outline="0" axis="axisRow" fieldPosition="5"/>
    </format>
    <format dxfId="419">
      <pivotArea field="18" type="button" dataOnly="0" labelOnly="1" outline="0" axis="axisRow" fieldPosition="6"/>
    </format>
    <format dxfId="418">
      <pivotArea field="31" type="button" dataOnly="0" labelOnly="1" outline="0" axis="axisRow" fieldPosition="7"/>
    </format>
    <format dxfId="417">
      <pivotArea field="32" type="button" dataOnly="0" labelOnly="1" outline="0" axis="axisRow" fieldPosition="8"/>
    </format>
    <format dxfId="416">
      <pivotArea dataOnly="0" labelOnly="1" grandCol="1" outline="0" fieldPosition="0"/>
    </format>
    <format dxfId="415">
      <pivotArea dataOnly="0" labelOnly="1" outline="0" fieldPosition="0">
        <references count="2">
          <reference field="25" count="4">
            <x v="8"/>
            <x v="9"/>
            <x v="10"/>
            <x v="11"/>
          </reference>
          <reference field="26" count="1" selected="0">
            <x v="0"/>
          </reference>
        </references>
      </pivotArea>
    </format>
    <format dxfId="414">
      <pivotArea dataOnly="0" labelOnly="1" outline="0" fieldPosition="0">
        <references count="2">
          <reference field="25" count="5">
            <x v="12"/>
            <x v="16"/>
            <x v="17"/>
            <x v="20"/>
            <x v="21"/>
          </reference>
          <reference field="26" count="1" selected="0">
            <x v="1"/>
          </reference>
        </references>
      </pivotArea>
    </format>
    <format dxfId="413">
      <pivotArea field="9" type="button" dataOnly="0" labelOnly="1" outline="0" axis="axisRow" fieldPosition="0"/>
    </format>
    <format dxfId="412">
      <pivotArea field="0" type="button" dataOnly="0" labelOnly="1" outline="0" axis="axisRow" fieldPosition="1"/>
    </format>
    <format dxfId="411">
      <pivotArea field="7" type="button" dataOnly="0" labelOnly="1" outline="0" axis="axisRow" fieldPosition="2"/>
    </format>
    <format dxfId="410">
      <pivotArea field="1" type="button" dataOnly="0" labelOnly="1" outline="0" axis="axisRow" fieldPosition="3"/>
    </format>
    <format dxfId="409">
      <pivotArea field="21" type="button" dataOnly="0" labelOnly="1" outline="0" axis="axisRow" fieldPosition="4"/>
    </format>
    <format dxfId="408">
      <pivotArea field="17" type="button" dataOnly="0" labelOnly="1" outline="0" axis="axisRow" fieldPosition="5"/>
    </format>
    <format dxfId="407">
      <pivotArea field="18" type="button" dataOnly="0" labelOnly="1" outline="0" axis="axisRow" fieldPosition="6"/>
    </format>
    <format dxfId="406">
      <pivotArea field="31" type="button" dataOnly="0" labelOnly="1" outline="0" axis="axisRow" fieldPosition="7"/>
    </format>
    <format dxfId="405">
      <pivotArea field="32" type="button" dataOnly="0" labelOnly="1" outline="0" axis="axisRow" fieldPosition="8"/>
    </format>
    <format dxfId="404">
      <pivotArea dataOnly="0" labelOnly="1" grandCol="1" outline="0" fieldPosition="0"/>
    </format>
    <format dxfId="403">
      <pivotArea dataOnly="0" labelOnly="1" outline="0" fieldPosition="0">
        <references count="2">
          <reference field="25" count="4">
            <x v="8"/>
            <x v="9"/>
            <x v="10"/>
            <x v="11"/>
          </reference>
          <reference field="26" count="1" selected="0">
            <x v="0"/>
          </reference>
        </references>
      </pivotArea>
    </format>
    <format dxfId="402">
      <pivotArea dataOnly="0" labelOnly="1" outline="0" fieldPosition="0">
        <references count="2">
          <reference field="25" count="5">
            <x v="12"/>
            <x v="16"/>
            <x v="17"/>
            <x v="20"/>
            <x v="21"/>
          </reference>
          <reference field="26" count="1" selected="0">
            <x v="1"/>
          </reference>
        </references>
      </pivotArea>
    </format>
    <format dxfId="401">
      <pivotArea field="9" type="button" dataOnly="0" labelOnly="1" outline="0" axis="axisRow" fieldPosition="0"/>
    </format>
    <format dxfId="400">
      <pivotArea field="0" type="button" dataOnly="0" labelOnly="1" outline="0" axis="axisRow" fieldPosition="1"/>
    </format>
    <format dxfId="399">
      <pivotArea field="7" type="button" dataOnly="0" labelOnly="1" outline="0" axis="axisRow" fieldPosition="2"/>
    </format>
    <format dxfId="398">
      <pivotArea field="1" type="button" dataOnly="0" labelOnly="1" outline="0" axis="axisRow" fieldPosition="3"/>
    </format>
    <format dxfId="397">
      <pivotArea field="21" type="button" dataOnly="0" labelOnly="1" outline="0" axis="axisRow" fieldPosition="4"/>
    </format>
    <format dxfId="396">
      <pivotArea field="17" type="button" dataOnly="0" labelOnly="1" outline="0" axis="axisRow" fieldPosition="5"/>
    </format>
    <format dxfId="395">
      <pivotArea field="18" type="button" dataOnly="0" labelOnly="1" outline="0" axis="axisRow" fieldPosition="6"/>
    </format>
    <format dxfId="394">
      <pivotArea field="31" type="button" dataOnly="0" labelOnly="1" outline="0" axis="axisRow" fieldPosition="7"/>
    </format>
    <format dxfId="393">
      <pivotArea field="32" type="button" dataOnly="0" labelOnly="1" outline="0" axis="axisRow" fieldPosition="8"/>
    </format>
    <format dxfId="392">
      <pivotArea dataOnly="0" labelOnly="1" grandCol="1" outline="0" fieldPosition="0"/>
    </format>
    <format dxfId="391">
      <pivotArea dataOnly="0" labelOnly="1" outline="0" fieldPosition="0">
        <references count="2">
          <reference field="25" count="4">
            <x v="8"/>
            <x v="9"/>
            <x v="10"/>
            <x v="11"/>
          </reference>
          <reference field="26" count="1" selected="0">
            <x v="0"/>
          </reference>
        </references>
      </pivotArea>
    </format>
    <format dxfId="390">
      <pivotArea dataOnly="0" labelOnly="1" outline="0" fieldPosition="0">
        <references count="2">
          <reference field="25" count="5">
            <x v="12"/>
            <x v="16"/>
            <x v="17"/>
            <x v="20"/>
            <x v="21"/>
          </reference>
          <reference field="26" count="1" selected="0">
            <x v="1"/>
          </reference>
        </references>
      </pivotArea>
    </format>
    <format dxfId="389">
      <pivotArea field="9" type="button" dataOnly="0" labelOnly="1" outline="0" axis="axisRow" fieldPosition="0"/>
    </format>
    <format dxfId="388">
      <pivotArea field="0" type="button" dataOnly="0" labelOnly="1" outline="0" axis="axisRow" fieldPosition="1"/>
    </format>
    <format dxfId="387">
      <pivotArea field="7" type="button" dataOnly="0" labelOnly="1" outline="0" axis="axisRow" fieldPosition="2"/>
    </format>
    <format dxfId="386">
      <pivotArea field="1" type="button" dataOnly="0" labelOnly="1" outline="0" axis="axisRow" fieldPosition="3"/>
    </format>
    <format dxfId="385">
      <pivotArea field="21" type="button" dataOnly="0" labelOnly="1" outline="0" axis="axisRow" fieldPosition="4"/>
    </format>
    <format dxfId="384">
      <pivotArea field="17" type="button" dataOnly="0" labelOnly="1" outline="0" axis="axisRow" fieldPosition="5"/>
    </format>
    <format dxfId="383">
      <pivotArea field="18" type="button" dataOnly="0" labelOnly="1" outline="0" axis="axisRow" fieldPosition="6"/>
    </format>
    <format dxfId="382">
      <pivotArea field="31" type="button" dataOnly="0" labelOnly="1" outline="0" axis="axisRow" fieldPosition="7"/>
    </format>
    <format dxfId="381">
      <pivotArea field="32" type="button" dataOnly="0" labelOnly="1" outline="0" axis="axisRow" fieldPosition="8"/>
    </format>
    <format dxfId="380">
      <pivotArea dataOnly="0" labelOnly="1" grandCol="1" outline="0" fieldPosition="0"/>
    </format>
    <format dxfId="379">
      <pivotArea dataOnly="0" labelOnly="1" outline="0" fieldPosition="0">
        <references count="2">
          <reference field="25" count="4">
            <x v="8"/>
            <x v="9"/>
            <x v="10"/>
            <x v="11"/>
          </reference>
          <reference field="26" count="1" selected="0">
            <x v="0"/>
          </reference>
        </references>
      </pivotArea>
    </format>
    <format dxfId="378">
      <pivotArea dataOnly="0" labelOnly="1" outline="0" fieldPosition="0">
        <references count="2">
          <reference field="25" count="5">
            <x v="12"/>
            <x v="16"/>
            <x v="17"/>
            <x v="20"/>
            <x v="21"/>
          </reference>
          <reference field="26" count="1" selected="0">
            <x v="1"/>
          </reference>
        </references>
      </pivotArea>
    </format>
    <format dxfId="377">
      <pivotArea dataOnly="0" labelOnly="1" outline="0" fieldPosition="0">
        <references count="2">
          <reference field="25" count="1">
            <x v="14"/>
          </reference>
          <reference field="26" count="1" selected="0">
            <x v="1"/>
          </reference>
        </references>
      </pivotArea>
    </format>
    <format dxfId="376">
      <pivotArea dataOnly="0" labelOnly="1" outline="0" fieldPosition="0">
        <references count="2">
          <reference field="25" count="1">
            <x v="14"/>
          </reference>
          <reference field="26" count="1" selected="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2DEB9C-6A87-44E7-91CE-71DB34067E20}" name="PivotTable6"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F1:BC37" firstHeaderRow="1" firstDataRow="3" firstDataCol="5"/>
  <pivotFields count="59">
    <pivotField axis="axisRow" compact="0" outline="0" showAll="0" sumSubtotal="1">
      <items count="3">
        <item h="1" x="1"/>
        <item x="0"/>
        <item t="sum"/>
      </items>
    </pivotField>
    <pivotField axis="axisRow" compact="0" outline="0" multipleItemSelectionAllowed="1" showAll="0" defaultSubtotal="0">
      <items count="2">
        <item h="1" x="1"/>
        <item x="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94">
        <item x="1"/>
        <item x="14"/>
        <item x="3"/>
        <item x="4"/>
        <item x="22"/>
        <item x="15"/>
        <item x="18"/>
        <item x="12"/>
        <item x="5"/>
        <item x="9"/>
        <item x="8"/>
        <item x="11"/>
        <item x="17"/>
        <item x="20"/>
        <item x="21"/>
        <item x="55"/>
        <item x="6"/>
        <item x="19"/>
        <item x="7"/>
        <item x="23"/>
        <item x="24"/>
        <item x="25"/>
        <item x="26"/>
        <item x="27"/>
        <item x="28"/>
        <item x="29"/>
        <item x="58"/>
        <item x="31"/>
        <item h="1" x="33"/>
        <item h="1" x="34"/>
        <item x="30"/>
        <item x="32"/>
        <item x="35"/>
        <item x="36"/>
        <item x="37"/>
        <item x="38"/>
        <item x="59"/>
        <item x="39"/>
        <item h="1" x="40"/>
        <item x="41"/>
        <item x="42"/>
        <item m="1" x="92"/>
        <item x="43"/>
        <item x="44"/>
        <item x="45"/>
        <item x="46"/>
        <item x="47"/>
        <item x="49"/>
        <item x="50"/>
        <item x="51"/>
        <item x="52"/>
        <item x="53"/>
        <item x="54"/>
        <item x="56"/>
        <item x="57"/>
        <item x="61"/>
        <item x="62"/>
        <item x="63"/>
        <item x="64"/>
        <item x="65"/>
        <item x="66"/>
        <item m="1" x="90"/>
        <item x="68"/>
        <item x="69"/>
        <item x="70"/>
        <item x="16"/>
        <item x="48"/>
        <item x="71"/>
        <item x="72"/>
        <item x="73"/>
        <item x="13"/>
        <item x="60"/>
        <item x="74"/>
        <item x="75"/>
        <item x="76"/>
        <item x="77"/>
        <item x="78"/>
        <item x="79"/>
        <item x="80"/>
        <item m="1" x="91"/>
        <item x="82"/>
        <item x="83"/>
        <item x="84"/>
        <item x="85"/>
        <item x="86"/>
        <item m="1" x="93"/>
        <item x="87"/>
        <item x="88"/>
        <item x="89"/>
        <item h="1" x="0"/>
        <item h="1" x="2"/>
        <item h="1" x="10"/>
        <item h="1" x="67"/>
        <item h="1" x="81"/>
      </items>
    </pivotField>
    <pivotField dataField="1" compact="0" outline="0" showAll="0" defaultSubtotal="0"/>
    <pivotField axis="axisRow" compact="0" outline="0" showAll="0" defaultSubtotal="0">
      <items count="10">
        <item x="0"/>
        <item x="3"/>
        <item m="1" x="9"/>
        <item x="1"/>
        <item h="1" x="2"/>
        <item x="4"/>
        <item h="1" x="6"/>
        <item h="1" x="7"/>
        <item h="1" x="5"/>
        <item h="1" x="8"/>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37">
        <item x="6"/>
        <item x="4"/>
        <item x="3"/>
        <item x="7"/>
        <item x="5"/>
        <item x="12"/>
        <item x="13"/>
        <item x="0"/>
        <item x="2"/>
        <item n="-" x="32"/>
        <item x="14"/>
        <item x="15"/>
        <item x="18"/>
        <item x="19"/>
        <item x="20"/>
        <item x="21"/>
        <item x="9"/>
        <item x="22"/>
        <item x="24"/>
        <item x="25"/>
        <item x="26"/>
        <item x="27"/>
        <item x="29"/>
        <item x="33"/>
        <item x="35"/>
        <item x="16"/>
        <item x="34"/>
        <item x="23"/>
        <item x="17"/>
        <item x="36"/>
        <item x="8"/>
        <item x="28"/>
        <item x="11"/>
        <item x="31"/>
        <item x="10"/>
        <item x="1"/>
        <item x="30"/>
      </items>
    </pivotField>
    <pivotField compact="0" outline="0" subtotalTop="0" showAll="0" defaultSubtotal="0"/>
    <pivotField compact="0" outline="0" showAll="0" defaultSubtotal="0"/>
    <pivotField compact="0" outline="0" subtotalTop="0" showAll="0" defaultSubtotal="0"/>
    <pivotField name="SM" axis="axisCol" compact="0" outline="0" subtotalTop="0" showAll="0" defaultSubtotal="0">
      <items count="28">
        <item x="24"/>
        <item x="25"/>
        <item x="13"/>
        <item x="7"/>
        <item x="0"/>
        <item x="1"/>
        <item x="2"/>
        <item x="3"/>
        <item x="8"/>
        <item x="9"/>
        <item x="10"/>
        <item x="15"/>
        <item x="11"/>
        <item x="18"/>
        <item x="19"/>
        <item x="16"/>
        <item x="14"/>
        <item x="4"/>
        <item x="5"/>
        <item x="6"/>
        <item x="23"/>
        <item x="17"/>
        <item x="20"/>
        <item x="12"/>
        <item x="26"/>
        <item m="1" x="27"/>
        <item x="21"/>
        <item x="22"/>
      </items>
    </pivotField>
    <pivotField name="YEAR" axis="axisCol" compact="0" outline="0" subtotalTop="0" showAll="0" defaultSubtotal="0">
      <items count="6">
        <item x="0"/>
        <item x="2"/>
        <item x="1"/>
        <item x="3"/>
        <item x="4"/>
        <item m="1"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5">
    <field x="0"/>
    <field x="7"/>
    <field x="1"/>
    <field x="9"/>
    <field x="22"/>
  </rowFields>
  <rowItems count="34">
    <i>
      <x v="1"/>
      <x/>
      <x v="1"/>
      <x/>
      <x v="7"/>
    </i>
    <i r="1">
      <x v="1"/>
      <x v="1"/>
      <x/>
      <x/>
    </i>
    <i r="1">
      <x v="2"/>
      <x v="1"/>
      <x/>
      <x v="7"/>
    </i>
    <i r="1">
      <x v="3"/>
      <x v="1"/>
      <x/>
      <x v="8"/>
    </i>
    <i r="1">
      <x v="4"/>
      <x v="1"/>
      <x/>
      <x v="6"/>
    </i>
    <i r="1">
      <x v="5"/>
      <x v="1"/>
      <x v="3"/>
      <x v="30"/>
    </i>
    <i r="1">
      <x v="6"/>
      <x v="1"/>
      <x/>
      <x v="4"/>
    </i>
    <i r="1">
      <x v="7"/>
      <x v="1"/>
      <x/>
      <x/>
    </i>
    <i r="1">
      <x v="8"/>
      <x v="1"/>
      <x/>
      <x v="2"/>
    </i>
    <i r="1">
      <x v="9"/>
      <x v="1"/>
      <x/>
      <x v="3"/>
    </i>
    <i r="3">
      <x v="1"/>
      <x v="3"/>
    </i>
    <i r="1">
      <x v="10"/>
      <x v="1"/>
      <x/>
      <x/>
    </i>
    <i r="3">
      <x v="1"/>
      <x/>
    </i>
    <i r="1">
      <x v="11"/>
      <x v="1"/>
      <x v="5"/>
      <x/>
    </i>
    <i r="1">
      <x v="12"/>
      <x v="1"/>
      <x v="1"/>
      <x v="34"/>
    </i>
    <i r="1">
      <x v="13"/>
      <x v="1"/>
      <x v="3"/>
      <x v="5"/>
    </i>
    <i r="1">
      <x v="14"/>
      <x v="1"/>
      <x/>
      <x/>
    </i>
    <i r="1">
      <x v="17"/>
      <x v="1"/>
      <x v="1"/>
      <x v="32"/>
    </i>
    <i r="1">
      <x v="18"/>
      <x v="1"/>
      <x v="3"/>
      <x v="4"/>
    </i>
    <i r="1">
      <x v="48"/>
      <x v="1"/>
      <x v="3"/>
      <x v="9"/>
    </i>
    <i r="1">
      <x v="49"/>
      <x v="1"/>
      <x v="1"/>
      <x v="6"/>
    </i>
    <i r="1">
      <x v="58"/>
      <x v="1"/>
      <x v="3"/>
      <x v="24"/>
    </i>
    <i r="1">
      <x v="69"/>
      <x v="1"/>
      <x/>
      <x/>
    </i>
    <i r="1">
      <x v="71"/>
      <x v="1"/>
      <x/>
      <x v="1"/>
    </i>
    <i r="1">
      <x v="73"/>
      <x v="1"/>
      <x v="1"/>
      <x/>
    </i>
    <i r="1">
      <x v="76"/>
      <x v="1"/>
      <x/>
      <x/>
    </i>
    <i r="1">
      <x v="77"/>
      <x v="1"/>
      <x v="3"/>
      <x v="1"/>
    </i>
    <i r="1">
      <x v="80"/>
      <x v="1"/>
      <x/>
      <x/>
    </i>
    <i r="1">
      <x v="81"/>
      <x v="1"/>
      <x v="3"/>
      <x v="1"/>
    </i>
    <i r="1">
      <x v="83"/>
      <x v="1"/>
      <x v="3"/>
      <x v="6"/>
    </i>
    <i r="1">
      <x v="84"/>
      <x v="1"/>
      <x v="3"/>
      <x v="4"/>
    </i>
    <i r="1">
      <x v="86"/>
      <x v="1"/>
      <x v="3"/>
      <x v="21"/>
    </i>
    <i t="sum">
      <x v="1"/>
    </i>
    <i t="grand">
      <x/>
    </i>
  </rowItems>
  <colFields count="2">
    <field x="27"/>
    <field x="26"/>
  </colFields>
  <colItems count="19">
    <i>
      <x/>
      <x/>
    </i>
    <i r="1">
      <x v="2"/>
    </i>
    <i r="1">
      <x v="3"/>
    </i>
    <i r="1">
      <x v="5"/>
    </i>
    <i r="1">
      <x v="6"/>
    </i>
    <i r="1">
      <x v="7"/>
    </i>
    <i r="1">
      <x v="8"/>
    </i>
    <i r="1">
      <x v="9"/>
    </i>
    <i r="1">
      <x v="10"/>
    </i>
    <i r="1">
      <x v="11"/>
    </i>
    <i>
      <x v="1"/>
      <x v="23"/>
    </i>
    <i>
      <x v="2"/>
      <x v="12"/>
    </i>
    <i r="1">
      <x v="15"/>
    </i>
    <i r="1">
      <x v="16"/>
    </i>
    <i r="1">
      <x v="17"/>
    </i>
    <i r="1">
      <x v="18"/>
    </i>
    <i r="1">
      <x v="19"/>
    </i>
    <i r="1">
      <x v="20"/>
    </i>
    <i t="grand">
      <x/>
    </i>
  </colItems>
  <dataFields count="1">
    <dataField name="Sum of COUNT" fld="8" baseField="0" baseItem="0"/>
  </dataFields>
  <formats count="138">
    <format dxfId="668">
      <pivotArea dataOnly="0" outline="0" fieldPosition="0">
        <references count="1">
          <reference field="9" count="0" sumSubtotal="1"/>
        </references>
      </pivotArea>
    </format>
    <format dxfId="667">
      <pivotArea dataOnly="0" outline="0" fieldPosition="0">
        <references count="1">
          <reference field="9" count="0" sumSubtotal="1"/>
        </references>
      </pivotArea>
    </format>
    <format dxfId="666">
      <pivotArea field="1" type="button" dataOnly="0" labelOnly="1" outline="0" axis="axisRow" fieldPosition="2"/>
    </format>
    <format dxfId="665">
      <pivotArea field="9" type="button" dataOnly="0" labelOnly="1" outline="0" axis="axisRow" fieldPosition="3"/>
    </format>
    <format dxfId="664">
      <pivotArea field="7" type="button" dataOnly="0" labelOnly="1" outline="0" axis="axisRow" fieldPosition="1"/>
    </format>
    <format dxfId="663">
      <pivotArea field="0" type="button" dataOnly="0" labelOnly="1" outline="0" axis="axisRow" fieldPosition="0"/>
    </format>
    <format dxfId="662">
      <pivotArea dataOnly="0" labelOnly="1" grandCol="1" outline="0" fieldPosition="0"/>
    </format>
    <format dxfId="661">
      <pivotArea field="1" type="button" dataOnly="0" labelOnly="1" outline="0" axis="axisRow" fieldPosition="2"/>
    </format>
    <format dxfId="660">
      <pivotArea field="9" type="button" dataOnly="0" labelOnly="1" outline="0" axis="axisRow" fieldPosition="3"/>
    </format>
    <format dxfId="659">
      <pivotArea field="7" type="button" dataOnly="0" labelOnly="1" outline="0" axis="axisRow" fieldPosition="1"/>
    </format>
    <format dxfId="658">
      <pivotArea field="0" type="button" dataOnly="0" labelOnly="1" outline="0" axis="axisRow" fieldPosition="0"/>
    </format>
    <format dxfId="657">
      <pivotArea dataOnly="0" labelOnly="1" grandCol="1" outline="0" fieldPosition="0"/>
    </format>
    <format dxfId="656">
      <pivotArea field="1" type="button" dataOnly="0" labelOnly="1" outline="0" axis="axisRow" fieldPosition="2"/>
    </format>
    <format dxfId="655">
      <pivotArea field="9" type="button" dataOnly="0" labelOnly="1" outline="0" axis="axisRow" fieldPosition="3"/>
    </format>
    <format dxfId="654">
      <pivotArea field="7" type="button" dataOnly="0" labelOnly="1" outline="0" axis="axisRow" fieldPosition="1"/>
    </format>
    <format dxfId="653">
      <pivotArea field="0" type="button" dataOnly="0" labelOnly="1" outline="0" axis="axisRow" fieldPosition="0"/>
    </format>
    <format dxfId="652">
      <pivotArea dataOnly="0" labelOnly="1" grandCol="1" outline="0" fieldPosition="0"/>
    </format>
    <format dxfId="651">
      <pivotArea field="22" type="button" dataOnly="0" labelOnly="1" outline="0" axis="axisRow" fieldPosition="4"/>
    </format>
    <format dxfId="650">
      <pivotArea field="22" type="button" dataOnly="0" labelOnly="1" outline="0" axis="axisRow" fieldPosition="4"/>
    </format>
    <format dxfId="649">
      <pivotArea type="all" dataOnly="0" outline="0" fieldPosition="0"/>
    </format>
    <format dxfId="648">
      <pivotArea type="all" dataOnly="0" outline="0" fieldPosition="0"/>
    </format>
    <format dxfId="647">
      <pivotArea outline="0" collapsedLevelsAreSubtotals="1" fieldPosition="0"/>
    </format>
    <format dxfId="646">
      <pivotArea type="origin" dataOnly="0" labelOnly="1" outline="0" fieldPosition="0"/>
    </format>
    <format dxfId="645">
      <pivotArea type="topRight" dataOnly="0" labelOnly="1" outline="0" fieldPosition="0"/>
    </format>
    <format dxfId="644">
      <pivotArea field="1" type="button" dataOnly="0" labelOnly="1" outline="0" axis="axisRow" fieldPosition="2"/>
    </format>
    <format dxfId="643">
      <pivotArea field="0" type="button" dataOnly="0" labelOnly="1" outline="0" axis="axisRow" fieldPosition="0"/>
    </format>
    <format dxfId="642">
      <pivotArea field="9" type="button" dataOnly="0" labelOnly="1" outline="0" axis="axisRow" fieldPosition="3"/>
    </format>
    <format dxfId="641">
      <pivotArea field="7" type="button" dataOnly="0" labelOnly="1" outline="0" axis="axisRow" fieldPosition="1"/>
    </format>
    <format dxfId="640">
      <pivotArea field="22" type="button" dataOnly="0" labelOnly="1" outline="0" axis="axisRow" fieldPosition="4"/>
    </format>
    <format dxfId="639">
      <pivotArea dataOnly="0" labelOnly="1" outline="0" fieldPosition="0">
        <references count="1">
          <reference field="1" count="0"/>
        </references>
      </pivotArea>
    </format>
    <format dxfId="638">
      <pivotArea dataOnly="0" labelOnly="1" grandRow="1" outline="0" fieldPosition="0"/>
    </format>
    <format dxfId="637">
      <pivotArea dataOnly="0" labelOnly="1" outline="0" fieldPosition="0">
        <references count="2">
          <reference field="0" count="0"/>
          <reference field="1" count="0" selected="0"/>
        </references>
      </pivotArea>
    </format>
    <format dxfId="636">
      <pivotArea dataOnly="0" labelOnly="1" outline="0" fieldPosition="0">
        <references count="2">
          <reference field="0" count="0" sumSubtotal="1"/>
          <reference field="1" count="0" selected="0"/>
        </references>
      </pivotArea>
    </format>
    <format dxfId="635">
      <pivotArea dataOnly="0" labelOnly="1" outline="0" fieldPosition="0">
        <references count="3">
          <reference field="0" count="1" selected="0">
            <x v="1"/>
          </reference>
          <reference field="1" count="0" selected="0"/>
          <reference field="9" count="0"/>
        </references>
      </pivotArea>
    </format>
    <format dxfId="634">
      <pivotArea dataOnly="0" labelOnly="1" grandCol="1" outline="0" fieldPosition="0"/>
    </format>
    <format dxfId="633">
      <pivotArea dataOnly="0" outline="0" fieldPosition="0">
        <references count="1">
          <reference field="9" count="0" sumSubtotal="1"/>
        </references>
      </pivotArea>
    </format>
    <format dxfId="632">
      <pivotArea grandCol="1" outline="0" collapsedLevelsAreSubtotals="1" fieldPosition="0"/>
    </format>
    <format dxfId="631">
      <pivotArea field="1" type="button" dataOnly="0" labelOnly="1" outline="0" axis="axisRow" fieldPosition="2"/>
    </format>
    <format dxfId="630">
      <pivotArea field="0" type="button" dataOnly="0" labelOnly="1" outline="0" axis="axisRow" fieldPosition="0"/>
    </format>
    <format dxfId="629">
      <pivotArea field="9" type="button" dataOnly="0" labelOnly="1" outline="0" axis="axisRow" fieldPosition="3"/>
    </format>
    <format dxfId="628">
      <pivotArea field="7" type="button" dataOnly="0" labelOnly="1" outline="0" axis="axisRow" fieldPosition="1"/>
    </format>
    <format dxfId="627">
      <pivotArea field="22" type="button" dataOnly="0" labelOnly="1" outline="0" axis="axisRow" fieldPosition="4"/>
    </format>
    <format dxfId="626">
      <pivotArea dataOnly="0" labelOnly="1" grandCol="1" outline="0" fieldPosition="0"/>
    </format>
    <format dxfId="625">
      <pivotArea field="1" type="button" dataOnly="0" labelOnly="1" outline="0" axis="axisRow" fieldPosition="2"/>
    </format>
    <format dxfId="624">
      <pivotArea field="0" type="button" dataOnly="0" labelOnly="1" outline="0" axis="axisRow" fieldPosition="0"/>
    </format>
    <format dxfId="623">
      <pivotArea field="9" type="button" dataOnly="0" labelOnly="1" outline="0" axis="axisRow" fieldPosition="3"/>
    </format>
    <format dxfId="622">
      <pivotArea field="7" type="button" dataOnly="0" labelOnly="1" outline="0" axis="axisRow" fieldPosition="1"/>
    </format>
    <format dxfId="621">
      <pivotArea field="22" type="button" dataOnly="0" labelOnly="1" outline="0" axis="axisRow" fieldPosition="4"/>
    </format>
    <format dxfId="620">
      <pivotArea dataOnly="0" labelOnly="1" grandCol="1" outline="0" fieldPosition="0"/>
    </format>
    <format dxfId="619">
      <pivotArea field="1" type="button" dataOnly="0" labelOnly="1" outline="0" axis="axisRow" fieldPosition="2"/>
    </format>
    <format dxfId="618">
      <pivotArea field="0" type="button" dataOnly="0" labelOnly="1" outline="0" axis="axisRow" fieldPosition="0"/>
    </format>
    <format dxfId="617">
      <pivotArea field="9" type="button" dataOnly="0" labelOnly="1" outline="0" axis="axisRow" fieldPosition="3"/>
    </format>
    <format dxfId="616">
      <pivotArea field="7" type="button" dataOnly="0" labelOnly="1" outline="0" axis="axisRow" fieldPosition="1"/>
    </format>
    <format dxfId="615">
      <pivotArea field="22" type="button" dataOnly="0" labelOnly="1" outline="0" axis="axisRow" fieldPosition="4"/>
    </format>
    <format dxfId="614">
      <pivotArea dataOnly="0" labelOnly="1" grandCol="1" outline="0" fieldPosition="0"/>
    </format>
    <format dxfId="613">
      <pivotArea field="1" type="button" dataOnly="0" labelOnly="1" outline="0" axis="axisRow" fieldPosition="2"/>
    </format>
    <format dxfId="612">
      <pivotArea field="0" type="button" dataOnly="0" labelOnly="1" outline="0" axis="axisRow" fieldPosition="0"/>
    </format>
    <format dxfId="611">
      <pivotArea field="9" type="button" dataOnly="0" labelOnly="1" outline="0" axis="axisRow" fieldPosition="3"/>
    </format>
    <format dxfId="610">
      <pivotArea field="7" type="button" dataOnly="0" labelOnly="1" outline="0" axis="axisRow" fieldPosition="1"/>
    </format>
    <format dxfId="609">
      <pivotArea field="22" type="button" dataOnly="0" labelOnly="1" outline="0" axis="axisRow" fieldPosition="4"/>
    </format>
    <format dxfId="608">
      <pivotArea dataOnly="0" labelOnly="1" grandCol="1" outline="0" fieldPosition="0"/>
    </format>
    <format dxfId="607">
      <pivotArea field="1" type="button" dataOnly="0" labelOnly="1" outline="0" axis="axisRow" fieldPosition="2"/>
    </format>
    <format dxfId="606">
      <pivotArea field="0" type="button" dataOnly="0" labelOnly="1" outline="0" axis="axisRow" fieldPosition="0"/>
    </format>
    <format dxfId="605">
      <pivotArea field="9" type="button" dataOnly="0" labelOnly="1" outline="0" axis="axisRow" fieldPosition="3"/>
    </format>
    <format dxfId="604">
      <pivotArea field="7" type="button" dataOnly="0" labelOnly="1" outline="0" axis="axisRow" fieldPosition="1"/>
    </format>
    <format dxfId="603">
      <pivotArea field="22" type="button" dataOnly="0" labelOnly="1" outline="0" axis="axisRow" fieldPosition="4"/>
    </format>
    <format dxfId="602">
      <pivotArea dataOnly="0" labelOnly="1" grandCol="1" outline="0" fieldPosition="0"/>
    </format>
    <format dxfId="601">
      <pivotArea dataOnly="0" outline="0" fieldPosition="0">
        <references count="1">
          <reference field="9" count="1">
            <x v="0"/>
          </reference>
        </references>
      </pivotArea>
    </format>
    <format dxfId="600">
      <pivotArea dataOnly="0" outline="0" fieldPosition="0">
        <references count="1">
          <reference field="9" count="1">
            <x v="1"/>
          </reference>
        </references>
      </pivotArea>
    </format>
    <format dxfId="599">
      <pivotArea dataOnly="0" outline="0" fieldPosition="0">
        <references count="1">
          <reference field="9" count="1">
            <x v="3"/>
          </reference>
        </references>
      </pivotArea>
    </format>
    <format dxfId="598">
      <pivotArea dataOnly="0" outline="0" fieldPosition="0">
        <references count="1">
          <reference field="9" count="1">
            <x v="2"/>
          </reference>
        </references>
      </pivotArea>
    </format>
    <format dxfId="597">
      <pivotArea outline="0" fieldPosition="0">
        <references count="5">
          <reference field="0" count="1" selected="0">
            <x v="0"/>
          </reference>
          <reference field="1" count="0" selected="0"/>
          <reference field="7" count="4" selected="0">
            <x v="26"/>
            <x v="27"/>
            <x v="30"/>
            <x v="31"/>
          </reference>
          <reference field="9" count="2" selected="0">
            <x v="0"/>
            <x v="1"/>
          </reference>
          <reference field="22" count="2" selected="0">
            <x v="8"/>
            <x v="14"/>
          </reference>
        </references>
      </pivotArea>
    </format>
    <format dxfId="596">
      <pivotArea dataOnly="0" labelOnly="1" outline="0" offset="IV7:IV11" fieldPosition="0">
        <references count="1">
          <reference field="0" count="1">
            <x v="0"/>
          </reference>
        </references>
      </pivotArea>
    </format>
    <format dxfId="595">
      <pivotArea dataOnly="0" labelOnly="1" outline="0" fieldPosition="0">
        <references count="2">
          <reference field="0" count="1" selected="0">
            <x v="0"/>
          </reference>
          <reference field="7" count="4">
            <x v="26"/>
            <x v="27"/>
            <x v="30"/>
            <x v="31"/>
          </reference>
        </references>
      </pivotArea>
    </format>
    <format dxfId="594">
      <pivotArea dataOnly="0" labelOnly="1" outline="0" offset="IV7:IV11" fieldPosition="0">
        <references count="3">
          <reference field="0" count="1" selected="0">
            <x v="0"/>
          </reference>
          <reference field="1" count="0"/>
          <reference field="7" count="1" selected="0">
            <x v="19"/>
          </reference>
        </references>
      </pivotArea>
    </format>
    <format dxfId="593">
      <pivotArea dataOnly="0" labelOnly="1" outline="0" offset="IV256" fieldPosition="0">
        <references count="4">
          <reference field="0" count="1" selected="0">
            <x v="0"/>
          </reference>
          <reference field="1" count="0" selected="0"/>
          <reference field="7" count="1" selected="0">
            <x v="24"/>
          </reference>
          <reference field="9" count="1">
            <x v="0"/>
          </reference>
        </references>
      </pivotArea>
    </format>
    <format dxfId="592">
      <pivotArea dataOnly="0" labelOnly="1" outline="0" fieldPosition="0">
        <references count="4">
          <reference field="0" count="1" selected="0">
            <x v="0"/>
          </reference>
          <reference field="1" count="0" selected="0"/>
          <reference field="7" count="1" selected="0">
            <x v="27"/>
          </reference>
          <reference field="9" count="1">
            <x v="1"/>
          </reference>
        </references>
      </pivotArea>
    </format>
    <format dxfId="591">
      <pivotArea dataOnly="0" labelOnly="1" outline="0" fieldPosition="0">
        <references count="4">
          <reference field="0" count="1" selected="0">
            <x v="0"/>
          </reference>
          <reference field="1" count="0" selected="0"/>
          <reference field="7" count="1" selected="0">
            <x v="30"/>
          </reference>
          <reference field="9" count="2">
            <x v="0"/>
            <x v="1"/>
          </reference>
        </references>
      </pivotArea>
    </format>
    <format dxfId="590">
      <pivotArea dataOnly="0" labelOnly="1" outline="0" fieldPosition="0">
        <references count="5">
          <reference field="0" count="1" selected="0">
            <x v="0"/>
          </reference>
          <reference field="1" count="0" selected="0"/>
          <reference field="7" count="1" selected="0">
            <x v="26"/>
          </reference>
          <reference field="9" count="1" selected="0">
            <x v="0"/>
          </reference>
          <reference field="22" count="1">
            <x v="14"/>
          </reference>
        </references>
      </pivotArea>
    </format>
    <format dxfId="589">
      <pivotArea dataOnly="0" labelOnly="1" outline="0" fieldPosition="0">
        <references count="5">
          <reference field="0" count="1" selected="0">
            <x v="0"/>
          </reference>
          <reference field="1" count="0" selected="0"/>
          <reference field="7" count="1" selected="0">
            <x v="27"/>
          </reference>
          <reference field="9" count="1" selected="0">
            <x v="1"/>
          </reference>
          <reference field="22" count="1">
            <x v="8"/>
          </reference>
        </references>
      </pivotArea>
    </format>
    <format dxfId="588">
      <pivotArea dataOnly="0" labelOnly="1" outline="0" fieldPosition="0">
        <references count="5">
          <reference field="0" count="1" selected="0">
            <x v="0"/>
          </reference>
          <reference field="1" count="0" selected="0"/>
          <reference field="7" count="1" selected="0">
            <x v="30"/>
          </reference>
          <reference field="9" count="1" selected="0">
            <x v="0"/>
          </reference>
          <reference field="22" count="1">
            <x v="14"/>
          </reference>
        </references>
      </pivotArea>
    </format>
    <format dxfId="587">
      <pivotArea dataOnly="0" labelOnly="1" outline="0" fieldPosition="0">
        <references count="5">
          <reference field="0" count="1" selected="0">
            <x v="0"/>
          </reference>
          <reference field="1" count="0" selected="0"/>
          <reference field="7" count="1" selected="0">
            <x v="30"/>
          </reference>
          <reference field="9" count="1" selected="0">
            <x v="1"/>
          </reference>
          <reference field="22" count="1">
            <x v="14"/>
          </reference>
        </references>
      </pivotArea>
    </format>
    <format dxfId="586">
      <pivotArea dataOnly="0" labelOnly="1" outline="0" fieldPosition="0">
        <references count="5">
          <reference field="0" count="1" selected="0">
            <x v="0"/>
          </reference>
          <reference field="1" count="0" selected="0"/>
          <reference field="7" count="1" selected="0">
            <x v="31"/>
          </reference>
          <reference field="9" count="1" selected="0">
            <x v="1"/>
          </reference>
          <reference field="22" count="1">
            <x v="8"/>
          </reference>
        </references>
      </pivotArea>
    </format>
    <format dxfId="585">
      <pivotArea field="0" grandCol="1" outline="0" axis="axisRow" fieldPosition="0">
        <references count="1">
          <reference field="0" count="1" selected="0" sumSubtotal="1">
            <x v="0"/>
          </reference>
        </references>
      </pivotArea>
    </format>
    <format dxfId="584">
      <pivotArea field="0" grandCol="1" outline="0" axis="axisRow" fieldPosition="0">
        <references count="1">
          <reference field="0" count="1" selected="0" sumSubtotal="1">
            <x v="0"/>
          </reference>
        </references>
      </pivotArea>
    </format>
    <format dxfId="583">
      <pivotArea outline="0" fieldPosition="0">
        <references count="1">
          <reference field="0" count="1" selected="0" sumSubtotal="1">
            <x v="0"/>
          </reference>
        </references>
      </pivotArea>
    </format>
    <format dxfId="582">
      <pivotArea outline="0" fieldPosition="0">
        <references count="1">
          <reference field="0" count="1" selected="0" sumSubtotal="1">
            <x v="0"/>
          </reference>
        </references>
      </pivotArea>
    </format>
    <format dxfId="581">
      <pivotArea field="0" grandCol="1" outline="0" axis="axisRow" fieldPosition="0">
        <references count="1">
          <reference field="0" count="1" selected="0" sumSubtotal="1">
            <x v="1"/>
          </reference>
        </references>
      </pivotArea>
    </format>
    <format dxfId="580">
      <pivotArea field="0" grandCol="1" outline="0" axis="axisRow" fieldPosition="0">
        <references count="1">
          <reference field="0" count="1" selected="0" sumSubtotal="1">
            <x v="1"/>
          </reference>
        </references>
      </pivotArea>
    </format>
    <format dxfId="579">
      <pivotArea field="0" grandCol="1" outline="0" axis="axisRow" fieldPosition="0">
        <references count="1">
          <reference field="0" count="1" selected="0" sumSubtotal="1">
            <x v="0"/>
          </reference>
        </references>
      </pivotArea>
    </format>
    <format dxfId="578">
      <pivotArea field="0" grandCol="1" outline="0" axis="axisRow" fieldPosition="0">
        <references count="1">
          <reference field="0" count="1" selected="0" sumSubtotal="1">
            <x v="1"/>
          </reference>
        </references>
      </pivotArea>
    </format>
    <format dxfId="577">
      <pivotArea field="0" grandCol="1" outline="0" axis="axisRow" fieldPosition="0">
        <references count="1">
          <reference field="0" count="1" selected="0" sumSubtotal="1">
            <x v="0"/>
          </reference>
        </references>
      </pivotArea>
    </format>
    <format dxfId="576">
      <pivotArea field="0" grandCol="1" outline="0" axis="axisRow" fieldPosition="0">
        <references count="1">
          <reference field="0" count="1" selected="0" sumSubtotal="1">
            <x v="1"/>
          </reference>
        </references>
      </pivotArea>
    </format>
    <format dxfId="575">
      <pivotArea outline="0" fieldPosition="0">
        <references count="7">
          <reference field="0" count="1" selected="0">
            <x v="0"/>
          </reference>
          <reference field="1" count="1" selected="0">
            <x v="1"/>
          </reference>
          <reference field="7" count="22" selected="0">
            <x v="20"/>
            <x v="22"/>
            <x v="23"/>
            <x v="24"/>
            <x v="26"/>
            <x v="27"/>
            <x v="30"/>
            <x v="31"/>
            <x v="32"/>
            <x v="33"/>
            <x v="35"/>
            <x v="36"/>
            <x v="37"/>
            <x v="39"/>
            <x v="53"/>
            <x v="54"/>
            <x v="60"/>
            <x v="62"/>
            <x v="64"/>
            <x v="66"/>
            <x v="68"/>
            <x v="72"/>
          </reference>
          <reference field="9" count="4" selected="0">
            <x v="0"/>
            <x v="1"/>
            <x v="2"/>
            <x v="3"/>
          </reference>
          <reference field="22" count="18" selected="0">
            <x v="0"/>
            <x v="4"/>
            <x v="8"/>
            <x v="9"/>
            <x v="11"/>
            <x v="12"/>
            <x v="13"/>
            <x v="14"/>
            <x v="17"/>
            <x v="19"/>
            <x v="20"/>
            <x v="21"/>
            <x v="22"/>
            <x v="24"/>
            <x v="26"/>
            <x v="27"/>
            <x v="28"/>
            <x v="30"/>
          </reference>
          <reference field="26" count="6" selected="0">
            <x v="6"/>
            <x v="7"/>
            <x v="8"/>
            <x v="9"/>
            <x v="10"/>
            <x v="11"/>
          </reference>
          <reference field="27" count="0" selected="0"/>
        </references>
      </pivotArea>
    </format>
    <format dxfId="574">
      <pivotArea outline="0" fieldPosition="0">
        <references count="7">
          <reference field="0" count="1" selected="0">
            <x v="0"/>
          </reference>
          <reference field="1" count="1" selected="0">
            <x v="1"/>
          </reference>
          <reference field="7" count="1" selected="0">
            <x v="62"/>
          </reference>
          <reference field="9" count="1" selected="0">
            <x v="1"/>
          </reference>
          <reference field="22" count="1" selected="0">
            <x v="9"/>
          </reference>
          <reference field="26" count="2" selected="0">
            <x v="7"/>
            <x v="8"/>
          </reference>
          <reference field="27" count="0" selected="0"/>
        </references>
      </pivotArea>
    </format>
    <format dxfId="573">
      <pivotArea outline="0" fieldPosition="0">
        <references count="7">
          <reference field="0" count="1" selected="0">
            <x v="0"/>
          </reference>
          <reference field="1" count="1" selected="0">
            <x v="1"/>
          </reference>
          <reference field="7" count="24" selected="0">
            <x v="20"/>
            <x v="22"/>
            <x v="23"/>
            <x v="24"/>
            <x v="26"/>
            <x v="27"/>
            <x v="29"/>
            <x v="30"/>
            <x v="31"/>
            <x v="32"/>
            <x v="33"/>
            <x v="35"/>
            <x v="36"/>
            <x v="37"/>
            <x v="38"/>
            <x v="39"/>
            <x v="53"/>
            <x v="54"/>
            <x v="60"/>
            <x v="62"/>
            <x v="64"/>
            <x v="66"/>
            <x v="68"/>
            <x v="72"/>
          </reference>
          <reference field="9" count="0" selected="0"/>
          <reference field="22" count="19" selected="0">
            <x v="0"/>
            <x v="4"/>
            <x v="8"/>
            <x v="11"/>
            <x v="12"/>
            <x v="13"/>
            <x v="14"/>
            <x v="16"/>
            <x v="17"/>
            <x v="19"/>
            <x v="20"/>
            <x v="21"/>
            <x v="22"/>
            <x v="24"/>
            <x v="26"/>
            <x v="27"/>
            <x v="28"/>
            <x v="29"/>
            <x v="30"/>
          </reference>
          <reference field="26" count="6" selected="0">
            <x v="6"/>
            <x v="7"/>
            <x v="8"/>
            <x v="9"/>
            <x v="10"/>
            <x v="11"/>
          </reference>
          <reference field="27" count="0" selected="0"/>
        </references>
      </pivotArea>
    </format>
    <format dxfId="572">
      <pivotArea outline="0" fieldPosition="0">
        <references count="7">
          <reference field="0" count="1" selected="0">
            <x v="1"/>
          </reference>
          <reference field="1" count="1" selected="0">
            <x v="1"/>
          </reference>
          <reference field="7" count="1" selected="0">
            <x v="0"/>
          </reference>
          <reference field="9" count="1" selected="0">
            <x v="1"/>
          </reference>
          <reference field="22" count="1" selected="0">
            <x v="7"/>
          </reference>
          <reference field="26" count="7" selected="0">
            <x v="5"/>
            <x v="6"/>
            <x v="7"/>
            <x v="8"/>
            <x v="9"/>
            <x v="10"/>
            <x v="11"/>
          </reference>
          <reference field="27" count="0" selected="0"/>
        </references>
      </pivotArea>
    </format>
    <format dxfId="571">
      <pivotArea outline="0" fieldPosition="0">
        <references count="7">
          <reference field="0" count="1" selected="0">
            <x v="1"/>
          </reference>
          <reference field="1" count="1" selected="0">
            <x v="1"/>
          </reference>
          <reference field="7" count="19" selected="0">
            <x v="1"/>
            <x v="2"/>
            <x v="3"/>
            <x v="4"/>
            <x v="6"/>
            <x v="7"/>
            <x v="8"/>
            <x v="9"/>
            <x v="10"/>
            <x v="12"/>
            <x v="14"/>
            <x v="17"/>
            <x v="49"/>
            <x v="69"/>
            <x v="71"/>
            <x v="73"/>
            <x v="76"/>
            <x v="80"/>
            <x v="81"/>
          </reference>
          <reference field="9" count="3" selected="0">
            <x v="0"/>
            <x v="1"/>
            <x v="3"/>
          </reference>
          <reference field="22" count="9" selected="0">
            <x v="0"/>
            <x v="1"/>
            <x v="2"/>
            <x v="3"/>
            <x v="4"/>
            <x v="6"/>
            <x v="7"/>
            <x v="8"/>
            <x v="32"/>
          </reference>
          <reference field="26" count="7" selected="0">
            <x v="5"/>
            <x v="6"/>
            <x v="7"/>
            <x v="8"/>
            <x v="9"/>
            <x v="10"/>
            <x v="11"/>
          </reference>
          <reference field="27" count="0" selected="0"/>
        </references>
      </pivotArea>
    </format>
    <format dxfId="570">
      <pivotArea outline="0" fieldPosition="0">
        <references count="7">
          <reference field="0" count="1" selected="0">
            <x v="1"/>
          </reference>
          <reference field="1" count="1" selected="0">
            <x v="1"/>
          </reference>
          <reference field="7" count="1" selected="0">
            <x v="6"/>
          </reference>
          <reference field="9" count="1" selected="0">
            <x v="1"/>
          </reference>
          <reference field="22" count="1" selected="0">
            <x v="4"/>
          </reference>
          <reference field="26" count="1" selected="0">
            <x v="7"/>
          </reference>
          <reference field="27" count="0" selected="0"/>
        </references>
      </pivotArea>
    </format>
    <format dxfId="569">
      <pivotArea outline="0" fieldPosition="0">
        <references count="7">
          <reference field="0" count="1" selected="0">
            <x v="1"/>
          </reference>
          <reference field="1" count="1" selected="0">
            <x v="1"/>
          </reference>
          <reference field="7" count="1" selected="0">
            <x v="4"/>
          </reference>
          <reference field="9" count="1" selected="0">
            <x v="1"/>
          </reference>
          <reference field="22" count="1" selected="0">
            <x v="6"/>
          </reference>
          <reference field="26" count="1" selected="0">
            <x v="7"/>
          </reference>
          <reference field="27" count="0" selected="0"/>
        </references>
      </pivotArea>
    </format>
    <format dxfId="568">
      <pivotArea outline="0" fieldPosition="0">
        <references count="7">
          <reference field="0" count="1" selected="0">
            <x v="1"/>
          </reference>
          <reference field="1" count="1" selected="0">
            <x v="1"/>
          </reference>
          <reference field="7" count="1" selected="0">
            <x v="3"/>
          </reference>
          <reference field="9" count="1" selected="0">
            <x v="1"/>
          </reference>
          <reference field="22" count="1" selected="0">
            <x v="8"/>
          </reference>
          <reference field="26" count="1" selected="0">
            <x v="7"/>
          </reference>
          <reference field="27" count="0" selected="0"/>
        </references>
      </pivotArea>
    </format>
    <format dxfId="567">
      <pivotArea outline="0" fieldPosition="0">
        <references count="7">
          <reference field="0" count="1" selected="0">
            <x v="1"/>
          </reference>
          <reference field="1" count="1" selected="0">
            <x v="1"/>
          </reference>
          <reference field="7" count="1" selected="0">
            <x v="0"/>
          </reference>
          <reference field="9" count="1" selected="0">
            <x v="1"/>
          </reference>
          <reference field="22" count="1" selected="0">
            <x v="7"/>
          </reference>
          <reference field="26" count="1" selected="0">
            <x v="7"/>
          </reference>
          <reference field="27" count="0" selected="0"/>
        </references>
      </pivotArea>
    </format>
    <format dxfId="566">
      <pivotArea field="0" type="button" dataOnly="0" labelOnly="1" outline="0" axis="axisRow" fieldPosition="0"/>
    </format>
    <format dxfId="565">
      <pivotArea field="7" type="button" dataOnly="0" labelOnly="1" outline="0" axis="axisRow" fieldPosition="1"/>
    </format>
    <format dxfId="564">
      <pivotArea field="1" type="button" dataOnly="0" labelOnly="1" outline="0" axis="axisRow" fieldPosition="2"/>
    </format>
    <format dxfId="563">
      <pivotArea field="9" type="button" dataOnly="0" labelOnly="1" outline="0" axis="axisRow" fieldPosition="3"/>
    </format>
    <format dxfId="562">
      <pivotArea field="22" type="button" dataOnly="0" labelOnly="1" outline="0" axis="axisRow" fieldPosition="4"/>
    </format>
    <format dxfId="561">
      <pivotArea dataOnly="0" labelOnly="1" grandCol="1" outline="0" fieldPosition="0"/>
    </format>
    <format dxfId="560">
      <pivotArea dataOnly="0" labelOnly="1" outline="0" fieldPosition="0">
        <references count="2">
          <reference field="26" count="9">
            <x v="0"/>
            <x v="2"/>
            <x v="3"/>
            <x v="5"/>
            <x v="6"/>
            <x v="7"/>
            <x v="8"/>
            <x v="10"/>
            <x v="11"/>
          </reference>
          <reference field="27" count="1" selected="0">
            <x v="0"/>
          </reference>
        </references>
      </pivotArea>
    </format>
    <format dxfId="559">
      <pivotArea dataOnly="0" labelOnly="1" outline="0" fieldPosition="0">
        <references count="2">
          <reference field="26" count="1">
            <x v="23"/>
          </reference>
          <reference field="27" count="1" selected="0">
            <x v="1"/>
          </reference>
        </references>
      </pivotArea>
    </format>
    <format dxfId="558">
      <pivotArea dataOnly="0" labelOnly="1" outline="0" fieldPosition="0">
        <references count="2">
          <reference field="26" count="8">
            <x v="12"/>
            <x v="14"/>
            <x v="15"/>
            <x v="16"/>
            <x v="17"/>
            <x v="18"/>
            <x v="19"/>
            <x v="20"/>
          </reference>
          <reference field="27" count="1" selected="0">
            <x v="2"/>
          </reference>
        </references>
      </pivotArea>
    </format>
    <format dxfId="557">
      <pivotArea field="0" type="button" dataOnly="0" labelOnly="1" outline="0" axis="axisRow" fieldPosition="0"/>
    </format>
    <format dxfId="556">
      <pivotArea field="7" type="button" dataOnly="0" labelOnly="1" outline="0" axis="axisRow" fieldPosition="1"/>
    </format>
    <format dxfId="555">
      <pivotArea field="1" type="button" dataOnly="0" labelOnly="1" outline="0" axis="axisRow" fieldPosition="2"/>
    </format>
    <format dxfId="554">
      <pivotArea field="9" type="button" dataOnly="0" labelOnly="1" outline="0" axis="axisRow" fieldPosition="3"/>
    </format>
    <format dxfId="553">
      <pivotArea field="22" type="button" dataOnly="0" labelOnly="1" outline="0" axis="axisRow" fieldPosition="4"/>
    </format>
    <format dxfId="552">
      <pivotArea dataOnly="0" labelOnly="1" grandCol="1" outline="0" fieldPosition="0"/>
    </format>
    <format dxfId="551">
      <pivotArea dataOnly="0" labelOnly="1" outline="0" fieldPosition="0">
        <references count="2">
          <reference field="26" count="9">
            <x v="0"/>
            <x v="2"/>
            <x v="3"/>
            <x v="5"/>
            <x v="6"/>
            <x v="7"/>
            <x v="8"/>
            <x v="10"/>
            <x v="11"/>
          </reference>
          <reference field="27" count="1" selected="0">
            <x v="0"/>
          </reference>
        </references>
      </pivotArea>
    </format>
    <format dxfId="550">
      <pivotArea dataOnly="0" labelOnly="1" outline="0" fieldPosition="0">
        <references count="2">
          <reference field="26" count="1">
            <x v="23"/>
          </reference>
          <reference field="27" count="1" selected="0">
            <x v="1"/>
          </reference>
        </references>
      </pivotArea>
    </format>
    <format dxfId="549">
      <pivotArea dataOnly="0" labelOnly="1" outline="0" fieldPosition="0">
        <references count="2">
          <reference field="26" count="8">
            <x v="12"/>
            <x v="14"/>
            <x v="15"/>
            <x v="16"/>
            <x v="17"/>
            <x v="18"/>
            <x v="19"/>
            <x v="20"/>
          </reference>
          <reference field="27" count="1" selected="0">
            <x v="2"/>
          </reference>
        </references>
      </pivotArea>
    </format>
    <format dxfId="548">
      <pivotArea field="0" type="button" dataOnly="0" labelOnly="1" outline="0" axis="axisRow" fieldPosition="0"/>
    </format>
    <format dxfId="547">
      <pivotArea field="7" type="button" dataOnly="0" labelOnly="1" outline="0" axis="axisRow" fieldPosition="1"/>
    </format>
    <format dxfId="546">
      <pivotArea field="1" type="button" dataOnly="0" labelOnly="1" outline="0" axis="axisRow" fieldPosition="2"/>
    </format>
    <format dxfId="545">
      <pivotArea field="9" type="button" dataOnly="0" labelOnly="1" outline="0" axis="axisRow" fieldPosition="3"/>
    </format>
    <format dxfId="544">
      <pivotArea field="22" type="button" dataOnly="0" labelOnly="1" outline="0" axis="axisRow" fieldPosition="4"/>
    </format>
    <format dxfId="543">
      <pivotArea dataOnly="0" labelOnly="1" grandCol="1" outline="0" fieldPosition="0"/>
    </format>
    <format dxfId="542">
      <pivotArea dataOnly="0" labelOnly="1" outline="0" fieldPosition="0">
        <references count="2">
          <reference field="26" count="9">
            <x v="0"/>
            <x v="2"/>
            <x v="3"/>
            <x v="5"/>
            <x v="6"/>
            <x v="7"/>
            <x v="8"/>
            <x v="10"/>
            <x v="11"/>
          </reference>
          <reference field="27" count="1" selected="0">
            <x v="0"/>
          </reference>
        </references>
      </pivotArea>
    </format>
    <format dxfId="541">
      <pivotArea dataOnly="0" labelOnly="1" outline="0" fieldPosition="0">
        <references count="2">
          <reference field="26" count="1">
            <x v="23"/>
          </reference>
          <reference field="27" count="1" selected="0">
            <x v="1"/>
          </reference>
        </references>
      </pivotArea>
    </format>
    <format dxfId="540">
      <pivotArea dataOnly="0" labelOnly="1" outline="0" fieldPosition="0">
        <references count="2">
          <reference field="26" count="8">
            <x v="12"/>
            <x v="14"/>
            <x v="15"/>
            <x v="16"/>
            <x v="17"/>
            <x v="18"/>
            <x v="19"/>
            <x v="20"/>
          </reference>
          <reference field="27" count="1" selected="0">
            <x v="2"/>
          </reference>
        </references>
      </pivotArea>
    </format>
    <format dxfId="539">
      <pivotArea field="0" type="button" dataOnly="0" labelOnly="1" outline="0" axis="axisRow" fieldPosition="0"/>
    </format>
    <format dxfId="538">
      <pivotArea field="7" type="button" dataOnly="0" labelOnly="1" outline="0" axis="axisRow" fieldPosition="1"/>
    </format>
    <format dxfId="537">
      <pivotArea field="1" type="button" dataOnly="0" labelOnly="1" outline="0" axis="axisRow" fieldPosition="2"/>
    </format>
    <format dxfId="536">
      <pivotArea field="9" type="button" dataOnly="0" labelOnly="1" outline="0" axis="axisRow" fieldPosition="3"/>
    </format>
    <format dxfId="535">
      <pivotArea field="22" type="button" dataOnly="0" labelOnly="1" outline="0" axis="axisRow" fieldPosition="4"/>
    </format>
    <format dxfId="534">
      <pivotArea dataOnly="0" labelOnly="1" grandCol="1" outline="0" fieldPosition="0"/>
    </format>
    <format dxfId="533">
      <pivotArea dataOnly="0" labelOnly="1" outline="0" fieldPosition="0">
        <references count="2">
          <reference field="26" count="9">
            <x v="0"/>
            <x v="2"/>
            <x v="3"/>
            <x v="5"/>
            <x v="6"/>
            <x v="7"/>
            <x v="8"/>
            <x v="10"/>
            <x v="11"/>
          </reference>
          <reference field="27" count="1" selected="0">
            <x v="0"/>
          </reference>
        </references>
      </pivotArea>
    </format>
    <format dxfId="532">
      <pivotArea dataOnly="0" labelOnly="1" outline="0" fieldPosition="0">
        <references count="2">
          <reference field="26" count="1">
            <x v="23"/>
          </reference>
          <reference field="27" count="1" selected="0">
            <x v="1"/>
          </reference>
        </references>
      </pivotArea>
    </format>
    <format dxfId="531">
      <pivotArea dataOnly="0" labelOnly="1" outline="0" fieldPosition="0">
        <references count="2">
          <reference field="26" count="8">
            <x v="12"/>
            <x v="14"/>
            <x v="15"/>
            <x v="16"/>
            <x v="17"/>
            <x v="18"/>
            <x v="19"/>
            <x v="20"/>
          </reference>
          <reference field="27" count="1" selected="0">
            <x v="2"/>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AF7F2B-390B-4F1D-8853-4288A59E192F}" name="PivotTable3"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K13" firstHeaderRow="1" firstDataRow="2" firstDataCol="2"/>
  <pivotFields count="58">
    <pivotField compact="0" outline="0" showAll="0" sumSubtotal="1">
      <items count="6">
        <item x="1"/>
        <item x="0"/>
        <item x="4"/>
        <item x="2"/>
        <item x="3"/>
        <item t="sum"/>
      </items>
    </pivotField>
    <pivotField axis="axisRow" compact="0" outline="0" multipleItemSelectionAllowed="1" showAll="0" sumSubtotal="1">
      <items count="5">
        <item x="1"/>
        <item x="0"/>
        <item h="1" x="2"/>
        <item h="1" m="1" x="3"/>
        <item t="sum"/>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items count="133">
        <item x="1"/>
        <item x="15"/>
        <item x="3"/>
        <item x="4"/>
        <item x="23"/>
        <item x="16"/>
        <item x="19"/>
        <item x="13"/>
        <item x="5"/>
        <item x="10"/>
        <item x="8"/>
        <item x="12"/>
        <item x="18"/>
        <item x="21"/>
        <item x="22"/>
        <item x="57"/>
        <item x="6"/>
        <item x="20"/>
        <item x="7"/>
        <item x="24"/>
        <item x="25"/>
        <item x="26"/>
        <item x="27"/>
        <item x="28"/>
        <item x="29"/>
        <item x="30"/>
        <item x="60"/>
        <item x="32"/>
        <item h="1" x="35"/>
        <item h="1" x="36"/>
        <item x="31"/>
        <item x="33"/>
        <item x="37"/>
        <item x="38"/>
        <item x="39"/>
        <item x="40"/>
        <item x="61"/>
        <item x="41"/>
        <item h="1" x="42"/>
        <item x="43"/>
        <item x="44"/>
        <item x="45"/>
        <item x="46"/>
        <item x="47"/>
        <item x="48"/>
        <item x="49"/>
        <item x="51"/>
        <item x="52"/>
        <item x="53"/>
        <item x="54"/>
        <item x="55"/>
        <item x="56"/>
        <item x="58"/>
        <item x="59"/>
        <item x="63"/>
        <item x="64"/>
        <item x="65"/>
        <item x="66"/>
        <item x="67"/>
        <item x="68"/>
        <item m="1" x="125"/>
        <item x="70"/>
        <item x="71"/>
        <item x="72"/>
        <item x="17"/>
        <item x="50"/>
        <item x="73"/>
        <item x="74"/>
        <item x="75"/>
        <item x="14"/>
        <item x="62"/>
        <item x="76"/>
        <item x="77"/>
        <item x="78"/>
        <item x="79"/>
        <item x="80"/>
        <item x="81"/>
        <item x="82"/>
        <item m="1" x="126"/>
        <item x="84"/>
        <item x="85"/>
        <item x="86"/>
        <item x="87"/>
        <item x="88"/>
        <item x="89"/>
        <item x="90"/>
        <item x="91"/>
        <item x="92"/>
        <item x="93"/>
        <item x="94"/>
        <item x="95"/>
        <item x="96"/>
        <item x="98"/>
        <item x="99"/>
        <item x="100"/>
        <item x="2"/>
        <item x="0"/>
        <item x="101"/>
        <item x="102"/>
        <item x="103"/>
        <item x="105"/>
        <item x="107"/>
        <item x="108"/>
        <item m="1" x="128"/>
        <item m="1" x="127"/>
        <item h="1" m="1" x="123"/>
        <item m="1" x="130"/>
        <item m="1" x="131"/>
        <item m="1" x="132"/>
        <item x="110"/>
        <item m="1" x="124"/>
        <item m="1" x="129"/>
        <item x="97"/>
        <item x="111"/>
        <item x="109"/>
        <item x="83"/>
        <item x="112"/>
        <item x="69"/>
        <item x="113"/>
        <item h="1" x="104"/>
        <item h="1" x="106"/>
        <item h="1" x="11"/>
        <item h="1" x="9"/>
        <item h="1" x="34"/>
        <item h="1" x="114"/>
        <item h="1" m="1" x="121"/>
        <item h="1" x="116"/>
        <item h="1" x="117"/>
        <item h="1" x="118"/>
        <item h="1" m="1" x="122"/>
        <item h="1" x="120"/>
        <item h="1" x="115"/>
        <item h="1" x="119"/>
      </items>
    </pivotField>
    <pivotField compact="0" outline="0" showAll="0" defaultSubtotal="0"/>
    <pivotField axis="axisRow" compact="0" outline="0" showAll="0" defaultSubtotal="0">
      <items count="12">
        <item x="0"/>
        <item x="3"/>
        <item x="4"/>
        <item x="1"/>
        <item h="1" x="2"/>
        <item h="1" x="5"/>
        <item h="1" x="7"/>
        <item h="1" x="9"/>
        <item h="1" x="6"/>
        <item h="1" x="8"/>
        <item h="1" x="11"/>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items count="39">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x="32"/>
        <item x="10"/>
        <item x="31"/>
        <item x="1"/>
        <item m="1" x="38"/>
        <item m="1" x="37"/>
      </items>
    </pivotField>
    <pivotField compact="0" outline="0" subtotalTop="0" showAll="0" defaultSubtotal="0"/>
    <pivotField compact="0" outline="0" showAll="0" defaultSubtotal="0"/>
    <pivotField dataField="1" compact="0" outline="0" subtotalTop="0" showAll="0" defaultSubtotal="0"/>
    <pivotField name="SM" compact="0" outline="0" subtotalTop="0" showAll="0" defaultSubtotal="0"/>
    <pivotField name="YEAR" axis="axisCol" compact="0" outline="0" subtotalTop="0" showAll="0" defaultSubtotal="0">
      <items count="7">
        <item x="0"/>
        <item h="1" x="2"/>
        <item x="1"/>
        <item h="1" x="3"/>
        <item h="1" x="4"/>
        <item h="1" m="1" x="6"/>
        <item h="1"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1"/>
    <field x="9"/>
  </rowFields>
  <rowItems count="11">
    <i>
      <x/>
      <x/>
    </i>
    <i r="1">
      <x v="1"/>
    </i>
    <i r="1">
      <x v="2"/>
    </i>
    <i r="1">
      <x v="3"/>
    </i>
    <i t="sum">
      <x/>
    </i>
    <i>
      <x v="1"/>
      <x/>
    </i>
    <i r="1">
      <x v="1"/>
    </i>
    <i r="1">
      <x v="2"/>
    </i>
    <i r="1">
      <x v="3"/>
    </i>
    <i t="sum">
      <x v="1"/>
    </i>
    <i t="grand">
      <x/>
    </i>
  </rowItems>
  <colFields count="1">
    <field x="26"/>
  </colFields>
  <colItems count="3">
    <i>
      <x/>
    </i>
    <i>
      <x v="2"/>
    </i>
    <i t="grand">
      <x/>
    </i>
  </colItems>
  <dataFields count="1">
    <dataField name="Sum of PROJECT BREAK VALUE" fld="24" baseField="9" baseItem="0" numFmtId="166"/>
  </dataFields>
  <formats count="63">
    <format dxfId="312">
      <pivotArea field="1" type="button" dataOnly="0" labelOnly="1" outline="0" axis="axisRow" fieldPosition="0"/>
    </format>
    <format dxfId="311">
      <pivotArea field="9" type="button" dataOnly="0" labelOnly="1" outline="0" axis="axisRow" fieldPosition="1"/>
    </format>
    <format dxfId="310">
      <pivotArea field="7" type="button" dataOnly="0" labelOnly="1" outline="0"/>
    </format>
    <format dxfId="309">
      <pivotArea field="0" type="button" dataOnly="0" labelOnly="1" outline="0"/>
    </format>
    <format dxfId="308">
      <pivotArea dataOnly="0" labelOnly="1" grandCol="1" outline="0" fieldPosition="0"/>
    </format>
    <format dxfId="307">
      <pivotArea field="1" type="button" dataOnly="0" labelOnly="1" outline="0" axis="axisRow" fieldPosition="0"/>
    </format>
    <format dxfId="306">
      <pivotArea field="9" type="button" dataOnly="0" labelOnly="1" outline="0" axis="axisRow" fieldPosition="1"/>
    </format>
    <format dxfId="305">
      <pivotArea field="7" type="button" dataOnly="0" labelOnly="1" outline="0"/>
    </format>
    <format dxfId="304">
      <pivotArea field="0" type="button" dataOnly="0" labelOnly="1" outline="0"/>
    </format>
    <format dxfId="303">
      <pivotArea dataOnly="0" labelOnly="1" grandCol="1" outline="0" fieldPosition="0"/>
    </format>
    <format dxfId="302">
      <pivotArea field="1" type="button" dataOnly="0" labelOnly="1" outline="0" axis="axisRow" fieldPosition="0"/>
    </format>
    <format dxfId="301">
      <pivotArea field="9" type="button" dataOnly="0" labelOnly="1" outline="0" axis="axisRow" fieldPosition="1"/>
    </format>
    <format dxfId="300">
      <pivotArea field="7" type="button" dataOnly="0" labelOnly="1" outline="0"/>
    </format>
    <format dxfId="299">
      <pivotArea field="0" type="button" dataOnly="0" labelOnly="1" outline="0"/>
    </format>
    <format dxfId="298">
      <pivotArea dataOnly="0" labelOnly="1" grandCol="1" outline="0" fieldPosition="0"/>
    </format>
    <format dxfId="297">
      <pivotArea field="21" type="button" dataOnly="0" labelOnly="1" outline="0"/>
    </format>
    <format dxfId="296">
      <pivotArea field="21" type="button" dataOnly="0" labelOnly="1" outline="0"/>
    </format>
    <format dxfId="295">
      <pivotArea type="all" dataOnly="0" outline="0" fieldPosition="0"/>
    </format>
    <format dxfId="294">
      <pivotArea type="all" dataOnly="0" outline="0" fieldPosition="0"/>
    </format>
    <format dxfId="293">
      <pivotArea outline="0" collapsedLevelsAreSubtotals="1" fieldPosition="0"/>
    </format>
    <format dxfId="292">
      <pivotArea type="origin" dataOnly="0" labelOnly="1" outline="0" fieldPosition="0"/>
    </format>
    <format dxfId="291">
      <pivotArea type="topRight" dataOnly="0" labelOnly="1" outline="0" fieldPosition="0"/>
    </format>
    <format dxfId="290">
      <pivotArea field="1" type="button" dataOnly="0" labelOnly="1" outline="0" axis="axisRow" fieldPosition="0"/>
    </format>
    <format dxfId="289">
      <pivotArea field="0" type="button" dataOnly="0" labelOnly="1" outline="0"/>
    </format>
    <format dxfId="288">
      <pivotArea field="9" type="button" dataOnly="0" labelOnly="1" outline="0" axis="axisRow" fieldPosition="1"/>
    </format>
    <format dxfId="287">
      <pivotArea field="7" type="button" dataOnly="0" labelOnly="1" outline="0"/>
    </format>
    <format dxfId="286">
      <pivotArea field="21" type="button" dataOnly="0" labelOnly="1" outline="0"/>
    </format>
    <format dxfId="285">
      <pivotArea dataOnly="0" labelOnly="1" outline="0" fieldPosition="0">
        <references count="1">
          <reference field="1" count="0"/>
        </references>
      </pivotArea>
    </format>
    <format dxfId="284">
      <pivotArea dataOnly="0" labelOnly="1" grandRow="1" outline="0" fieldPosition="0"/>
    </format>
    <format dxfId="283">
      <pivotArea dataOnly="0" labelOnly="1" grandCol="1" outline="0" fieldPosition="0"/>
    </format>
    <format dxfId="282">
      <pivotArea grandCol="1" outline="0" collapsedLevelsAreSubtotals="1" fieldPosition="0"/>
    </format>
    <format dxfId="281">
      <pivotArea field="1" type="button" dataOnly="0" labelOnly="1" outline="0" axis="axisRow" fieldPosition="0"/>
    </format>
    <format dxfId="280">
      <pivotArea field="0" type="button" dataOnly="0" labelOnly="1" outline="0"/>
    </format>
    <format dxfId="279">
      <pivotArea field="9" type="button" dataOnly="0" labelOnly="1" outline="0" axis="axisRow" fieldPosition="1"/>
    </format>
    <format dxfId="278">
      <pivotArea field="7" type="button" dataOnly="0" labelOnly="1" outline="0"/>
    </format>
    <format dxfId="277">
      <pivotArea field="21" type="button" dataOnly="0" labelOnly="1" outline="0"/>
    </format>
    <format dxfId="276">
      <pivotArea dataOnly="0" labelOnly="1" grandCol="1" outline="0" fieldPosition="0"/>
    </format>
    <format dxfId="275">
      <pivotArea field="1" type="button" dataOnly="0" labelOnly="1" outline="0" axis="axisRow" fieldPosition="0"/>
    </format>
    <format dxfId="274">
      <pivotArea field="0" type="button" dataOnly="0" labelOnly="1" outline="0"/>
    </format>
    <format dxfId="273">
      <pivotArea field="9" type="button" dataOnly="0" labelOnly="1" outline="0" axis="axisRow" fieldPosition="1"/>
    </format>
    <format dxfId="272">
      <pivotArea field="7" type="button" dataOnly="0" labelOnly="1" outline="0"/>
    </format>
    <format dxfId="271">
      <pivotArea field="21" type="button" dataOnly="0" labelOnly="1" outline="0"/>
    </format>
    <format dxfId="270">
      <pivotArea dataOnly="0" labelOnly="1" grandCol="1" outline="0" fieldPosition="0"/>
    </format>
    <format dxfId="269">
      <pivotArea field="1" type="button" dataOnly="0" labelOnly="1" outline="0" axis="axisRow" fieldPosition="0"/>
    </format>
    <format dxfId="268">
      <pivotArea field="0" type="button" dataOnly="0" labelOnly="1" outline="0"/>
    </format>
    <format dxfId="267">
      <pivotArea field="9" type="button" dataOnly="0" labelOnly="1" outline="0" axis="axisRow" fieldPosition="1"/>
    </format>
    <format dxfId="266">
      <pivotArea field="7" type="button" dataOnly="0" labelOnly="1" outline="0"/>
    </format>
    <format dxfId="265">
      <pivotArea field="21" type="button" dataOnly="0" labelOnly="1" outline="0"/>
    </format>
    <format dxfId="264">
      <pivotArea dataOnly="0" labelOnly="1" grandCol="1" outline="0" fieldPosition="0"/>
    </format>
    <format dxfId="263">
      <pivotArea field="1" type="button" dataOnly="0" labelOnly="1" outline="0" axis="axisRow" fieldPosition="0"/>
    </format>
    <format dxfId="262">
      <pivotArea field="0" type="button" dataOnly="0" labelOnly="1" outline="0"/>
    </format>
    <format dxfId="261">
      <pivotArea field="9" type="button" dataOnly="0" labelOnly="1" outline="0" axis="axisRow" fieldPosition="1"/>
    </format>
    <format dxfId="260">
      <pivotArea field="7" type="button" dataOnly="0" labelOnly="1" outline="0"/>
    </format>
    <format dxfId="259">
      <pivotArea field="21" type="button" dataOnly="0" labelOnly="1" outline="0"/>
    </format>
    <format dxfId="258">
      <pivotArea dataOnly="0" labelOnly="1" grandCol="1" outline="0" fieldPosition="0"/>
    </format>
    <format dxfId="257">
      <pivotArea field="1" type="button" dataOnly="0" labelOnly="1" outline="0" axis="axisRow" fieldPosition="0"/>
    </format>
    <format dxfId="256">
      <pivotArea field="0" type="button" dataOnly="0" labelOnly="1" outline="0"/>
    </format>
    <format dxfId="255">
      <pivotArea field="9" type="button" dataOnly="0" labelOnly="1" outline="0" axis="axisRow" fieldPosition="1"/>
    </format>
    <format dxfId="254">
      <pivotArea field="7" type="button" dataOnly="0" labelOnly="1" outline="0"/>
    </format>
    <format dxfId="253">
      <pivotArea field="21" type="button" dataOnly="0" labelOnly="1" outline="0"/>
    </format>
    <format dxfId="252">
      <pivotArea dataOnly="0" labelOnly="1" grandCol="1" outline="0" fieldPosition="0"/>
    </format>
    <format dxfId="251">
      <pivotArea dataOnly="0" labelOnly="1" grandCol="1" outline="0" fieldPosition="0"/>
    </format>
    <format dxfId="250">
      <pivotArea outline="0" fieldPosition="0">
        <references count="1">
          <reference field="4294967294" count="1">
            <x v="0"/>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CF5414-B003-42C0-9D01-DE748F873F76}" name="PivotTable1"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E13" firstHeaderRow="1" firstDataRow="2" firstDataCol="2"/>
  <pivotFields count="58">
    <pivotField compact="0" outline="0" showAll="0" sumSubtotal="1">
      <items count="6">
        <item x="1"/>
        <item x="0"/>
        <item x="4"/>
        <item x="2"/>
        <item x="3"/>
        <item t="sum"/>
      </items>
    </pivotField>
    <pivotField axis="axisRow" compact="0" outline="0" multipleItemSelectionAllowed="1" showAll="0" sumSubtotal="1">
      <items count="5">
        <item x="1"/>
        <item x="0"/>
        <item h="1" x="2"/>
        <item h="1" m="1" x="3"/>
        <item t="sum"/>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items count="133">
        <item x="1"/>
        <item x="15"/>
        <item x="3"/>
        <item x="4"/>
        <item x="23"/>
        <item x="16"/>
        <item x="19"/>
        <item x="13"/>
        <item x="5"/>
        <item x="10"/>
        <item x="8"/>
        <item x="12"/>
        <item x="18"/>
        <item x="21"/>
        <item x="22"/>
        <item x="57"/>
        <item x="6"/>
        <item x="20"/>
        <item x="7"/>
        <item x="24"/>
        <item x="25"/>
        <item x="26"/>
        <item x="27"/>
        <item x="28"/>
        <item x="29"/>
        <item x="30"/>
        <item x="60"/>
        <item x="32"/>
        <item h="1" x="35"/>
        <item h="1" x="36"/>
        <item x="31"/>
        <item x="33"/>
        <item x="37"/>
        <item x="38"/>
        <item x="39"/>
        <item x="40"/>
        <item x="61"/>
        <item x="41"/>
        <item h="1" x="42"/>
        <item x="43"/>
        <item x="44"/>
        <item x="45"/>
        <item x="46"/>
        <item x="47"/>
        <item x="48"/>
        <item x="49"/>
        <item x="51"/>
        <item x="52"/>
        <item x="53"/>
        <item x="54"/>
        <item x="55"/>
        <item x="56"/>
        <item x="58"/>
        <item x="59"/>
        <item x="63"/>
        <item x="64"/>
        <item x="65"/>
        <item x="66"/>
        <item x="67"/>
        <item x="68"/>
        <item m="1" x="125"/>
        <item x="70"/>
        <item x="71"/>
        <item x="72"/>
        <item x="17"/>
        <item x="50"/>
        <item x="73"/>
        <item x="74"/>
        <item x="75"/>
        <item x="14"/>
        <item x="62"/>
        <item x="76"/>
        <item x="77"/>
        <item x="78"/>
        <item x="79"/>
        <item x="80"/>
        <item x="81"/>
        <item x="82"/>
        <item m="1" x="126"/>
        <item x="84"/>
        <item x="85"/>
        <item x="86"/>
        <item x="87"/>
        <item x="88"/>
        <item x="89"/>
        <item x="90"/>
        <item x="91"/>
        <item x="92"/>
        <item x="93"/>
        <item x="94"/>
        <item x="95"/>
        <item x="96"/>
        <item x="98"/>
        <item x="99"/>
        <item x="100"/>
        <item x="2"/>
        <item x="0"/>
        <item x="101"/>
        <item x="102"/>
        <item x="103"/>
        <item x="105"/>
        <item x="107"/>
        <item x="108"/>
        <item m="1" x="128"/>
        <item m="1" x="127"/>
        <item h="1" m="1" x="123"/>
        <item m="1" x="130"/>
        <item m="1" x="131"/>
        <item m="1" x="132"/>
        <item x="110"/>
        <item m="1" x="124"/>
        <item m="1" x="129"/>
        <item x="97"/>
        <item x="111"/>
        <item x="109"/>
        <item x="83"/>
        <item x="112"/>
        <item x="69"/>
        <item x="113"/>
        <item h="1" x="104"/>
        <item h="1" x="106"/>
        <item h="1" x="11"/>
        <item h="1" x="9"/>
        <item h="1" x="34"/>
        <item h="1" x="114"/>
        <item h="1" m="1" x="121"/>
        <item h="1" x="116"/>
        <item h="1" x="117"/>
        <item h="1" x="118"/>
        <item h="1" m="1" x="122"/>
        <item h="1" x="120"/>
        <item h="1" x="115"/>
        <item h="1" x="119"/>
      </items>
    </pivotField>
    <pivotField dataField="1" compact="0" outline="0" showAll="0" defaultSubtotal="0"/>
    <pivotField axis="axisRow" compact="0" outline="0" showAll="0" defaultSubtotal="0">
      <items count="12">
        <item x="0"/>
        <item x="3"/>
        <item x="4"/>
        <item x="1"/>
        <item h="1" x="2"/>
        <item h="1" x="5"/>
        <item h="1" x="7"/>
        <item h="1" x="9"/>
        <item h="1" x="6"/>
        <item h="1" x="8"/>
        <item h="1" x="11"/>
        <item h="1" x="1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items count="39">
        <item x="6"/>
        <item x="4"/>
        <item x="3"/>
        <item x="7"/>
        <item x="5"/>
        <item x="12"/>
        <item x="13"/>
        <item x="0"/>
        <item x="2"/>
        <item n="-" x="33"/>
        <item x="14"/>
        <item x="15"/>
        <item x="18"/>
        <item x="19"/>
        <item x="20"/>
        <item x="22"/>
        <item x="9"/>
        <item x="23"/>
        <item x="25"/>
        <item x="26"/>
        <item x="27"/>
        <item x="28"/>
        <item x="30"/>
        <item x="34"/>
        <item x="21"/>
        <item x="16"/>
        <item x="35"/>
        <item x="24"/>
        <item x="17"/>
        <item x="36"/>
        <item x="8"/>
        <item x="29"/>
        <item x="11"/>
        <item x="32"/>
        <item x="10"/>
        <item x="31"/>
        <item x="1"/>
        <item m="1" x="38"/>
        <item m="1" x="37"/>
      </items>
    </pivotField>
    <pivotField compact="0" outline="0" subtotalTop="0" showAll="0" defaultSubtotal="0"/>
    <pivotField compact="0" outline="0" showAll="0" defaultSubtotal="0"/>
    <pivotField compact="0" outline="0" subtotalTop="0" showAll="0" defaultSubtotal="0"/>
    <pivotField name="SM" compact="0" outline="0" subtotalTop="0" showAll="0" defaultSubtotal="0"/>
    <pivotField name="YEAR" axis="axisCol" compact="0" outline="0" subtotalTop="0" showAll="0" defaultSubtotal="0">
      <items count="7">
        <item x="0"/>
        <item h="1" x="2"/>
        <item x="1"/>
        <item h="1" x="3"/>
        <item h="1" x="4"/>
        <item h="1" m="1" x="6"/>
        <item h="1"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1"/>
    <field x="9"/>
  </rowFields>
  <rowItems count="11">
    <i>
      <x/>
      <x/>
    </i>
    <i r="1">
      <x v="1"/>
    </i>
    <i r="1">
      <x v="2"/>
    </i>
    <i r="1">
      <x v="3"/>
    </i>
    <i t="sum">
      <x/>
    </i>
    <i>
      <x v="1"/>
      <x/>
    </i>
    <i r="1">
      <x v="1"/>
    </i>
    <i r="1">
      <x v="2"/>
    </i>
    <i r="1">
      <x v="3"/>
    </i>
    <i t="sum">
      <x v="1"/>
    </i>
    <i t="grand">
      <x/>
    </i>
  </rowItems>
  <colFields count="1">
    <field x="26"/>
  </colFields>
  <colItems count="3">
    <i>
      <x/>
    </i>
    <i>
      <x v="2"/>
    </i>
    <i t="grand">
      <x/>
    </i>
  </colItems>
  <dataFields count="1">
    <dataField name="CONT" fld="8" baseField="20" baseItem="0" numFmtId="1"/>
  </dataFields>
  <formats count="63">
    <format dxfId="375">
      <pivotArea field="1" type="button" dataOnly="0" labelOnly="1" outline="0" axis="axisRow" fieldPosition="0"/>
    </format>
    <format dxfId="374">
      <pivotArea field="9" type="button" dataOnly="0" labelOnly="1" outline="0" axis="axisRow" fieldPosition="1"/>
    </format>
    <format dxfId="373">
      <pivotArea field="7" type="button" dataOnly="0" labelOnly="1" outline="0"/>
    </format>
    <format dxfId="372">
      <pivotArea field="0" type="button" dataOnly="0" labelOnly="1" outline="0"/>
    </format>
    <format dxfId="371">
      <pivotArea dataOnly="0" labelOnly="1" grandCol="1" outline="0" fieldPosition="0"/>
    </format>
    <format dxfId="370">
      <pivotArea field="1" type="button" dataOnly="0" labelOnly="1" outline="0" axis="axisRow" fieldPosition="0"/>
    </format>
    <format dxfId="369">
      <pivotArea field="9" type="button" dataOnly="0" labelOnly="1" outline="0" axis="axisRow" fieldPosition="1"/>
    </format>
    <format dxfId="368">
      <pivotArea field="7" type="button" dataOnly="0" labelOnly="1" outline="0"/>
    </format>
    <format dxfId="367">
      <pivotArea field="0" type="button" dataOnly="0" labelOnly="1" outline="0"/>
    </format>
    <format dxfId="366">
      <pivotArea dataOnly="0" labelOnly="1" grandCol="1" outline="0" fieldPosition="0"/>
    </format>
    <format dxfId="365">
      <pivotArea field="1" type="button" dataOnly="0" labelOnly="1" outline="0" axis="axisRow" fieldPosition="0"/>
    </format>
    <format dxfId="364">
      <pivotArea field="9" type="button" dataOnly="0" labelOnly="1" outline="0" axis="axisRow" fieldPosition="1"/>
    </format>
    <format dxfId="363">
      <pivotArea field="7" type="button" dataOnly="0" labelOnly="1" outline="0"/>
    </format>
    <format dxfId="362">
      <pivotArea field="0" type="button" dataOnly="0" labelOnly="1" outline="0"/>
    </format>
    <format dxfId="361">
      <pivotArea dataOnly="0" labelOnly="1" grandCol="1" outline="0" fieldPosition="0"/>
    </format>
    <format dxfId="360">
      <pivotArea field="21" type="button" dataOnly="0" labelOnly="1" outline="0"/>
    </format>
    <format dxfId="359">
      <pivotArea field="21" type="button" dataOnly="0" labelOnly="1" outline="0"/>
    </format>
    <format dxfId="358">
      <pivotArea type="all" dataOnly="0" outline="0" fieldPosition="0"/>
    </format>
    <format dxfId="357">
      <pivotArea type="all" dataOnly="0" outline="0" fieldPosition="0"/>
    </format>
    <format dxfId="356">
      <pivotArea outline="0" collapsedLevelsAreSubtotals="1" fieldPosition="0"/>
    </format>
    <format dxfId="355">
      <pivotArea type="origin" dataOnly="0" labelOnly="1" outline="0" fieldPosition="0"/>
    </format>
    <format dxfId="354">
      <pivotArea type="topRight" dataOnly="0" labelOnly="1" outline="0" fieldPosition="0"/>
    </format>
    <format dxfId="353">
      <pivotArea field="1" type="button" dataOnly="0" labelOnly="1" outline="0" axis="axisRow" fieldPosition="0"/>
    </format>
    <format dxfId="352">
      <pivotArea field="0" type="button" dataOnly="0" labelOnly="1" outline="0"/>
    </format>
    <format dxfId="351">
      <pivotArea field="9" type="button" dataOnly="0" labelOnly="1" outline="0" axis="axisRow" fieldPosition="1"/>
    </format>
    <format dxfId="350">
      <pivotArea field="7" type="button" dataOnly="0" labelOnly="1" outline="0"/>
    </format>
    <format dxfId="349">
      <pivotArea field="21" type="button" dataOnly="0" labelOnly="1" outline="0"/>
    </format>
    <format dxfId="348">
      <pivotArea dataOnly="0" labelOnly="1" outline="0" fieldPosition="0">
        <references count="1">
          <reference field="1" count="0"/>
        </references>
      </pivotArea>
    </format>
    <format dxfId="347">
      <pivotArea dataOnly="0" labelOnly="1" grandRow="1" outline="0" fieldPosition="0"/>
    </format>
    <format dxfId="346">
      <pivotArea dataOnly="0" labelOnly="1" grandCol="1" outline="0" fieldPosition="0"/>
    </format>
    <format dxfId="345">
      <pivotArea grandCol="1" outline="0" collapsedLevelsAreSubtotals="1" fieldPosition="0"/>
    </format>
    <format dxfId="344">
      <pivotArea field="1" type="button" dataOnly="0" labelOnly="1" outline="0" axis="axisRow" fieldPosition="0"/>
    </format>
    <format dxfId="343">
      <pivotArea field="0" type="button" dataOnly="0" labelOnly="1" outline="0"/>
    </format>
    <format dxfId="342">
      <pivotArea field="9" type="button" dataOnly="0" labelOnly="1" outline="0" axis="axisRow" fieldPosition="1"/>
    </format>
    <format dxfId="341">
      <pivotArea field="7" type="button" dataOnly="0" labelOnly="1" outline="0"/>
    </format>
    <format dxfId="340">
      <pivotArea field="21" type="button" dataOnly="0" labelOnly="1" outline="0"/>
    </format>
    <format dxfId="339">
      <pivotArea dataOnly="0" labelOnly="1" grandCol="1" outline="0" fieldPosition="0"/>
    </format>
    <format dxfId="338">
      <pivotArea field="1" type="button" dataOnly="0" labelOnly="1" outline="0" axis="axisRow" fieldPosition="0"/>
    </format>
    <format dxfId="337">
      <pivotArea field="0" type="button" dataOnly="0" labelOnly="1" outline="0"/>
    </format>
    <format dxfId="336">
      <pivotArea field="9" type="button" dataOnly="0" labelOnly="1" outline="0" axis="axisRow" fieldPosition="1"/>
    </format>
    <format dxfId="335">
      <pivotArea field="7" type="button" dataOnly="0" labelOnly="1" outline="0"/>
    </format>
    <format dxfId="334">
      <pivotArea field="21" type="button" dataOnly="0" labelOnly="1" outline="0"/>
    </format>
    <format dxfId="333">
      <pivotArea dataOnly="0" labelOnly="1" grandCol="1" outline="0" fieldPosition="0"/>
    </format>
    <format dxfId="332">
      <pivotArea field="1" type="button" dataOnly="0" labelOnly="1" outline="0" axis="axisRow" fieldPosition="0"/>
    </format>
    <format dxfId="331">
      <pivotArea field="0" type="button" dataOnly="0" labelOnly="1" outline="0"/>
    </format>
    <format dxfId="330">
      <pivotArea field="9" type="button" dataOnly="0" labelOnly="1" outline="0" axis="axisRow" fieldPosition="1"/>
    </format>
    <format dxfId="329">
      <pivotArea field="7" type="button" dataOnly="0" labelOnly="1" outline="0"/>
    </format>
    <format dxfId="328">
      <pivotArea field="21" type="button" dataOnly="0" labelOnly="1" outline="0"/>
    </format>
    <format dxfId="327">
      <pivotArea dataOnly="0" labelOnly="1" grandCol="1" outline="0" fieldPosition="0"/>
    </format>
    <format dxfId="326">
      <pivotArea field="1" type="button" dataOnly="0" labelOnly="1" outline="0" axis="axisRow" fieldPosition="0"/>
    </format>
    <format dxfId="325">
      <pivotArea field="0" type="button" dataOnly="0" labelOnly="1" outline="0"/>
    </format>
    <format dxfId="324">
      <pivotArea field="9" type="button" dataOnly="0" labelOnly="1" outline="0" axis="axisRow" fieldPosition="1"/>
    </format>
    <format dxfId="323">
      <pivotArea field="7" type="button" dataOnly="0" labelOnly="1" outline="0"/>
    </format>
    <format dxfId="322">
      <pivotArea field="21" type="button" dataOnly="0" labelOnly="1" outline="0"/>
    </format>
    <format dxfId="321">
      <pivotArea dataOnly="0" labelOnly="1" grandCol="1" outline="0" fieldPosition="0"/>
    </format>
    <format dxfId="320">
      <pivotArea field="1" type="button" dataOnly="0" labelOnly="1" outline="0" axis="axisRow" fieldPosition="0"/>
    </format>
    <format dxfId="319">
      <pivotArea field="0" type="button" dataOnly="0" labelOnly="1" outline="0"/>
    </format>
    <format dxfId="318">
      <pivotArea field="9" type="button" dataOnly="0" labelOnly="1" outline="0" axis="axisRow" fieldPosition="1"/>
    </format>
    <format dxfId="317">
      <pivotArea field="7" type="button" dataOnly="0" labelOnly="1" outline="0"/>
    </format>
    <format dxfId="316">
      <pivotArea field="21" type="button" dataOnly="0" labelOnly="1" outline="0"/>
    </format>
    <format dxfId="315">
      <pivotArea dataOnly="0" labelOnly="1" grandCol="1" outline="0" fieldPosition="0"/>
    </format>
    <format dxfId="314">
      <pivotArea dataOnly="0" labelOnly="1" grandCol="1" outline="0" fieldPosition="0"/>
    </format>
    <format dxfId="313">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1406C5-B08C-4DB2-B7B8-1A6F13E03083}" name="PivotTable1"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F73" firstHeaderRow="1" firstDataRow="1" firstDataCol="5"/>
  <pivotFields count="58">
    <pivotField compact="0" outline="0" showAll="0" defaultSubtotal="0"/>
    <pivotField axis="axisRow" compact="0" outline="0" showAll="0" defaultSubtotal="0">
      <items count="4">
        <item x="1"/>
        <item m="1" x="3"/>
        <item x="0"/>
        <item x="2"/>
      </items>
    </pivotField>
    <pivotField axis="axisRow" compact="0" outline="0" showAll="0" sumSubtotal="1">
      <items count="18">
        <item x="6"/>
        <item x="1"/>
        <item x="3"/>
        <item h="1" x="7"/>
        <item x="5"/>
        <item x="15"/>
        <item x="12"/>
        <item x="10"/>
        <item x="13"/>
        <item h="1" x="8"/>
        <item x="9"/>
        <item x="14"/>
        <item h="1" x="0"/>
        <item x="4"/>
        <item x="2"/>
        <item h="1" x="16"/>
        <item x="11"/>
        <item t="sum"/>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33">
        <item m="1" x="123"/>
        <item x="23"/>
        <item x="15"/>
        <item x="27"/>
        <item x="29"/>
        <item x="45"/>
        <item x="31"/>
        <item x="33"/>
        <item x="39"/>
        <item x="37"/>
        <item x="40"/>
        <item x="6"/>
        <item x="3"/>
        <item x="5"/>
        <item x="4"/>
        <item x="14"/>
        <item x="18"/>
        <item x="20"/>
        <item x="94"/>
        <item x="95"/>
        <item x="96"/>
        <item x="48"/>
        <item sd="0" x="49"/>
        <item x="78"/>
        <item x="99"/>
        <item x="100"/>
        <item x="44"/>
        <item x="63"/>
        <item x="86"/>
        <item x="24"/>
        <item x="56"/>
        <item x="90"/>
        <item x="73"/>
        <item x="28"/>
        <item x="59"/>
        <item x="68"/>
        <item x="58"/>
        <item x="67"/>
        <item m="1" x="131"/>
        <item x="72"/>
        <item x="76"/>
        <item x="60"/>
        <item x="32"/>
        <item x="25"/>
        <item x="26"/>
        <item x="46"/>
        <item x="74"/>
        <item x="36"/>
        <item sd="0" x="38"/>
        <item x="61"/>
        <item x="92"/>
        <item x="91"/>
        <item x="98"/>
        <item x="57"/>
        <item x="77"/>
        <item x="80"/>
        <item x="7"/>
        <item x="66"/>
        <item x="85"/>
        <item x="64"/>
        <item x="87"/>
        <item x="88"/>
        <item x="81"/>
        <item x="84"/>
        <item x="1"/>
        <item x="0"/>
        <item x="2"/>
        <item x="65"/>
        <item x="8"/>
        <item x="75"/>
        <item m="1" x="126"/>
        <item x="22"/>
        <item x="71"/>
        <item x="82"/>
        <item x="10"/>
        <item x="12"/>
        <item x="52"/>
        <item x="62"/>
        <item x="13"/>
        <item x="16"/>
        <item sd="0" x="89"/>
        <item x="21"/>
        <item x="17"/>
        <item x="19"/>
        <item m="1" x="125"/>
        <item x="53"/>
        <item x="42"/>
        <item x="93"/>
        <item x="41"/>
        <item x="47"/>
        <item x="55"/>
        <item x="30"/>
        <item x="70"/>
        <item x="51"/>
        <item x="43"/>
        <item x="50"/>
        <item x="35"/>
        <item x="79"/>
        <item m="1" x="132"/>
        <item x="54"/>
        <item sd="0" x="101"/>
        <item x="102"/>
        <item x="103"/>
        <item x="105"/>
        <item sd="0" x="107"/>
        <item x="108"/>
        <item m="1" x="130"/>
        <item m="1" x="128"/>
        <item m="1" x="127"/>
        <item x="110"/>
        <item sd="0" m="1" x="124"/>
        <item m="1" x="129"/>
        <item sd="0" x="97"/>
        <item x="111"/>
        <item x="109"/>
        <item x="83"/>
        <item x="112"/>
        <item x="69"/>
        <item x="113"/>
        <item x="104"/>
        <item x="106"/>
        <item x="11"/>
        <item x="9"/>
        <item x="34"/>
        <item x="114"/>
        <item m="1" x="121"/>
        <item x="116"/>
        <item x="117"/>
        <item x="118"/>
        <item m="1" x="122"/>
        <item x="120"/>
        <item x="115"/>
        <item x="119"/>
      </items>
    </pivotField>
    <pivotField dataField="1" compact="0" outline="0" showAll="0" defaultSubtotal="0"/>
    <pivotField axis="axisRow" compact="0" outline="0" showAll="0" defaultSubtotal="0">
      <items count="12">
        <item h="1" x="7"/>
        <item h="1" x="6"/>
        <item x="3"/>
        <item x="4"/>
        <item x="1"/>
        <item h="1" x="8"/>
        <item x="5"/>
        <item h="1" x="9"/>
        <item h="1" x="2"/>
        <item h="1" x="0"/>
        <item h="1" x="11"/>
        <item h="1" x="1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39">
        <item x="6"/>
        <item x="4"/>
        <item x="21"/>
        <item x="28"/>
        <item x="30"/>
        <item x="9"/>
        <item x="19"/>
        <item x="29"/>
        <item x="3"/>
        <item x="7"/>
        <item x="5"/>
        <item x="24"/>
        <item x="12"/>
        <item x="35"/>
        <item x="16"/>
        <item x="14"/>
        <item x="13"/>
        <item x="27"/>
        <item x="31"/>
        <item x="15"/>
        <item x="32"/>
        <item x="8"/>
        <item x="17"/>
        <item x="0"/>
        <item x="1"/>
        <item x="23"/>
        <item x="20"/>
        <item x="36"/>
        <item x="22"/>
        <item x="11"/>
        <item m="1" x="38"/>
        <item x="10"/>
        <item x="26"/>
        <item x="2"/>
        <item x="34"/>
        <item x="18"/>
        <item x="25"/>
        <item x="33"/>
        <item m="1" x="37"/>
      </items>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5">
    <field x="2"/>
    <field x="1"/>
    <field x="9"/>
    <field x="7"/>
    <field x="21"/>
  </rowFields>
  <rowItems count="72">
    <i>
      <x v="1"/>
      <x/>
      <x v="2"/>
      <x v="22"/>
    </i>
    <i r="3">
      <x v="23"/>
      <x v="2"/>
    </i>
    <i r="2">
      <x v="4"/>
      <x v="128"/>
      <x v="2"/>
    </i>
    <i r="3">
      <x v="132"/>
      <x v="9"/>
    </i>
    <i r="1">
      <x v="2"/>
      <x v="2"/>
      <x v="16"/>
      <x v="31"/>
    </i>
    <i r="3">
      <x v="17"/>
      <x v="29"/>
    </i>
    <i r="2">
      <x v="4"/>
      <x v="5"/>
      <x v="10"/>
    </i>
    <i r="3">
      <x v="21"/>
      <x v="8"/>
    </i>
    <i r="3">
      <x v="22"/>
    </i>
    <i r="3">
      <x v="66"/>
      <x v="24"/>
    </i>
    <i r="2">
      <x v="6"/>
      <x v="97"/>
      <x v="15"/>
    </i>
    <i r="3">
      <x v="127"/>
      <x v="2"/>
    </i>
    <i t="sum">
      <x v="1"/>
    </i>
    <i>
      <x v="2"/>
      <x/>
      <x v="2"/>
      <x v="61"/>
      <x v="13"/>
    </i>
    <i r="3">
      <x v="89"/>
      <x v="3"/>
    </i>
    <i r="3">
      <x v="90"/>
      <x v="3"/>
    </i>
    <i r="1">
      <x v="2"/>
      <x v="2"/>
      <x v="25"/>
      <x v="28"/>
    </i>
    <i r="3">
      <x v="39"/>
      <x v="4"/>
    </i>
    <i r="3">
      <x v="46"/>
      <x v="21"/>
    </i>
    <i r="2">
      <x v="3"/>
      <x v="113"/>
      <x v="24"/>
    </i>
    <i r="2">
      <x v="4"/>
      <x v="26"/>
      <x v="8"/>
    </i>
    <i r="3">
      <x v="56"/>
      <x v="10"/>
    </i>
    <i r="3">
      <x v="61"/>
      <x v="10"/>
    </i>
    <i r="3">
      <x v="89"/>
      <x v="3"/>
    </i>
    <i r="3">
      <x v="90"/>
      <x v="26"/>
    </i>
    <i r="3">
      <x v="131"/>
      <x v="6"/>
    </i>
    <i t="sum">
      <x v="2"/>
    </i>
    <i>
      <x v="4"/>
      <x/>
      <x v="2"/>
      <x v="60"/>
      <x v="15"/>
    </i>
    <i r="3">
      <x v="67"/>
      <x v="1"/>
    </i>
    <i r="1">
      <x v="2"/>
      <x v="2"/>
      <x v="48"/>
    </i>
    <i r="3">
      <x v="74"/>
      <x v="9"/>
    </i>
    <i r="3">
      <x v="115"/>
      <x v="1"/>
    </i>
    <i r="3">
      <x v="116"/>
      <x/>
    </i>
    <i r="3">
      <x v="122"/>
      <x/>
    </i>
    <i r="2">
      <x v="3"/>
      <x v="121"/>
      <x/>
    </i>
    <i r="2">
      <x v="4"/>
      <x v="52"/>
      <x v="37"/>
    </i>
    <i r="3">
      <x v="58"/>
      <x v="1"/>
    </i>
    <i r="3">
      <x v="60"/>
      <x v="16"/>
    </i>
    <i r="3">
      <x v="62"/>
      <x v="1"/>
    </i>
    <i r="3">
      <x v="81"/>
      <x v="12"/>
    </i>
    <i r="2">
      <x v="6"/>
      <x v="112"/>
    </i>
    <i t="sum">
      <x v="4"/>
    </i>
    <i>
      <x v="10"/>
      <x v="2"/>
      <x v="2"/>
      <x v="36"/>
      <x v="13"/>
    </i>
    <i r="2">
      <x v="4"/>
      <x v="45"/>
      <x v="4"/>
    </i>
    <i r="2">
      <x v="6"/>
      <x v="37"/>
      <x v="11"/>
    </i>
    <i r="3">
      <x v="93"/>
      <x v="37"/>
    </i>
    <i t="sum">
      <x v="10"/>
    </i>
    <i>
      <x v="11"/>
      <x/>
      <x v="2"/>
      <x v="102"/>
      <x v="13"/>
    </i>
    <i r="3">
      <x v="103"/>
      <x v="14"/>
    </i>
    <i r="3">
      <x v="104"/>
    </i>
    <i r="3">
      <x v="120"/>
      <x v="5"/>
    </i>
    <i r="1">
      <x v="2"/>
      <x v="2"/>
      <x v="18"/>
      <x v="6"/>
    </i>
    <i r="3">
      <x v="19"/>
      <x v="1"/>
    </i>
    <i r="3">
      <x v="20"/>
      <x v="4"/>
    </i>
    <i r="3">
      <x v="50"/>
      <x/>
    </i>
    <i r="3">
      <x v="100"/>
    </i>
    <i r="2">
      <x v="3"/>
      <x v="105"/>
      <x/>
    </i>
    <i r="3">
      <x v="126"/>
      <x v="1"/>
    </i>
    <i r="2">
      <x v="4"/>
      <x v="103"/>
      <x v="37"/>
    </i>
    <i r="2">
      <x v="6"/>
      <x v="80"/>
    </i>
    <i t="sum">
      <x v="11"/>
    </i>
    <i>
      <x v="16"/>
      <x/>
      <x v="2"/>
      <x v="87"/>
      <x/>
    </i>
    <i r="2">
      <x v="3"/>
      <x v="118"/>
      <x/>
    </i>
    <i r="1">
      <x v="2"/>
      <x v="2"/>
      <x v="7"/>
      <x v="33"/>
    </i>
    <i r="3">
      <x v="42"/>
      <x v="33"/>
    </i>
    <i r="3">
      <x v="117"/>
      <x v="7"/>
    </i>
    <i r="2">
      <x v="3"/>
      <x v="123"/>
      <x v="2"/>
    </i>
    <i r="2">
      <x v="4"/>
      <x v="87"/>
      <x v="3"/>
    </i>
    <i r="3">
      <x v="118"/>
      <x v="1"/>
    </i>
    <i r="3">
      <x v="124"/>
      <x v="33"/>
    </i>
    <i t="sum">
      <x v="16"/>
    </i>
    <i t="grand">
      <x/>
    </i>
  </rowItems>
  <colItems count="1">
    <i/>
  </colItems>
  <dataFields count="1">
    <dataField name="Sum of COUNT" fld="8" baseField="0" baseItem="0"/>
  </dataFields>
  <formats count="77">
    <format dxfId="249">
      <pivotArea dataOnly="0" outline="0" fieldPosition="0">
        <references count="1">
          <reference field="2" count="0" sumSubtotal="1"/>
        </references>
      </pivotArea>
    </format>
    <format dxfId="248">
      <pivotArea dataOnly="0" outline="0" fieldPosition="0">
        <references count="1">
          <reference field="2" count="0" sumSubtotal="1"/>
        </references>
      </pivotArea>
    </format>
    <format dxfId="247">
      <pivotArea dataOnly="0" labelOnly="1" outline="0" fieldPosition="0">
        <references count="4">
          <reference field="1" count="1" selected="0">
            <x v="0"/>
          </reference>
          <reference field="2" count="1" selected="0">
            <x v="2"/>
          </reference>
          <reference field="7" count="1">
            <x v="30"/>
          </reference>
          <reference field="9" count="1" selected="0">
            <x v="2"/>
          </reference>
        </references>
      </pivotArea>
    </format>
    <format dxfId="246">
      <pivotArea dataOnly="0" labelOnly="1" outline="0" fieldPosition="0">
        <references count="4">
          <reference field="1" count="1" selected="0">
            <x v="0"/>
          </reference>
          <reference field="2" count="1" selected="0">
            <x v="2"/>
          </reference>
          <reference field="7" count="1">
            <x v="89"/>
          </reference>
          <reference field="9" count="1" selected="0">
            <x v="2"/>
          </reference>
        </references>
      </pivotArea>
    </format>
    <format dxfId="245">
      <pivotArea dataOnly="0" labelOnly="1" outline="0" fieldPosition="0">
        <references count="4">
          <reference field="1" count="1" selected="0">
            <x v="0"/>
          </reference>
          <reference field="2" count="1" selected="0">
            <x v="2"/>
          </reference>
          <reference field="7" count="1">
            <x v="90"/>
          </reference>
          <reference field="9" count="1" selected="0">
            <x v="2"/>
          </reference>
        </references>
      </pivotArea>
    </format>
    <format dxfId="244">
      <pivotArea dataOnly="0" labelOnly="1" outline="0" fieldPosition="0">
        <references count="4">
          <reference field="1" count="1" selected="0">
            <x v="2"/>
          </reference>
          <reference field="2" count="1" selected="0">
            <x v="2"/>
          </reference>
          <reference field="7" count="1">
            <x v="39"/>
          </reference>
          <reference field="9" count="1" selected="0">
            <x v="2"/>
          </reference>
        </references>
      </pivotArea>
    </format>
    <format dxfId="243">
      <pivotArea dataOnly="0" labelOnly="1" outline="0" fieldPosition="0">
        <references count="4">
          <reference field="1" count="1" selected="0">
            <x v="2"/>
          </reference>
          <reference field="2" count="1" selected="0">
            <x v="2"/>
          </reference>
          <reference field="7" count="1">
            <x v="46"/>
          </reference>
          <reference field="9" count="1" selected="0">
            <x v="2"/>
          </reference>
        </references>
      </pivotArea>
    </format>
    <format dxfId="242">
      <pivotArea dataOnly="0" labelOnly="1" outline="0" fieldPosition="0">
        <references count="4">
          <reference field="1" count="1" selected="0">
            <x v="2"/>
          </reference>
          <reference field="2" count="1" selected="0">
            <x v="2"/>
          </reference>
          <reference field="7" count="1">
            <x v="25"/>
          </reference>
          <reference field="9" count="1" selected="0">
            <x v="4"/>
          </reference>
        </references>
      </pivotArea>
    </format>
    <format dxfId="241">
      <pivotArea dataOnly="0" labelOnly="1" outline="0" fieldPosition="0">
        <references count="4">
          <reference field="1" count="1" selected="0">
            <x v="2"/>
          </reference>
          <reference field="2" count="1" selected="0">
            <x v="2"/>
          </reference>
          <reference field="7" count="1">
            <x v="27"/>
          </reference>
          <reference field="9" count="1" selected="0">
            <x v="4"/>
          </reference>
        </references>
      </pivotArea>
    </format>
    <format dxfId="240">
      <pivotArea dataOnly="0" labelOnly="1" outline="0" fieldPosition="0">
        <references count="4">
          <reference field="1" count="1" selected="0">
            <x v="0"/>
          </reference>
          <reference field="2" count="1" selected="0">
            <x v="1"/>
          </reference>
          <reference field="7" count="1">
            <x v="5"/>
          </reference>
          <reference field="9" count="1" selected="0">
            <x v="2"/>
          </reference>
        </references>
      </pivotArea>
    </format>
    <format dxfId="239">
      <pivotArea dataOnly="0" labelOnly="1" outline="0" fieldPosition="0">
        <references count="4">
          <reference field="1" count="1" selected="0">
            <x v="0"/>
          </reference>
          <reference field="2" count="1" selected="0">
            <x v="1"/>
          </reference>
          <reference field="7" count="1">
            <x v="21"/>
          </reference>
          <reference field="9" count="1" selected="0">
            <x v="2"/>
          </reference>
        </references>
      </pivotArea>
    </format>
    <format dxfId="238">
      <pivotArea dataOnly="0" labelOnly="1" outline="0" fieldPosition="0">
        <references count="4">
          <reference field="1" count="1" selected="0">
            <x v="0"/>
          </reference>
          <reference field="2" count="1" selected="0">
            <x v="1"/>
          </reference>
          <reference field="7" count="1">
            <x v="23"/>
          </reference>
          <reference field="9" count="1" selected="0">
            <x v="2"/>
          </reference>
        </references>
      </pivotArea>
    </format>
    <format dxfId="237">
      <pivotArea dataOnly="0" labelOnly="1" outline="0" fieldPosition="0">
        <references count="4">
          <reference field="1" count="1" selected="0">
            <x v="2"/>
          </reference>
          <reference field="2" count="1" selected="0">
            <x v="1"/>
          </reference>
          <reference field="7" count="1">
            <x v="16"/>
          </reference>
          <reference field="9" count="1" selected="0">
            <x v="2"/>
          </reference>
        </references>
      </pivotArea>
    </format>
    <format dxfId="236">
      <pivotArea dataOnly="0" labelOnly="1" outline="0" fieldPosition="0">
        <references count="4">
          <reference field="1" count="1" selected="0">
            <x v="2"/>
          </reference>
          <reference field="2" count="1" selected="0">
            <x v="1"/>
          </reference>
          <reference field="7" count="1">
            <x v="85"/>
          </reference>
          <reference field="9" count="1" selected="0">
            <x v="2"/>
          </reference>
        </references>
      </pivotArea>
    </format>
    <format dxfId="235">
      <pivotArea dataOnly="0" labelOnly="1" outline="0" fieldPosition="0">
        <references count="4">
          <reference field="1" count="1" selected="0">
            <x v="2"/>
          </reference>
          <reference field="2" count="1" selected="0">
            <x v="1"/>
          </reference>
          <reference field="7" count="1">
            <x v="17"/>
          </reference>
          <reference field="9" count="1" selected="0">
            <x v="3"/>
          </reference>
        </references>
      </pivotArea>
    </format>
    <format dxfId="234">
      <pivotArea dataOnly="0" labelOnly="1" outline="0" fieldPosition="0">
        <references count="4">
          <reference field="1" count="1" selected="0">
            <x v="2"/>
          </reference>
          <reference field="2" count="1" selected="0">
            <x v="1"/>
          </reference>
          <reference field="7" count="1">
            <x v="51"/>
          </reference>
          <reference field="9" count="1" selected="0">
            <x v="4"/>
          </reference>
        </references>
      </pivotArea>
    </format>
    <format dxfId="233">
      <pivotArea dataOnly="0" labelOnly="1" outline="0" fieldPosition="0">
        <references count="4">
          <reference field="1" count="1" selected="0">
            <x v="0"/>
          </reference>
          <reference field="2" count="1" selected="0">
            <x v="3"/>
          </reference>
          <reference field="7" count="1">
            <x v="28"/>
          </reference>
          <reference field="9" count="1" selected="0">
            <x v="2"/>
          </reference>
        </references>
      </pivotArea>
    </format>
    <format dxfId="232">
      <pivotArea dataOnly="0" labelOnly="1" outline="0" fieldPosition="0">
        <references count="4">
          <reference field="1" count="1" selected="0">
            <x v="0"/>
          </reference>
          <reference field="2" count="1" selected="0">
            <x v="3"/>
          </reference>
          <reference field="7" count="1">
            <x v="61"/>
          </reference>
          <reference field="9" count="1" selected="0">
            <x v="4"/>
          </reference>
        </references>
      </pivotArea>
    </format>
    <format dxfId="231">
      <pivotArea dataOnly="0" labelOnly="1" outline="0" fieldPosition="0">
        <references count="4">
          <reference field="1" count="1" selected="0">
            <x v="2"/>
          </reference>
          <reference field="2" count="1" selected="0">
            <x v="3"/>
          </reference>
          <reference field="7" count="1">
            <x v="6"/>
          </reference>
          <reference field="9" count="1" selected="0">
            <x v="2"/>
          </reference>
        </references>
      </pivotArea>
    </format>
    <format dxfId="230">
      <pivotArea dataOnly="0" labelOnly="1" outline="0" fieldPosition="0">
        <references count="4">
          <reference field="1" count="1" selected="0">
            <x v="2"/>
          </reference>
          <reference field="2" count="1" selected="0">
            <x v="3"/>
          </reference>
          <reference field="7" count="1">
            <x v="94"/>
          </reference>
          <reference field="9" count="1" selected="0">
            <x v="2"/>
          </reference>
        </references>
      </pivotArea>
    </format>
    <format dxfId="229">
      <pivotArea dataOnly="0" labelOnly="1" outline="0" fieldPosition="0">
        <references count="4">
          <reference field="1" count="1" selected="0">
            <x v="0"/>
          </reference>
          <reference field="2" count="1" selected="0">
            <x v="4"/>
          </reference>
          <reference field="7" count="1">
            <x v="60"/>
          </reference>
          <reference field="9" count="1" selected="0">
            <x v="2"/>
          </reference>
        </references>
      </pivotArea>
    </format>
    <format dxfId="228">
      <pivotArea dataOnly="0" labelOnly="1" outline="0" fieldPosition="0">
        <references count="4">
          <reference field="1" count="1" selected="0">
            <x v="0"/>
          </reference>
          <reference field="2" count="1" selected="0">
            <x v="4"/>
          </reference>
          <reference field="7" count="1">
            <x v="67"/>
          </reference>
          <reference field="9" count="1" selected="0">
            <x v="2"/>
          </reference>
        </references>
      </pivotArea>
    </format>
    <format dxfId="227">
      <pivotArea dataOnly="0" labelOnly="1" outline="0" fieldPosition="0">
        <references count="4">
          <reference field="1" count="1" selected="0">
            <x v="2"/>
          </reference>
          <reference field="2" count="1" selected="0">
            <x v="4"/>
          </reference>
          <reference field="7" count="1">
            <x v="68"/>
          </reference>
          <reference field="9" count="1" selected="0">
            <x v="2"/>
          </reference>
        </references>
      </pivotArea>
    </format>
    <format dxfId="226">
      <pivotArea dataOnly="0" labelOnly="1" outline="0" fieldPosition="0">
        <references count="4">
          <reference field="1" count="1" selected="0">
            <x v="2"/>
          </reference>
          <reference field="2" count="1" selected="0">
            <x v="4"/>
          </reference>
          <reference field="7" count="1">
            <x v="69"/>
          </reference>
          <reference field="9" count="1" selected="0">
            <x v="2"/>
          </reference>
        </references>
      </pivotArea>
    </format>
    <format dxfId="225">
      <pivotArea dataOnly="0" labelOnly="1" outline="0" fieldPosition="0">
        <references count="4">
          <reference field="1" count="1" selected="0">
            <x v="2"/>
          </reference>
          <reference field="2" count="1" selected="0">
            <x v="4"/>
          </reference>
          <reference field="7" count="1">
            <x v="83"/>
          </reference>
          <reference field="9" count="1" selected="0">
            <x v="2"/>
          </reference>
        </references>
      </pivotArea>
    </format>
    <format dxfId="224">
      <pivotArea dataOnly="0" labelOnly="1" outline="0" fieldPosition="0">
        <references count="4">
          <reference field="1" count="1" selected="0">
            <x v="2"/>
          </reference>
          <reference field="2" count="1" selected="0">
            <x v="4"/>
          </reference>
          <reference field="7" count="1">
            <x v="70"/>
          </reference>
          <reference field="9" count="1" selected="0">
            <x v="3"/>
          </reference>
        </references>
      </pivotArea>
    </format>
    <format dxfId="223">
      <pivotArea dataOnly="0" labelOnly="1" outline="0" fieldPosition="0">
        <references count="4">
          <reference field="1" count="1" selected="0">
            <x v="2"/>
          </reference>
          <reference field="2" count="1" selected="0">
            <x v="4"/>
          </reference>
          <reference field="7" count="1">
            <x v="52"/>
          </reference>
          <reference field="9" count="1" selected="0">
            <x v="4"/>
          </reference>
        </references>
      </pivotArea>
    </format>
    <format dxfId="222">
      <pivotArea dataOnly="0" labelOnly="1" outline="0" fieldPosition="0">
        <references count="4">
          <reference field="1" count="1" selected="0">
            <x v="2"/>
          </reference>
          <reference field="2" count="1" selected="0">
            <x v="4"/>
          </reference>
          <reference field="7" count="1">
            <x v="60"/>
          </reference>
          <reference field="9" count="1" selected="0">
            <x v="4"/>
          </reference>
        </references>
      </pivotArea>
    </format>
    <format dxfId="221">
      <pivotArea dataOnly="0" labelOnly="1" outline="0" fieldPosition="0">
        <references count="4">
          <reference field="1" count="1" selected="0">
            <x v="0"/>
          </reference>
          <reference field="2" count="1" selected="0">
            <x v="5"/>
          </reference>
          <reference field="7" count="1">
            <x v="22"/>
          </reference>
          <reference field="9" count="1" selected="0">
            <x v="2"/>
          </reference>
        </references>
      </pivotArea>
    </format>
    <format dxfId="220">
      <pivotArea dataOnly="0" labelOnly="1" outline="0" fieldPosition="0">
        <references count="4">
          <reference field="1" count="1" selected="0">
            <x v="2"/>
          </reference>
          <reference field="2" count="1" selected="0">
            <x v="5"/>
          </reference>
          <reference field="7" count="1">
            <x v="24"/>
          </reference>
          <reference field="9" count="1" selected="0">
            <x v="4"/>
          </reference>
        </references>
      </pivotArea>
    </format>
    <format dxfId="219">
      <pivotArea dataOnly="0" labelOnly="1" outline="0" fieldPosition="0">
        <references count="4">
          <reference field="1" count="1" selected="0">
            <x v="0"/>
          </reference>
          <reference field="2" count="1" selected="0">
            <x v="10"/>
          </reference>
          <reference field="7" count="1">
            <x v="31"/>
          </reference>
          <reference field="9" count="1" selected="0">
            <x v="2"/>
          </reference>
        </references>
      </pivotArea>
    </format>
    <format dxfId="218">
      <pivotArea dataOnly="0" labelOnly="1" outline="0" fieldPosition="0">
        <references count="4">
          <reference field="1" count="1" selected="0">
            <x v="0"/>
          </reference>
          <reference field="2" count="1" selected="0">
            <x v="10"/>
          </reference>
          <reference field="7" count="1">
            <x v="45"/>
          </reference>
          <reference field="9" count="1" selected="0">
            <x v="2"/>
          </reference>
        </references>
      </pivotArea>
    </format>
    <format dxfId="217">
      <pivotArea dataOnly="0" labelOnly="1" outline="0" fieldPosition="0">
        <references count="4">
          <reference field="1" count="1" selected="0">
            <x v="2"/>
          </reference>
          <reference field="2" count="1" selected="0">
            <x v="10"/>
          </reference>
          <reference field="7" count="1">
            <x v="35"/>
          </reference>
          <reference field="9" count="1" selected="0">
            <x v="2"/>
          </reference>
        </references>
      </pivotArea>
    </format>
    <format dxfId="216">
      <pivotArea dataOnly="0" labelOnly="1" outline="0" fieldPosition="0">
        <references count="4">
          <reference field="1" count="1" selected="0">
            <x v="2"/>
          </reference>
          <reference field="2" count="1" selected="0">
            <x v="10"/>
          </reference>
          <reference field="7" count="1">
            <x v="36"/>
          </reference>
          <reference field="9" count="1" selected="0">
            <x v="2"/>
          </reference>
        </references>
      </pivotArea>
    </format>
    <format dxfId="215">
      <pivotArea dataOnly="0" labelOnly="1" outline="0" fieldPosition="0">
        <references count="4">
          <reference field="1" count="1" selected="0">
            <x v="2"/>
          </reference>
          <reference field="2" count="1" selected="0">
            <x v="10"/>
          </reference>
          <reference field="7" count="1">
            <x v="43"/>
          </reference>
          <reference field="9" count="1" selected="0">
            <x v="2"/>
          </reference>
        </references>
      </pivotArea>
    </format>
    <format dxfId="214">
      <pivotArea dataOnly="0" labelOnly="1" outline="0" fieldPosition="0">
        <references count="4">
          <reference field="1" count="1" selected="0">
            <x v="2"/>
          </reference>
          <reference field="2" count="1" selected="0">
            <x v="10"/>
          </reference>
          <reference field="7" count="1">
            <x v="54"/>
          </reference>
          <reference field="9" count="1" selected="0">
            <x v="2"/>
          </reference>
        </references>
      </pivotArea>
    </format>
    <format dxfId="213">
      <pivotArea dataOnly="0" labelOnly="1" outline="0" fieldPosition="0">
        <references count="4">
          <reference field="1" count="1" selected="0">
            <x v="0"/>
          </reference>
          <reference field="2" count="1" selected="0">
            <x v="11"/>
          </reference>
          <reference field="7" count="1">
            <x v="87"/>
          </reference>
          <reference field="9" count="1" selected="0">
            <x v="4"/>
          </reference>
        </references>
      </pivotArea>
    </format>
    <format dxfId="212">
      <pivotArea dataOnly="0" labelOnly="1" outline="0" fieldPosition="0">
        <references count="4">
          <reference field="1" count="1" selected="0">
            <x v="2"/>
          </reference>
          <reference field="2" count="1" selected="0">
            <x v="11"/>
          </reference>
          <reference field="7" count="1">
            <x v="18"/>
          </reference>
          <reference field="9" count="1" selected="0">
            <x v="3"/>
          </reference>
        </references>
      </pivotArea>
    </format>
    <format dxfId="211">
      <pivotArea dataOnly="0" labelOnly="1" outline="0" fieldPosition="0">
        <references count="4">
          <reference field="1" count="1" selected="0">
            <x v="2"/>
          </reference>
          <reference field="2" count="1" selected="0">
            <x v="11"/>
          </reference>
          <reference field="7" count="1">
            <x v="19"/>
          </reference>
          <reference field="9" count="1" selected="0">
            <x v="3"/>
          </reference>
        </references>
      </pivotArea>
    </format>
    <format dxfId="210">
      <pivotArea dataOnly="0" labelOnly="1" outline="0" fieldPosition="0">
        <references count="4">
          <reference field="1" count="1" selected="0">
            <x v="2"/>
          </reference>
          <reference field="2" count="1" selected="0">
            <x v="11"/>
          </reference>
          <reference field="7" count="1">
            <x v="20"/>
          </reference>
          <reference field="9" count="1" selected="0">
            <x v="3"/>
          </reference>
        </references>
      </pivotArea>
    </format>
    <format dxfId="209">
      <pivotArea dataOnly="0" labelOnly="1" outline="0" fieldPosition="0">
        <references count="4">
          <reference field="1" count="1" selected="0">
            <x v="2"/>
          </reference>
          <reference field="2" count="1" selected="0">
            <x v="12"/>
          </reference>
          <reference field="7" count="1">
            <x v="14"/>
          </reference>
          <reference field="9" count="1" selected="0">
            <x v="2"/>
          </reference>
        </references>
      </pivotArea>
    </format>
    <format dxfId="208">
      <pivotArea dataOnly="0" labelOnly="1" outline="0" fieldPosition="0">
        <references count="4">
          <reference field="1" count="1" selected="0">
            <x v="2"/>
          </reference>
          <reference field="2" count="1" selected="0">
            <x v="12"/>
          </reference>
          <reference field="7" count="1">
            <x v="48"/>
          </reference>
          <reference field="9" count="1" selected="0">
            <x v="2"/>
          </reference>
        </references>
      </pivotArea>
    </format>
    <format dxfId="207">
      <pivotArea dataOnly="0" labelOnly="1" outline="0" fieldPosition="0">
        <references count="4">
          <reference field="1" count="1" selected="0">
            <x v="2"/>
          </reference>
          <reference field="2" count="1" selected="0">
            <x v="12"/>
          </reference>
          <reference field="7" count="1">
            <x v="64"/>
          </reference>
          <reference field="9" count="1" selected="0">
            <x v="2"/>
          </reference>
        </references>
      </pivotArea>
    </format>
    <format dxfId="206">
      <pivotArea dataOnly="0" labelOnly="1" outline="0" fieldPosition="0">
        <references count="4">
          <reference field="1" count="1" selected="0">
            <x v="2"/>
          </reference>
          <reference field="2" count="1" selected="0">
            <x v="12"/>
          </reference>
          <reference field="7" count="1">
            <x v="92"/>
          </reference>
          <reference field="9" count="1" selected="0">
            <x v="2"/>
          </reference>
        </references>
      </pivotArea>
    </format>
    <format dxfId="205">
      <pivotArea dataOnly="0" labelOnly="1" outline="0" fieldPosition="0">
        <references count="4">
          <reference field="1" count="1" selected="0">
            <x v="2"/>
          </reference>
          <reference field="2" count="1" selected="0">
            <x v="12"/>
          </reference>
          <reference field="7" count="1">
            <x v="80"/>
          </reference>
          <reference field="9" count="1" selected="0">
            <x v="4"/>
          </reference>
        </references>
      </pivotArea>
    </format>
    <format dxfId="204">
      <pivotArea dataOnly="0" labelOnly="1" outline="0" fieldPosition="0">
        <references count="4">
          <reference field="1" count="1" selected="0">
            <x v="2"/>
          </reference>
          <reference field="2" count="1" selected="0">
            <x v="11"/>
          </reference>
          <reference field="7" count="1">
            <x v="87"/>
          </reference>
          <reference field="9" count="1" selected="0">
            <x v="4"/>
          </reference>
        </references>
      </pivotArea>
    </format>
    <format dxfId="203">
      <pivotArea dataOnly="0" labelOnly="1" outline="0" fieldPosition="0">
        <references count="4">
          <reference field="1" count="1" selected="0">
            <x v="2"/>
          </reference>
          <reference field="2" count="1" selected="0">
            <x v="5"/>
          </reference>
          <reference field="7" count="1">
            <x v="24"/>
          </reference>
          <reference field="9" count="1" selected="0">
            <x v="3"/>
          </reference>
        </references>
      </pivotArea>
    </format>
    <format dxfId="202">
      <pivotArea dataOnly="0" labelOnly="1" outline="0" fieldPosition="0">
        <references count="4">
          <reference field="1" count="1" selected="0">
            <x v="2"/>
          </reference>
          <reference field="2" count="1" selected="0">
            <x v="5"/>
          </reference>
          <reference field="7" count="1">
            <x v="25"/>
          </reference>
          <reference field="9" count="1" selected="0">
            <x v="3"/>
          </reference>
        </references>
      </pivotArea>
    </format>
    <format dxfId="201">
      <pivotArea dataOnly="0" labelOnly="1" outline="0" fieldPosition="0">
        <references count="4">
          <reference field="1" count="1" selected="0">
            <x v="0"/>
          </reference>
          <reference field="2" count="1" selected="0">
            <x v="3"/>
          </reference>
          <reference field="7" count="1">
            <x v="61"/>
          </reference>
          <reference field="9" count="1" selected="0">
            <x v="3"/>
          </reference>
        </references>
      </pivotArea>
    </format>
    <format dxfId="200">
      <pivotArea dataOnly="0" labelOnly="1" outline="0" fieldPosition="0">
        <references count="4">
          <reference field="1" count="1" selected="0">
            <x v="2"/>
          </reference>
          <reference field="2" count="1" selected="0">
            <x v="3"/>
          </reference>
          <reference field="7" count="1">
            <x v="101"/>
          </reference>
          <reference field="9" count="1" selected="0">
            <x v="4"/>
          </reference>
        </references>
      </pivotArea>
    </format>
    <format dxfId="199">
      <pivotArea dataOnly="0" labelOnly="1" outline="0" fieldPosition="0">
        <references count="4">
          <reference field="1" count="1" selected="0">
            <x v="2"/>
          </reference>
          <reference field="2" count="1" selected="0">
            <x v="5"/>
          </reference>
          <reference field="7" count="1">
            <x v="111"/>
          </reference>
          <reference field="9" count="1" selected="0">
            <x v="4"/>
          </reference>
        </references>
      </pivotArea>
    </format>
    <format dxfId="198">
      <pivotArea dataOnly="0" labelOnly="1" outline="0" fieldPosition="0">
        <references count="4">
          <reference field="1" count="1" selected="0">
            <x v="0"/>
          </reference>
          <reference field="2" count="1" selected="0">
            <x v="11"/>
          </reference>
          <reference field="7" count="1">
            <x v="102"/>
          </reference>
          <reference field="9" count="1" selected="0">
            <x v="3"/>
          </reference>
        </references>
      </pivotArea>
    </format>
    <format dxfId="197">
      <pivotArea dataOnly="0" labelOnly="1" outline="0" fieldPosition="0">
        <references count="4">
          <reference field="1" count="1" selected="0">
            <x v="0"/>
          </reference>
          <reference field="2" count="1" selected="0">
            <x v="11"/>
          </reference>
          <reference field="7" count="1">
            <x v="103"/>
          </reference>
          <reference field="9" count="1" selected="0">
            <x v="3"/>
          </reference>
        </references>
      </pivotArea>
    </format>
    <format dxfId="196">
      <pivotArea dataOnly="0" labelOnly="1" outline="0" fieldPosition="0">
        <references count="4">
          <reference field="1" count="1" selected="0">
            <x v="0"/>
          </reference>
          <reference field="2" count="1" selected="0">
            <x v="11"/>
          </reference>
          <reference field="7" count="1">
            <x v="104"/>
          </reference>
          <reference field="9" count="1" selected="0">
            <x v="3"/>
          </reference>
        </references>
      </pivotArea>
    </format>
    <format dxfId="195">
      <pivotArea dataOnly="0" labelOnly="1" outline="0" fieldPosition="0">
        <references count="4">
          <reference field="1" count="1" selected="0">
            <x v="0"/>
          </reference>
          <reference field="2" count="1" selected="0">
            <x v="11"/>
          </reference>
          <reference field="7" count="1">
            <x v="100"/>
          </reference>
          <reference field="9" count="1" selected="0">
            <x v="2"/>
          </reference>
        </references>
      </pivotArea>
    </format>
    <format dxfId="194">
      <pivotArea dataOnly="0" labelOnly="1" outline="0" fieldPosition="0">
        <references count="4">
          <reference field="1" count="1" selected="0">
            <x v="0"/>
          </reference>
          <reference field="2" count="1" selected="0">
            <x v="3"/>
          </reference>
          <reference field="7" count="1">
            <x v="101"/>
          </reference>
          <reference field="9" count="1" selected="0">
            <x v="4"/>
          </reference>
        </references>
      </pivotArea>
    </format>
    <format dxfId="193">
      <pivotArea dataOnly="0" labelOnly="1" outline="0" fieldPosition="0">
        <references count="4">
          <reference field="1" count="1" selected="0">
            <x v="0"/>
          </reference>
          <reference field="2" count="1" selected="0">
            <x v="3"/>
          </reference>
          <reference field="7" count="1">
            <x v="61"/>
          </reference>
          <reference field="9" count="1" selected="0">
            <x v="2"/>
          </reference>
        </references>
      </pivotArea>
    </format>
    <format dxfId="192">
      <pivotArea dataOnly="0" labelOnly="1" outline="0" fieldPosition="0">
        <references count="4">
          <reference field="1" count="1" selected="0">
            <x v="0"/>
          </reference>
          <reference field="2" count="1" selected="0">
            <x v="3"/>
          </reference>
          <reference field="7" count="1">
            <x v="62"/>
          </reference>
          <reference field="9" count="1" selected="0">
            <x v="4"/>
          </reference>
        </references>
      </pivotArea>
    </format>
    <format dxfId="191">
      <pivotArea dataOnly="0" labelOnly="1" outline="0" fieldPosition="0">
        <references count="4">
          <reference field="1" count="1" selected="0">
            <x v="0"/>
          </reference>
          <reference field="2" count="1" selected="0">
            <x v="11"/>
          </reference>
          <reference field="7" count="1">
            <x v="87"/>
          </reference>
          <reference field="9" count="1" selected="0">
            <x v="2"/>
          </reference>
        </references>
      </pivotArea>
    </format>
    <format dxfId="190">
      <pivotArea dataOnly="0" labelOnly="1" outline="0" fieldPosition="0">
        <references count="4">
          <reference field="1" count="1" selected="0">
            <x v="2"/>
          </reference>
          <reference field="2" count="1" selected="0">
            <x v="2"/>
          </reference>
          <reference field="7" count="1">
            <x v="113"/>
          </reference>
          <reference field="9" count="1" selected="0">
            <x v="3"/>
          </reference>
        </references>
      </pivotArea>
    </format>
    <format dxfId="189">
      <pivotArea dataOnly="0" labelOnly="1" outline="0" fieldPosition="0">
        <references count="4">
          <reference field="1" count="1" selected="0">
            <x v="2"/>
          </reference>
          <reference field="2" count="1" selected="0">
            <x v="16"/>
          </reference>
          <reference field="7" count="3">
            <x v="114"/>
            <x v="117"/>
            <x v="118"/>
          </reference>
          <reference field="9" count="1" selected="0">
            <x v="4"/>
          </reference>
        </references>
      </pivotArea>
    </format>
    <format dxfId="188">
      <pivotArea dataOnly="0" labelOnly="1" outline="0" fieldPosition="0">
        <references count="4">
          <reference field="1" count="1" selected="0">
            <x v="2"/>
          </reference>
          <reference field="2" count="1" selected="0">
            <x v="11"/>
          </reference>
          <reference field="7" count="1">
            <x v="54"/>
          </reference>
          <reference field="9" count="1" selected="0">
            <x v="2"/>
          </reference>
        </references>
      </pivotArea>
    </format>
    <format dxfId="187">
      <pivotArea dataOnly="0" labelOnly="1" outline="0" fieldPosition="0">
        <references count="4">
          <reference field="1" count="1" selected="0">
            <x v="2"/>
          </reference>
          <reference field="2" count="1" selected="0">
            <x v="4"/>
          </reference>
          <reference field="7" count="1">
            <x v="58"/>
          </reference>
          <reference field="9" count="1" selected="0">
            <x v="4"/>
          </reference>
        </references>
      </pivotArea>
    </format>
    <format dxfId="186">
      <pivotArea dataOnly="0" labelOnly="1" outline="0" fieldPosition="0">
        <references count="4">
          <reference field="1" count="1" selected="0">
            <x v="2"/>
          </reference>
          <reference field="2" count="1" selected="0">
            <x v="5"/>
          </reference>
          <reference field="7" count="1">
            <x v="22"/>
          </reference>
          <reference field="9" count="1" selected="0">
            <x v="4"/>
          </reference>
        </references>
      </pivotArea>
    </format>
    <format dxfId="185">
      <pivotArea dataOnly="0" labelOnly="1" outline="0" fieldPosition="0">
        <references count="4">
          <reference field="1" count="1" selected="0">
            <x v="0"/>
          </reference>
          <reference field="2" count="1" selected="0">
            <x v="2"/>
          </reference>
          <reference field="7" count="1">
            <x v="61"/>
          </reference>
          <reference field="9" count="1" selected="0">
            <x v="2"/>
          </reference>
        </references>
      </pivotArea>
    </format>
    <format dxfId="184">
      <pivotArea dataOnly="0" labelOnly="1" outline="0" fieldPosition="0">
        <references count="4">
          <reference field="1" count="1" selected="0">
            <x v="2"/>
          </reference>
          <reference field="2" count="1" selected="0">
            <x v="4"/>
          </reference>
          <reference field="7" count="2">
            <x v="115"/>
            <x v="116"/>
          </reference>
          <reference field="9" count="1" selected="0">
            <x v="2"/>
          </reference>
        </references>
      </pivotArea>
    </format>
    <format dxfId="183">
      <pivotArea dataOnly="0" labelOnly="1" outline="0" fieldPosition="0">
        <references count="4">
          <reference field="1" count="1" selected="0">
            <x v="2"/>
          </reference>
          <reference field="2" count="1" selected="0">
            <x v="4"/>
          </reference>
          <reference field="7" count="1">
            <x v="122"/>
          </reference>
          <reference field="9" count="1" selected="0">
            <x v="2"/>
          </reference>
        </references>
      </pivotArea>
    </format>
    <format dxfId="182">
      <pivotArea dataOnly="0" labelOnly="1" outline="0" fieldPosition="0">
        <references count="4">
          <reference field="1" count="1" selected="0">
            <x v="2"/>
          </reference>
          <reference field="2" count="1" selected="0">
            <x v="4"/>
          </reference>
          <reference field="7" count="1">
            <x v="48"/>
          </reference>
          <reference field="9" count="1" selected="0">
            <x v="2"/>
          </reference>
        </references>
      </pivotArea>
    </format>
    <format dxfId="181">
      <pivotArea dataOnly="0" labelOnly="1" outline="0" fieldPosition="0">
        <references count="4">
          <reference field="1" count="1" selected="0">
            <x v="2"/>
          </reference>
          <reference field="2" count="1" selected="0">
            <x v="4"/>
          </reference>
          <reference field="7" count="1">
            <x v="74"/>
          </reference>
          <reference field="9" count="1" selected="0">
            <x v="2"/>
          </reference>
        </references>
      </pivotArea>
    </format>
    <format dxfId="180">
      <pivotArea dataOnly="0" labelOnly="1" outline="0" fieldPosition="0">
        <references count="4">
          <reference field="1" count="1" selected="0">
            <x v="2"/>
          </reference>
          <reference field="2" count="1" selected="0">
            <x v="5"/>
          </reference>
          <reference field="7" count="1">
            <x v="25"/>
          </reference>
          <reference field="9" count="1" selected="0">
            <x v="2"/>
          </reference>
        </references>
      </pivotArea>
    </format>
    <format dxfId="179">
      <pivotArea dataOnly="0" labelOnly="1" outline="0" fieldPosition="0">
        <references count="4">
          <reference field="1" count="1" selected="0">
            <x v="0"/>
          </reference>
          <reference field="2" count="1" selected="0">
            <x v="11"/>
          </reference>
          <reference field="7" count="2">
            <x v="102"/>
            <x v="103"/>
          </reference>
          <reference field="9" count="1" selected="0">
            <x v="2"/>
          </reference>
        </references>
      </pivotArea>
    </format>
    <format dxfId="178">
      <pivotArea dataOnly="0" labelOnly="1" outline="0" fieldPosition="0">
        <references count="4">
          <reference field="1" count="1" selected="0">
            <x v="0"/>
          </reference>
          <reference field="2" count="1" selected="0">
            <x v="11"/>
          </reference>
          <reference field="7" count="1">
            <x v="104"/>
          </reference>
          <reference field="9" count="1" selected="0">
            <x v="2"/>
          </reference>
        </references>
      </pivotArea>
    </format>
    <format dxfId="177">
      <pivotArea dataOnly="0" labelOnly="1" outline="0" fieldPosition="0">
        <references count="4">
          <reference field="1" count="1" selected="0">
            <x v="0"/>
          </reference>
          <reference field="2" count="1" selected="0">
            <x v="11"/>
          </reference>
          <reference field="7" count="1">
            <x v="120"/>
          </reference>
          <reference field="9" count="1" selected="0">
            <x v="2"/>
          </reference>
        </references>
      </pivotArea>
    </format>
    <format dxfId="176">
      <pivotArea dataOnly="0" labelOnly="1" outline="0" fieldPosition="0">
        <references count="4">
          <reference field="1" count="1" selected="0">
            <x v="2"/>
          </reference>
          <reference field="2" count="1" selected="0">
            <x v="11"/>
          </reference>
          <reference field="7" count="3">
            <x v="18"/>
            <x v="19"/>
            <x v="20"/>
          </reference>
          <reference field="9" count="1" selected="0">
            <x v="2"/>
          </reference>
        </references>
      </pivotArea>
    </format>
    <format dxfId="175">
      <pivotArea dataOnly="0" labelOnly="1" outline="0" fieldPosition="0">
        <references count="4">
          <reference field="1" count="1" selected="0">
            <x v="2"/>
          </reference>
          <reference field="2" count="1" selected="0">
            <x v="11"/>
          </reference>
          <reference field="7" count="1">
            <x v="50"/>
          </reference>
          <reference field="9" count="1" selected="0">
            <x v="2"/>
          </reference>
        </references>
      </pivotArea>
    </format>
    <format dxfId="174">
      <pivotArea dataOnly="0" labelOnly="1" outline="0" fieldPosition="0">
        <references count="4">
          <reference field="1" count="1" selected="0">
            <x v="2"/>
          </reference>
          <reference field="2" count="1" selected="0">
            <x v="11"/>
          </reference>
          <reference field="7" count="1">
            <x v="100"/>
          </reference>
          <reference field="9" count="1" selected="0">
            <x v="2"/>
          </reference>
        </references>
      </pivotArea>
    </format>
    <format dxfId="173">
      <pivotArea dataOnly="0" labelOnly="1" outline="0" fieldPosition="0">
        <references count="4">
          <reference field="1" count="1" selected="0">
            <x v="0"/>
          </reference>
          <reference field="2" count="1" selected="0">
            <x v="16"/>
          </reference>
          <reference field="7" count="1">
            <x v="87"/>
          </reference>
          <reference field="9"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183E55-7655-42C1-B722-A3D4573F1AAF}" name="PivotTable3" cacheId="4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N22" firstHeaderRow="1" firstDataRow="3" firstDataCol="8"/>
  <pivotFields count="58">
    <pivotField compact="0" outline="0" showAll="0" sumSubtotal="1">
      <items count="6">
        <item x="0"/>
        <item x="1"/>
        <item x="4"/>
        <item x="2"/>
        <item x="3"/>
        <item t="sum"/>
      </items>
    </pivotField>
    <pivotField axis="axisRow" compact="0" outline="0" subtotalTop="0" multipleItemSelectionAllowed="1" showAll="0" sumSubtotal="1">
      <items count="5">
        <item h="1" x="2"/>
        <item x="0"/>
        <item x="1"/>
        <item m="1" x="3"/>
        <item t="sum"/>
      </items>
    </pivotField>
    <pivotField compact="0" outline="0" showAll="0" defaultSubtotal="0"/>
    <pivotField compact="0" outline="0" subtotalTop="0" showAll="0" defaultSubtotal="0"/>
    <pivotField axis="axisRow" compact="0" outline="0" showAll="0" sumSubtotal="1">
      <items count="28">
        <item h="1" x="6"/>
        <item h="1" x="3"/>
        <item h="1" x="13"/>
        <item h="1" x="5"/>
        <item h="1" x="2"/>
        <item x="0"/>
        <item h="1" x="10"/>
        <item h="1" x="14"/>
        <item h="1" x="15"/>
        <item h="1" x="1"/>
        <item h="1" x="17"/>
        <item h="1" x="8"/>
        <item h="1" x="7"/>
        <item h="1" x="9"/>
        <item h="1" x="11"/>
        <item h="1" x="4"/>
        <item h="1" x="12"/>
        <item h="1" x="16"/>
        <item h="1" x="26"/>
        <item h="1" x="18"/>
        <item h="1" x="19"/>
        <item h="1" x="20"/>
        <item h="1" x="21"/>
        <item h="1" x="22"/>
        <item h="1" x="23"/>
        <item h="1" x="24"/>
        <item h="1" x="25"/>
        <item t="sum"/>
      </items>
    </pivotField>
    <pivotField compact="0" outline="0" subtotalTop="0" showAll="0" defaultSubtotal="0"/>
    <pivotField compact="0" outline="0" subtotalTop="0" showAll="0" defaultSubtotal="0"/>
    <pivotField axis="axisRow" compact="0" outline="0" showAll="0" sortType="ascending" defaultSubtotal="0">
      <items count="133">
        <item m="1" x="123"/>
        <item x="23"/>
        <item x="15"/>
        <item x="27"/>
        <item x="29"/>
        <item x="45"/>
        <item x="31"/>
        <item x="33"/>
        <item x="39"/>
        <item x="37"/>
        <item x="40"/>
        <item x="6"/>
        <item x="3"/>
        <item x="5"/>
        <item x="4"/>
        <item x="14"/>
        <item x="18"/>
        <item x="20"/>
        <item x="94"/>
        <item x="95"/>
        <item x="96"/>
        <item x="48"/>
        <item x="49"/>
        <item x="106"/>
        <item x="105"/>
        <item x="103"/>
        <item x="104"/>
        <item x="116"/>
        <item x="108"/>
        <item x="78"/>
        <item x="99"/>
        <item x="100"/>
        <item x="107"/>
        <item x="44"/>
        <item x="63"/>
        <item x="86"/>
        <item x="24"/>
        <item x="118"/>
        <item x="56"/>
        <item x="90"/>
        <item x="73"/>
        <item x="28"/>
        <item x="59"/>
        <item x="101"/>
        <item x="68"/>
        <item x="58"/>
        <item x="67"/>
        <item m="1" x="131"/>
        <item x="72"/>
        <item x="76"/>
        <item x="60"/>
        <item x="34"/>
        <item x="32"/>
        <item x="25"/>
        <item x="26"/>
        <item x="46"/>
        <item x="74"/>
        <item x="36"/>
        <item m="1" x="130"/>
        <item x="109"/>
        <item m="1" x="129"/>
        <item m="1" x="127"/>
        <item x="38"/>
        <item x="119"/>
        <item x="111"/>
        <item x="61"/>
        <item x="114"/>
        <item x="92"/>
        <item x="91"/>
        <item x="98"/>
        <item m="1" x="128"/>
        <item x="57"/>
        <item x="77"/>
        <item x="80"/>
        <item x="7"/>
        <item x="66"/>
        <item x="85"/>
        <item x="64"/>
        <item x="87"/>
        <item x="97"/>
        <item x="88"/>
        <item x="102"/>
        <item x="81"/>
        <item x="84"/>
        <item x="1"/>
        <item x="0"/>
        <item x="2"/>
        <item x="65"/>
        <item x="8"/>
        <item x="9"/>
        <item x="75"/>
        <item x="115"/>
        <item x="83"/>
        <item m="1" x="126"/>
        <item x="22"/>
        <item x="112"/>
        <item x="71"/>
        <item x="82"/>
        <item x="10"/>
        <item x="11"/>
        <item x="110"/>
        <item x="12"/>
        <item x="52"/>
        <item x="62"/>
        <item x="13"/>
        <item x="16"/>
        <item x="89"/>
        <item x="21"/>
        <item x="17"/>
        <item x="19"/>
        <item x="69"/>
        <item m="1" x="125"/>
        <item x="53"/>
        <item x="42"/>
        <item x="93"/>
        <item x="41"/>
        <item x="47"/>
        <item x="55"/>
        <item x="113"/>
        <item x="30"/>
        <item x="70"/>
        <item x="51"/>
        <item x="43"/>
        <item x="50"/>
        <item x="35"/>
        <item x="79"/>
        <item m="1" x="132"/>
        <item x="117"/>
        <item x="54"/>
        <item m="1" x="122"/>
        <item m="1" x="121"/>
        <item m="1" x="124"/>
        <item x="120"/>
      </items>
    </pivotField>
    <pivotField dataField="1" compact="0" outline="0" showAll="0" defaultSubtotal="0"/>
    <pivotField axis="axisRow" compact="0" outline="0" showAll="0" sumSubtotal="1">
      <items count="13">
        <item h="1" x="0"/>
        <item x="3"/>
        <item x="4"/>
        <item h="1" x="1"/>
        <item h="1" x="11"/>
        <item h="1" x="2"/>
        <item h="1" x="9"/>
        <item h="1" x="5"/>
        <item h="1" x="7"/>
        <item h="1" x="6"/>
        <item h="1" x="8"/>
        <item h="1" x="10"/>
        <item t="sum"/>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39">
        <item x="6"/>
        <item x="4"/>
        <item x="28"/>
        <item x="30"/>
        <item x="9"/>
        <item x="19"/>
        <item x="3"/>
        <item x="7"/>
        <item x="5"/>
        <item x="12"/>
        <item x="14"/>
        <item x="13"/>
        <item x="27"/>
        <item x="0"/>
        <item x="23"/>
        <item x="20"/>
        <item x="22"/>
        <item m="1" x="38"/>
        <item x="2"/>
        <item x="25"/>
        <item n="-" x="33"/>
        <item x="34"/>
        <item x="21"/>
        <item x="35"/>
        <item x="26"/>
        <item x="18"/>
        <item x="24"/>
        <item x="15"/>
        <item x="16"/>
        <item x="17"/>
        <item x="36"/>
        <item x="8"/>
        <item x="29"/>
        <item x="11"/>
        <item x="32"/>
        <item x="10"/>
        <item x="31"/>
        <item x="1"/>
        <item m="1" x="37"/>
      </items>
    </pivotField>
    <pivotField axis="axisRow" compact="0" outline="0" subtotalTop="0" showAll="0" defaultSubtotal="0">
      <items count="44">
        <item x="4"/>
        <item x="13"/>
        <item x="17"/>
        <item x="8"/>
        <item x="23"/>
        <item x="24"/>
        <item x="19"/>
        <item x="9"/>
        <item x="32"/>
        <item x="36"/>
        <item x="30"/>
        <item x="11"/>
        <item x="20"/>
        <item x="1"/>
        <item x="16"/>
        <item x="10"/>
        <item x="14"/>
        <item x="31"/>
        <item x="22"/>
        <item x="29"/>
        <item x="34"/>
        <item x="26"/>
        <item x="15"/>
        <item x="12"/>
        <item x="35"/>
        <item x="28"/>
        <item x="27"/>
        <item x="37"/>
        <item m="1" x="43"/>
        <item x="2"/>
        <item m="1" x="42"/>
        <item x="25"/>
        <item x="21"/>
        <item x="33"/>
        <item n="-" x="0"/>
        <item x="3"/>
        <item x="5"/>
        <item x="6"/>
        <item x="18"/>
        <item x="7"/>
        <item x="38"/>
        <item x="39"/>
        <item x="40"/>
        <item x="41"/>
      </items>
    </pivotField>
    <pivotField compact="0" outline="0" showAll="0" defaultSubtotal="0"/>
    <pivotField dataField="1" compact="0" outline="0" subtotalTop="0" showAll="0" defaultSubtotal="0"/>
    <pivotField compact="0" outline="0" subtotalTop="0" showAll="0" defaultSubtotal="0"/>
    <pivotField name="YEAR" axis="axisCol" compact="0" outline="0" subtotalTop="0" showAll="0" defaultSubtotal="0">
      <items count="7">
        <item h="1" x="4"/>
        <item x="0"/>
        <item x="1"/>
        <item h="1" x="3"/>
        <item h="1" x="2"/>
        <item h="1" m="1" x="6"/>
        <item h="1"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46">
        <item x="22"/>
        <item x="21"/>
        <item x="32"/>
        <item x="25"/>
        <item x="2"/>
        <item x="14"/>
        <item m="1" x="45"/>
        <item x="0"/>
        <item x="4"/>
        <item x="17"/>
        <item x="3"/>
        <item x="15"/>
        <item x="12"/>
        <item x="29"/>
        <item m="1" x="43"/>
        <item x="19"/>
        <item x="30"/>
        <item x="6"/>
        <item x="33"/>
        <item x="16"/>
        <item x="35"/>
        <item x="26"/>
        <item x="18"/>
        <item x="34"/>
        <item x="7"/>
        <item x="11"/>
        <item x="20"/>
        <item x="5"/>
        <item x="41"/>
        <item x="36"/>
        <item x="24"/>
        <item m="1" x="44"/>
        <item x="38"/>
        <item x="13"/>
        <item x="31"/>
        <item x="8"/>
        <item x="40"/>
        <item x="28"/>
        <item x="27"/>
        <item x="37"/>
        <item x="10"/>
        <item x="23"/>
        <item x="9"/>
        <item x="39"/>
        <item x="42"/>
        <item x="1"/>
      </items>
    </pivotField>
    <pivotField axis="axisRow" compact="0" outline="0" subtotalTop="0" showAll="0" defaultSubtotal="0">
      <items count="50">
        <item x="23"/>
        <item x="21"/>
        <item x="35"/>
        <item x="25"/>
        <item x="2"/>
        <item x="14"/>
        <item m="1" x="49"/>
        <item x="28"/>
        <item x="4"/>
        <item x="27"/>
        <item x="33"/>
        <item x="36"/>
        <item x="15"/>
        <item x="31"/>
        <item x="0"/>
        <item x="12"/>
        <item x="3"/>
        <item x="6"/>
        <item x="16"/>
        <item x="22"/>
        <item x="19"/>
        <item x="18"/>
        <item x="32"/>
        <item x="38"/>
        <item x="7"/>
        <item m="1" x="46"/>
        <item x="39"/>
        <item x="5"/>
        <item x="26"/>
        <item x="20"/>
        <item x="11"/>
        <item m="1" x="47"/>
        <item x="17"/>
        <item m="1" x="48"/>
        <item x="37"/>
        <item x="34"/>
        <item x="8"/>
        <item x="13"/>
        <item x="42"/>
        <item x="41"/>
        <item m="1" x="45"/>
        <item x="43"/>
        <item x="30"/>
        <item x="40"/>
        <item x="10"/>
        <item x="24"/>
        <item x="9"/>
        <item x="29"/>
        <item x="44"/>
        <item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s>
  <rowFields count="8">
    <field x="4"/>
    <field x="1"/>
    <field x="9"/>
    <field x="7"/>
    <field x="21"/>
    <field x="22"/>
    <field x="31"/>
    <field x="32"/>
  </rowFields>
  <rowItems count="19">
    <i>
      <x v="5"/>
      <x v="1"/>
      <x v="1"/>
      <x v="16"/>
      <x v="35"/>
      <x v="36"/>
      <x v="25"/>
      <x v="30"/>
    </i>
    <i r="3">
      <x v="17"/>
      <x v="33"/>
      <x v="37"/>
      <x v="33"/>
      <x v="37"/>
    </i>
    <i r="3">
      <x v="67"/>
      <x/>
      <x v="5"/>
      <x v="29"/>
      <x v="29"/>
    </i>
    <i r="3">
      <x v="89"/>
      <x/>
      <x v="13"/>
      <x v="27"/>
      <x v="27"/>
    </i>
    <i r="3">
      <x v="92"/>
      <x v="1"/>
      <x v="38"/>
      <x v="2"/>
      <x v="2"/>
    </i>
    <i r="3">
      <x v="95"/>
      <x/>
      <x v="9"/>
      <x v="27"/>
      <x v="27"/>
    </i>
    <i r="3">
      <x v="98"/>
      <x v="7"/>
      <x v="35"/>
      <x v="24"/>
      <x v="24"/>
    </i>
    <i r="3">
      <x v="110"/>
      <x v="32"/>
      <x v="22"/>
      <x v="38"/>
      <x v="47"/>
    </i>
    <i t="sum" r="2">
      <x v="1"/>
    </i>
    <i r="2">
      <x v="2"/>
      <x v="99"/>
      <x/>
      <x/>
      <x v="35"/>
      <x v="36"/>
    </i>
    <i t="sum" r="2">
      <x v="2"/>
    </i>
    <i t="sum" r="1">
      <x v="1"/>
    </i>
    <i r="1">
      <x v="2"/>
      <x v="1"/>
      <x v="78"/>
      <x v="10"/>
      <x v="16"/>
      <x v="23"/>
      <x v="23"/>
    </i>
    <i r="3">
      <x v="80"/>
      <x v="23"/>
      <x v="18"/>
      <x v="26"/>
      <x v="26"/>
    </i>
    <i r="3">
      <x v="87"/>
      <x v="1"/>
      <x v="1"/>
      <x v="24"/>
      <x v="24"/>
    </i>
    <i t="sum" r="2">
      <x v="1"/>
    </i>
    <i t="sum" r="1">
      <x v="2"/>
    </i>
    <i t="sum">
      <x v="5"/>
    </i>
    <i t="grand">
      <x/>
    </i>
  </rowItems>
  <colFields count="2">
    <field x="26"/>
    <field x="-2"/>
  </colFields>
  <colItems count="6">
    <i>
      <x v="1"/>
      <x/>
    </i>
    <i r="1" i="1">
      <x v="1"/>
    </i>
    <i>
      <x v="2"/>
      <x/>
    </i>
    <i r="1" i="1">
      <x v="1"/>
    </i>
    <i t="grand">
      <x/>
    </i>
    <i t="grand" i="1">
      <x/>
    </i>
  </colItems>
  <dataFields count="2">
    <dataField name=" COUNT" fld="8" baseField="0" baseItem="0"/>
    <dataField name="Value" fld="24" baseField="20" baseItem="24" numFmtId="166"/>
  </dataFields>
  <formats count="42">
    <format dxfId="172">
      <pivotArea dataOnly="0" outline="0" fieldPosition="0">
        <references count="1">
          <reference field="9" count="0" sumSubtotal="1"/>
        </references>
      </pivotArea>
    </format>
    <format dxfId="171">
      <pivotArea dataOnly="0" outline="0" fieldPosition="0">
        <references count="1">
          <reference field="9" count="0" sumSubtotal="1"/>
        </references>
      </pivotArea>
    </format>
    <format dxfId="170">
      <pivotArea field="1" type="button" dataOnly="0" labelOnly="1" outline="0" axis="axisRow" fieldPosition="1"/>
    </format>
    <format dxfId="169">
      <pivotArea field="9" type="button" dataOnly="0" labelOnly="1" outline="0" axis="axisRow" fieldPosition="2"/>
    </format>
    <format dxfId="168">
      <pivotArea field="7" type="button" dataOnly="0" labelOnly="1" outline="0" axis="axisRow" fieldPosition="3"/>
    </format>
    <format dxfId="167">
      <pivotArea field="0" type="button" dataOnly="0" labelOnly="1" outline="0"/>
    </format>
    <format dxfId="166">
      <pivotArea dataOnly="0" labelOnly="1" grandCol="1" outline="0" fieldPosition="0"/>
    </format>
    <format dxfId="165">
      <pivotArea field="1" type="button" dataOnly="0" labelOnly="1" outline="0" axis="axisRow" fieldPosition="1"/>
    </format>
    <format dxfId="164">
      <pivotArea field="9" type="button" dataOnly="0" labelOnly="1" outline="0" axis="axisRow" fieldPosition="2"/>
    </format>
    <format dxfId="163">
      <pivotArea field="7" type="button" dataOnly="0" labelOnly="1" outline="0" axis="axisRow" fieldPosition="3"/>
    </format>
    <format dxfId="162">
      <pivotArea field="0" type="button" dataOnly="0" labelOnly="1" outline="0"/>
    </format>
    <format dxfId="161">
      <pivotArea dataOnly="0" labelOnly="1" grandCol="1" outline="0" fieldPosition="0"/>
    </format>
    <format dxfId="160">
      <pivotArea field="21" type="button" dataOnly="0" labelOnly="1" outline="0" axis="axisRow" fieldPosition="4"/>
    </format>
    <format dxfId="159">
      <pivotArea field="21" type="button" dataOnly="0" labelOnly="1" outline="0" axis="axisRow" fieldPosition="4"/>
    </format>
    <format dxfId="158">
      <pivotArea field="1" type="button" dataOnly="0" labelOnly="1" outline="0" axis="axisRow" fieldPosition="1"/>
    </format>
    <format dxfId="157">
      <pivotArea field="9" type="button" dataOnly="0" labelOnly="1" outline="0" axis="axisRow" fieldPosition="2"/>
    </format>
    <format dxfId="156">
      <pivotArea field="7" type="button" dataOnly="0" labelOnly="1" outline="0" axis="axisRow" fieldPosition="3"/>
    </format>
    <format dxfId="155">
      <pivotArea field="0" type="button" dataOnly="0" labelOnly="1" outline="0"/>
    </format>
    <format dxfId="154">
      <pivotArea field="21" type="button" dataOnly="0" labelOnly="1" outline="0" axis="axisRow" fieldPosition="4"/>
    </format>
    <format dxfId="153">
      <pivotArea dataOnly="0" labelOnly="1" grandCol="1" outline="0" fieldPosition="0"/>
    </format>
    <format dxfId="152">
      <pivotArea field="1" type="button" dataOnly="0" labelOnly="1" outline="0" axis="axisRow" fieldPosition="1"/>
    </format>
    <format dxfId="151">
      <pivotArea field="9" type="button" dataOnly="0" labelOnly="1" outline="0" axis="axisRow" fieldPosition="2"/>
    </format>
    <format dxfId="150">
      <pivotArea field="7" type="button" dataOnly="0" labelOnly="1" outline="0" axis="axisRow" fieldPosition="3"/>
    </format>
    <format dxfId="149">
      <pivotArea field="0" type="button" dataOnly="0" labelOnly="1" outline="0"/>
    </format>
    <format dxfId="148">
      <pivotArea field="21" type="button" dataOnly="0" labelOnly="1" outline="0" axis="axisRow" fieldPosition="4"/>
    </format>
    <format dxfId="147">
      <pivotArea dataOnly="0" labelOnly="1" grandCol="1" outline="0" fieldPosition="0"/>
    </format>
    <format dxfId="146">
      <pivotArea field="1" type="button" dataOnly="0" labelOnly="1" outline="0" axis="axisRow" fieldPosition="1"/>
    </format>
    <format dxfId="145">
      <pivotArea field="9" type="button" dataOnly="0" labelOnly="1" outline="0" axis="axisRow" fieldPosition="2"/>
    </format>
    <format dxfId="144">
      <pivotArea field="7" type="button" dataOnly="0" labelOnly="1" outline="0" axis="axisRow" fieldPosition="3"/>
    </format>
    <format dxfId="143">
      <pivotArea field="0" type="button" dataOnly="0" labelOnly="1" outline="0"/>
    </format>
    <format dxfId="142">
      <pivotArea field="21" type="button" dataOnly="0" labelOnly="1" outline="0" axis="axisRow" fieldPosition="4"/>
    </format>
    <format dxfId="141">
      <pivotArea dataOnly="0" labelOnly="1" grandCol="1" outline="0" fieldPosition="0"/>
    </format>
    <format dxfId="140">
      <pivotArea field="1" type="button" dataOnly="0" labelOnly="1" outline="0" axis="axisRow" fieldPosition="1"/>
    </format>
    <format dxfId="139">
      <pivotArea field="9" type="button" dataOnly="0" labelOnly="1" outline="0" axis="axisRow" fieldPosition="2"/>
    </format>
    <format dxfId="138">
      <pivotArea field="7" type="button" dataOnly="0" labelOnly="1" outline="0" axis="axisRow" fieldPosition="3"/>
    </format>
    <format dxfId="137">
      <pivotArea field="0" type="button" dataOnly="0" labelOnly="1" outline="0"/>
    </format>
    <format dxfId="136">
      <pivotArea field="21" type="button" dataOnly="0" labelOnly="1" outline="0" axis="axisRow" fieldPosition="4"/>
    </format>
    <format dxfId="135">
      <pivotArea dataOnly="0" labelOnly="1" grandCol="1" outline="0" fieldPosition="0"/>
    </format>
    <format dxfId="134">
      <pivotArea outline="0" fieldPosition="0">
        <references count="1">
          <reference field="4294967294" count="1">
            <x v="1"/>
          </reference>
        </references>
      </pivotArea>
    </format>
    <format dxfId="133">
      <pivotArea dataOnly="0" outline="0" fieldPosition="0">
        <references count="1">
          <reference field="9" count="0" sumSubtotal="1"/>
        </references>
      </pivotArea>
    </format>
    <format dxfId="132">
      <pivotArea dataOnly="0" outline="0" fieldPosition="0">
        <references count="1">
          <reference field="4" count="0" sumSubtotal="1"/>
        </references>
      </pivotArea>
    </format>
    <format dxfId="131">
      <pivotArea dataOnly="0" outline="0" fieldPosition="0">
        <references count="1">
          <reference field="1" count="0" sumSubtotal="1"/>
        </references>
      </pivotArea>
    </format>
  </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CC2858-9BA5-4E9F-97F3-02853F613363}" name="PivotTable3" cacheId="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F54" firstHeaderRow="1" firstDataRow="1" firstDataCol="6" rowPageCount="1" colPageCount="1"/>
  <pivotFields count="58">
    <pivotField compact="0" outline="0" showAll="0" defaultSubtotal="0">
      <extLst>
        <ext xmlns:x14="http://schemas.microsoft.com/office/spreadsheetml/2009/9/main" uri="{2946ED86-A175-432a-8AC1-64E0C546D7DE}">
          <x14:pivotField fillDownLabels="1"/>
        </ext>
      </extLst>
    </pivotField>
    <pivotField axis="axisRow" compact="0" outline="0" showAll="0" sumSubtotal="1">
      <items count="5">
        <item x="1"/>
        <item m="1" x="3"/>
        <item x="0"/>
        <item x="2"/>
        <item t="sum"/>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7">
        <item x="6"/>
        <item h="1" x="0"/>
        <item x="14"/>
        <item x="15"/>
        <item x="18"/>
        <item x="19"/>
        <item x="13"/>
        <item x="1"/>
        <item x="3"/>
        <item x="17"/>
        <item x="8"/>
        <item x="5"/>
        <item x="2"/>
        <item x="7"/>
        <item x="9"/>
        <item x="11"/>
        <item x="10"/>
        <item x="4"/>
        <item x="12"/>
        <item x="16"/>
        <item x="26"/>
        <item h="1" x="20"/>
        <item h="1" x="21"/>
        <item h="1" x="22"/>
        <item h="1" x="23"/>
        <item h="1" x="24"/>
        <item h="1" x="2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33">
        <item m="1" x="123"/>
        <item x="23"/>
        <item x="15"/>
        <item x="27"/>
        <item x="29"/>
        <item x="45"/>
        <item x="31"/>
        <item x="33"/>
        <item x="39"/>
        <item x="37"/>
        <item x="40"/>
        <item x="6"/>
        <item x="3"/>
        <item x="5"/>
        <item x="4"/>
        <item x="14"/>
        <item x="18"/>
        <item x="20"/>
        <item x="48"/>
        <item x="49"/>
        <item x="78"/>
        <item x="44"/>
        <item x="63"/>
        <item x="86"/>
        <item x="24"/>
        <item x="56"/>
        <item x="90"/>
        <item x="73"/>
        <item x="28"/>
        <item x="59"/>
        <item x="68"/>
        <item x="58"/>
        <item x="67"/>
        <item m="1" x="131"/>
        <item x="72"/>
        <item x="76"/>
        <item x="60"/>
        <item x="32"/>
        <item x="25"/>
        <item x="26"/>
        <item x="46"/>
        <item x="74"/>
        <item x="36"/>
        <item x="38"/>
        <item x="61"/>
        <item x="57"/>
        <item x="77"/>
        <item x="80"/>
        <item x="7"/>
        <item x="66"/>
        <item x="85"/>
        <item x="64"/>
        <item x="87"/>
        <item x="88"/>
        <item x="81"/>
        <item x="84"/>
        <item x="1"/>
        <item x="65"/>
        <item x="8"/>
        <item x="75"/>
        <item m="1" x="126"/>
        <item x="22"/>
        <item x="71"/>
        <item x="82"/>
        <item x="10"/>
        <item x="12"/>
        <item x="52"/>
        <item x="62"/>
        <item x="13"/>
        <item x="16"/>
        <item x="89"/>
        <item x="21"/>
        <item x="17"/>
        <item x="19"/>
        <item m="1" x="125"/>
        <item x="53"/>
        <item x="42"/>
        <item x="41"/>
        <item x="47"/>
        <item x="55"/>
        <item x="30"/>
        <item x="70"/>
        <item x="51"/>
        <item x="43"/>
        <item x="50"/>
        <item x="35"/>
        <item x="79"/>
        <item m="1" x="132"/>
        <item x="54"/>
        <item x="91"/>
        <item x="92"/>
        <item x="93"/>
        <item x="94"/>
        <item x="95"/>
        <item x="96"/>
        <item x="98"/>
        <item x="99"/>
        <item x="100"/>
        <item x="2"/>
        <item x="0"/>
        <item x="101"/>
        <item x="102"/>
        <item x="103"/>
        <item x="105"/>
        <item x="107"/>
        <item x="108"/>
        <item m="1" x="130"/>
        <item m="1" x="128"/>
        <item m="1" x="127"/>
        <item x="110"/>
        <item m="1" x="124"/>
        <item m="1" x="129"/>
        <item x="97"/>
        <item x="111"/>
        <item x="109"/>
        <item x="83"/>
        <item x="112"/>
        <item x="69"/>
        <item x="113"/>
        <item x="104"/>
        <item x="106"/>
        <item x="11"/>
        <item x="9"/>
        <item x="34"/>
        <item x="114"/>
        <item m="1" x="121"/>
        <item x="116"/>
        <item x="117"/>
        <item x="118"/>
        <item m="1" x="122"/>
        <item x="120"/>
        <item x="115"/>
        <item x="11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12">
        <item h="1" x="7"/>
        <item h="1" x="6"/>
        <item x="1"/>
        <item x="4"/>
        <item x="3"/>
        <item h="1" x="8"/>
        <item x="5"/>
        <item h="1" x="9"/>
        <item h="1" x="2"/>
        <item h="1" x="0"/>
        <item h="1" x="11"/>
        <item h="1"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0">
        <item x="9"/>
        <item x="17"/>
        <item x="0"/>
        <item x="1"/>
        <item x="16"/>
        <item x="11"/>
        <item x="12"/>
        <item x="8"/>
        <item x="6"/>
        <item x="10"/>
        <item x="18"/>
        <item x="4"/>
        <item x="3"/>
        <item x="5"/>
        <item x="14"/>
        <item x="2"/>
        <item x="7"/>
        <item n="-" x="15"/>
        <item x="19"/>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4"/>
        <item x="25"/>
        <item x="13"/>
        <item x="7"/>
        <item x="0"/>
        <item x="1"/>
        <item x="2"/>
        <item x="3"/>
        <item x="8"/>
        <item x="9"/>
        <item x="10"/>
        <item x="15"/>
        <item x="11"/>
        <item x="18"/>
        <item x="19"/>
        <item x="16"/>
        <item x="14"/>
        <item x="4"/>
        <item x="5"/>
        <item x="6"/>
        <item x="23"/>
        <item x="17"/>
        <item x="20"/>
        <item x="12"/>
        <item x="26"/>
        <item m="1" x="28"/>
        <item x="21"/>
        <item x="22"/>
        <item x="27"/>
      </items>
      <extLst>
        <ext xmlns:x14="http://schemas.microsoft.com/office/spreadsheetml/2009/9/main" uri="{2946ED86-A175-432a-8AC1-64E0C546D7DE}">
          <x14:pivotField fillDownLabels="1"/>
        </ext>
      </extLst>
    </pivotField>
    <pivotField axis="axisRow" compact="0" outline="0" showAll="0" sortType="ascending" defaultSubtotal="0">
      <items count="7">
        <item x="4"/>
        <item m="1" x="6"/>
        <item x="0"/>
        <item x="1"/>
        <item x="5"/>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6">
    <field x="1"/>
    <field x="4"/>
    <field x="7"/>
    <field x="15"/>
    <field x="26"/>
    <field x="25"/>
  </rowFields>
  <rowItems count="51">
    <i>
      <x/>
      <x v="3"/>
      <x v="19"/>
      <x v="12"/>
      <x v="2"/>
      <x v="11"/>
    </i>
    <i r="1">
      <x v="4"/>
      <x v="20"/>
      <x v="15"/>
      <x v="2"/>
      <x v="8"/>
    </i>
    <i r="2">
      <x v="102"/>
      <x v="15"/>
      <x v="3"/>
      <x v="12"/>
    </i>
    <i r="2">
      <x v="103"/>
      <x v="15"/>
      <x v="3"/>
      <x v="12"/>
    </i>
    <i r="2">
      <x v="104"/>
      <x v="15"/>
      <x v="3"/>
      <x v="12"/>
    </i>
    <i r="2">
      <x v="120"/>
      <x v="15"/>
      <x v="3"/>
      <x v="12"/>
    </i>
    <i r="1">
      <x v="16"/>
      <x v="78"/>
      <x v="15"/>
      <x v="2"/>
      <x v="7"/>
    </i>
    <i r="2">
      <x v="79"/>
      <x v="15"/>
      <x v="2"/>
      <x v="7"/>
    </i>
    <i r="2">
      <x v="118"/>
      <x v="15"/>
      <x v="2"/>
      <x v="10"/>
    </i>
    <i t="sum">
      <x/>
    </i>
    <i>
      <x v="2"/>
      <x v="2"/>
      <x v="18"/>
      <x v="13"/>
      <x v="3"/>
      <x v="15"/>
    </i>
    <i r="1">
      <x v="3"/>
      <x v="19"/>
      <x v="12"/>
      <x v="3"/>
      <x v="17"/>
    </i>
    <i r="1">
      <x v="4"/>
      <x v="86"/>
      <x v="15"/>
      <x v="6"/>
      <x v="23"/>
    </i>
    <i r="2">
      <x v="97"/>
      <x v="15"/>
      <x v="3"/>
      <x v="12"/>
    </i>
    <i r="2">
      <x v="103"/>
      <x v="15"/>
      <x v="3"/>
      <x v="16"/>
    </i>
    <i r="5">
      <x v="17"/>
    </i>
    <i r="5">
      <x v="18"/>
    </i>
    <i r="2">
      <x v="105"/>
      <x v="15"/>
      <x v="3"/>
      <x v="14"/>
    </i>
    <i r="2">
      <x v="126"/>
      <x v="15"/>
      <x v="3"/>
      <x v="14"/>
    </i>
    <i r="1">
      <x v="6"/>
      <x v="21"/>
      <x v="3"/>
      <x v="3"/>
      <x v="16"/>
    </i>
    <i r="5">
      <x v="17"/>
    </i>
    <i r="1">
      <x v="8"/>
      <x v="5"/>
      <x v="15"/>
      <x v="3"/>
      <x v="16"/>
    </i>
    <i r="5">
      <x v="17"/>
    </i>
    <i r="5">
      <x v="18"/>
    </i>
    <i r="2">
      <x v="31"/>
      <x v="15"/>
      <x v="2"/>
      <x v="10"/>
    </i>
    <i r="2">
      <x v="32"/>
      <x v="15"/>
      <x v="3"/>
      <x v="17"/>
    </i>
    <i r="5">
      <x v="18"/>
    </i>
    <i r="5">
      <x v="19"/>
    </i>
    <i r="5">
      <x v="20"/>
    </i>
    <i r="5">
      <x v="21"/>
    </i>
    <i r="2">
      <x v="100"/>
      <x v="15"/>
      <x v="2"/>
      <x v="11"/>
    </i>
    <i r="1">
      <x v="9"/>
      <x v="34"/>
      <x v="15"/>
      <x v="2"/>
      <x v="9"/>
    </i>
    <i r="1">
      <x v="10"/>
      <x v="43"/>
      <x v="15"/>
      <x v="2"/>
      <x v="9"/>
    </i>
    <i r="1">
      <x v="11"/>
      <x v="7"/>
      <x v="15"/>
      <x v="2"/>
      <x v="10"/>
    </i>
    <i r="5">
      <x v="11"/>
    </i>
    <i r="2">
      <x v="37"/>
      <x v="15"/>
      <x v="2"/>
      <x v="9"/>
    </i>
    <i r="2">
      <x v="123"/>
      <x v="15"/>
      <x v="2"/>
      <x v="11"/>
    </i>
    <i r="1">
      <x v="12"/>
      <x v="8"/>
      <x v="2"/>
      <x v="3"/>
      <x v="21"/>
    </i>
    <i r="5">
      <x v="26"/>
    </i>
    <i r="5">
      <x v="27"/>
    </i>
    <i r="2">
      <x v="39"/>
      <x v="11"/>
      <x v="3"/>
      <x v="21"/>
    </i>
    <i r="2">
      <x v="40"/>
      <x v="15"/>
      <x v="3"/>
      <x v="20"/>
    </i>
    <i r="5">
      <x v="21"/>
    </i>
    <i r="2">
      <x v="41"/>
      <x v="15"/>
      <x v="2"/>
      <x v="10"/>
    </i>
    <i r="1">
      <x v="16"/>
      <x v="78"/>
      <x v="15"/>
      <x v="3"/>
      <x v="14"/>
    </i>
    <i r="2">
      <x v="79"/>
      <x v="15"/>
      <x v="3"/>
      <x v="15"/>
    </i>
    <i r="2">
      <x v="118"/>
      <x v="15"/>
      <x v="3"/>
      <x v="15"/>
    </i>
    <i r="1">
      <x v="18"/>
      <x v="82"/>
      <x/>
      <x v="3"/>
      <x v="18"/>
    </i>
    <i r="5">
      <x v="19"/>
    </i>
    <i t="sum">
      <x v="2"/>
    </i>
    <i t="grand">
      <x/>
    </i>
  </rowItems>
  <colItems count="1">
    <i/>
  </colItems>
  <pageFields count="1">
    <pageField fld="9" hier="-1"/>
  </pageFields>
  <formats count="2">
    <format dxfId="130">
      <pivotArea dataOnly="0" outline="0" fieldPosition="0">
        <references count="1">
          <reference field="1" count="0" sumSubtotal="1"/>
        </references>
      </pivotArea>
    </format>
    <format dxfId="129">
      <pivotArea dataOnly="0" outline="0" fieldPosition="0">
        <references count="1">
          <reference field="1" count="0" sum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129949-AAF4-4BA0-8FE3-9FA801245404}" name="DetailTracker" displayName="DetailTracker" ref="A2:BF205" totalsRowCount="1" headerRowDxfId="1303" dataDxfId="1302" totalsRowDxfId="1301">
  <autoFilter ref="A2:BF204" xr:uid="{A9129949-AAF4-4BA0-8FE3-9FA801245404}"/>
  <tableColumns count="58">
    <tableColumn id="1" xr3:uid="{1236F968-AA5D-418A-85E7-64848F8B24A5}" name="PROJECT TYPE" dataDxfId="1300" totalsRowDxfId="57">
      <calculatedColumnFormula>IFERROR(VLOOKUP(E3,'Customer '!$A$4:$D$23,3,FALSE),"")</calculatedColumnFormula>
    </tableColumn>
    <tableColumn id="2" xr3:uid="{85B6C244-38FA-46C1-9124-E75F2C293C93}" name="STAGE" dataDxfId="1299" totalsRowDxfId="56"/>
    <tableColumn id="3" xr3:uid="{EE02E691-A7B4-4A0C-AF6A-1AF333E6BC53}" name="PIC" dataDxfId="1298" totalsRowDxfId="55"/>
    <tableColumn id="54" xr3:uid="{66E16675-3203-4282-9498-D64F3A093714}" name="CUSTOMER PIC" dataDxfId="1297" totalsRowDxfId="54"/>
    <tableColumn id="4" xr3:uid="{AD29E244-D348-4C21-BD80-370A13948394}" name="CUSTOMER NAME" dataDxfId="1296" totalsRowDxfId="53"/>
    <tableColumn id="5" xr3:uid="{4447212E-723A-4A12-A6D9-3BADB8557197}" name="CUSTOMER SHORTEN NAME" dataDxfId="1295" totalsRowDxfId="52">
      <calculatedColumnFormula>IFERROR(VLOOKUP(E3,'Customer '!$A$4:$D$28,2,FALSE),"")</calculatedColumnFormula>
    </tableColumn>
    <tableColumn id="6" xr3:uid="{012B8FF5-9A74-40BA-8E9B-DD654D4D9A2E}" name="PROJECT NAME (SHORT)" dataDxfId="1294" totalsRowDxfId="51"/>
    <tableColumn id="7" xr3:uid="{425BDBDC-DFB9-442F-9FF0-D52FDEE94953}" name="PROJECT NAME" dataDxfId="1293" totalsRowDxfId="50">
      <calculatedColumnFormula>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calculatedColumnFormula>
    </tableColumn>
    <tableColumn id="8" xr3:uid="{061F57B5-2397-4AB1-A8B4-5029F05B27E9}" name="COUNT" dataDxfId="1292" totalsRowDxfId="49">
      <calculatedColumnFormula>IF(OR($H3="",$B3=""),0,--(COUNTIFS($H$3:$H3,$H3,$B$3:$B3,$B3)=1))</calculatedColumnFormula>
    </tableColumn>
    <tableColumn id="9" xr3:uid="{01053D1F-114C-4345-A727-4C9FEEA02FAA}" name="STATUS" dataDxfId="1291" totalsRowDxfId="48"/>
    <tableColumn id="10" xr3:uid="{C69AD309-6F14-44B0-B878-437E6B818168}" name="POOL" dataDxfId="1290" totalsRowDxfId="47"/>
    <tableColumn id="11" xr3:uid="{FD996047-5452-4989-92FA-63D8311854E1}" name="NPD/NPI_x000a_STAGE" dataDxfId="1289" totalsRowDxfId="46"/>
    <tableColumn id="12" xr3:uid="{A2026481-9F4F-456D-BD74-D5F18B5BDFC3}" name="BOQ DATE" dataDxfId="1288" totalsRowDxfId="45"/>
    <tableColumn id="13" xr3:uid="{9B7F0E7C-5A61-478B-8252-83ECAFC9EC14}" name="PO RECEIVED_x000a_DATE" dataDxfId="1287" totalsRowDxfId="44"/>
    <tableColumn id="14" xr3:uid="{B4562FDC-BE5D-4F53-98B8-21C1F0A37FCE}" name="DEPOSIT_x000a_RECEIVED DATE" dataDxfId="1286" totalsRowDxfId="43"/>
    <tableColumn id="16" xr3:uid="{D35090BA-5E69-4F0E-BB11-2E800D88C71B}" name="MARKET" dataDxfId="1285" totalsRowDxfId="42"/>
    <tableColumn id="17" xr3:uid="{F0DD032B-0F5B-4392-9152-233AC9F419C8}" name="MARKET STATE (US ONLY)" dataDxfId="1284" totalsRowDxfId="41"/>
    <tableColumn id="46" xr3:uid="{FA044D98-3C66-4D38-B81B-96A3128BC847}" name="BE SKU" dataDxfId="1283" totalsRowDxfId="40"/>
    <tableColumn id="45" xr3:uid="{3B0DCADF-4163-48E7-B354-7D7E6735D07F}" name="BE QTY" dataDxfId="1282" totalsRowDxfId="39"/>
    <tableColumn id="59" xr3:uid="{4B79D79E-3CD4-49D7-9A60-D7A202009657}" name="CG QTY" dataDxfId="1281" totalsRowDxfId="38"/>
    <tableColumn id="58" xr3:uid="{4E59DA61-3FE7-4E32-A9CA-DB33EBB38011}" name="UPH QTY" dataDxfId="1280" totalsRowDxfId="37"/>
    <tableColumn id="18" xr3:uid="{0A38C9F7-07C4-45DB-A4E2-7657EC8C1DC3}" name="PROJECT SKU" dataDxfId="1279" totalsRowDxfId="36"/>
    <tableColumn id="57" xr3:uid="{0D5CB214-E6D0-45D0-A2F1-78DBE17DDFAA}" name="PROJECT QTY" dataDxfId="1278" totalsRowDxfId="35"/>
    <tableColumn id="19" xr3:uid="{72A7125A-CA1D-4B32-86D9-9C6B605A31CF}" name="PROJECT VALUE $" dataDxfId="1277" totalsRowDxfId="34"/>
    <tableColumn id="20" xr3:uid="{15792116-35F2-437C-9F2E-D13B4BF87AF6}" name="PROJECT BREAK VALUE" dataDxfId="1276" totalsRowDxfId="33"/>
    <tableColumn id="21" xr3:uid="{EB4CF741-3504-4C29-9529-CB9CA6CF50A8}" name="SHIP MONTH FC" dataDxfId="1275" totalsRowDxfId="32"/>
    <tableColumn id="22" xr3:uid="{E248C66D-E807-4DA5-8910-F49D953169A8}" name="SHIP YEAR" dataDxfId="1274" totalsRowDxfId="31">
      <calculatedColumnFormula>IF(Z3="","",IF(OR(Z3="TBC",Z3="Removed"),Z3,LEFT(Z3,4)))</calculatedColumnFormula>
    </tableColumn>
    <tableColumn id="23" xr3:uid="{112E5FEA-B304-42B6-8AD7-F665064C89F1}" name=" REQUESTED FIRST SD" dataDxfId="1273" totalsRowDxfId="30"/>
    <tableColumn id="24" xr3:uid="{8765A6EF-39B3-4C33-99EC-75ACCF3E9D90}" name=" REQUESTED LAST SD" dataDxfId="1272" totalsRowDxfId="29"/>
    <tableColumn id="25" xr3:uid="{5B9F2253-6429-4BC7-BE17-F802B321435F}" name="CONFIRMED FIRST SD" dataDxfId="1271" totalsRowDxfId="28"/>
    <tableColumn id="26" xr3:uid="{3A72F606-D2C6-42B5-9E97-06DC763A8752}" name="CONFIRMED LAST SD" dataDxfId="1270" totalsRowDxfId="27"/>
    <tableColumn id="27" xr3:uid="{1D854710-7B1D-40A6-9CA1-E806CAB5DAD4}" name="CONFIRMED FIRST SW" totalsRowFunction="custom" dataDxfId="1269" totalsRowDxfId="26">
      <calculatedColumnFormula>IF(AD3="","",IF(ISNUMBER(AD3),IF(AND(AD3&gt;='2026 Calendar'!$C$4,AD3&lt;='2026 Calendar'!$E$107),LOOKUP(AD3,'2026 Calendar'!$C$4:$C$107,'2026 Calendar'!$A$4:$A$107),YEAR(AD3-WEEKDAY(AD3,2)+4)&amp;"/W"&amp;TEXT(WEEKNUM(AD3,21),"00")),IF(IFERROR(ISNUMBER(SEARCH("/W",AD3)),FALSE),IF(IFERROR(ISNUMBER(SEARCH("-",AD3)),FALSE),LEFT(AD3,SEARCH("-",AD3)-1),AD3),AD3)))</calculatedColumnFormula>
      <totalsRowFormula>IF(AD205="","",IF(ISNUMBER(AD205),IF(AND(AD205&gt;='2026 Calendar'!$C$4,AD205&lt;='2026 Calendar'!$E$107),LOOKUP(AD205,'2026 Calendar'!$C$4:$C$107,'2026 Calendar'!$A$4:$A$107),YEAR(AD205-WEEKDAY(AD205,2)+4)&amp;"/W"&amp;TEXT(WEEKNUM(AD205,21),"00")),IF(IFERROR(ISNUMBER(SEARCH("/W",AD205)),FALSE),IF(IFERROR(ISNUMBER(SEARCH("-",AD205)),FALSE),LEFT(AD205,SEARCH("-",AD205)-1),AD205),AD205)))</totalsRowFormula>
    </tableColumn>
    <tableColumn id="28" xr3:uid="{B388222D-0D5D-494E-9FEF-0D90F7643B9D}" name="CONFIRMED LAST SW" totalsRowFunction="custom" dataDxfId="1268" totalsRowDxfId="25">
      <calculatedColumnFormula>IF(AE3="","",IF(ISNUMBER(AE3),IF(AND(AE3&gt;='2026 Calendar'!$C$4,AE3&lt;='2026 Calendar'!$E$107),LOOKUP(AE3,'2026 Calendar'!$C$4:$C$107,'2026 Calendar'!$A$4:$A$107),YEAR(AE3-WEEKDAY(AE3,2)+4)&amp;"/W"&amp;TEXT(WEEKNUM(AE3,21),"00")),IF(IFERROR(ISNUMBER(SEARCH("/W",AE3)),FALSE),IF(IFERROR(ISNUMBER(SEARCH("-",AE3)),FALSE),MID(AE3,SEARCH("-",AE3)+1,100),AE3),AE3)))</calculatedColumnFormula>
      <totalsRowFormula>IF(AE205="","",IF(ISNUMBER(AE205),IF(AND(AE205&gt;='2026 Calendar'!$C$4,AE205&lt;='2026 Calendar'!$E$107),LOOKUP(AE205,'2026 Calendar'!$C$4:$C$107,'2026 Calendar'!$A$4:$A$107),YEAR(AE205-WEEKDAY(AE205,2)+4)&amp;"/W"&amp;TEXT(WEEKNUM(AE205,21),"00")),IF(IFERROR(ISNUMBER(SEARCH("/W",AE205)),FALSE),IF(IFERROR(ISNUMBER(SEARCH("-",AE205)),FALSE),MID(AE205,SEARCH("-",AE205)+1,100),AE205),AE205)))</totalsRowFormula>
    </tableColumn>
    <tableColumn id="29" xr3:uid="{808896CD-C1EE-443F-8FA6-799E19277D11}" name="DRAWING_x000a_STATUS" dataDxfId="1267" totalsRowDxfId="24"/>
    <tableColumn id="56" xr3:uid="{D10A0744-277E-4BC5-AD2C-C452FBA64B74}" name="DRAWING_x000a_PLAN/DUE DATE" dataDxfId="1266" totalsRowDxfId="23"/>
    <tableColumn id="30" xr3:uid="{DD778B6F-D13E-49B5-8A89-7A3294D59E31}" name="DRAWING_x000a_APPROVED DATE" dataDxfId="1265" totalsRowDxfId="22"/>
    <tableColumn id="31" xr3:uid="{A34BCC1B-E356-4EF9-B3E3-661C4D8682BC}" name="VENEER/WOOD_x000a_STATUS" dataDxfId="1264" totalsRowDxfId="21"/>
    <tableColumn id="55" xr3:uid="{560144A2-764E-4A55-896B-FF09E53507B8}" name="VENEER/WOOD_x000a_PLAN/DUE DATE" dataDxfId="1263" totalsRowDxfId="20"/>
    <tableColumn id="32" xr3:uid="{030C8624-889B-4AA8-BA98-D25E7B69B9B4}" name="VENEER/WOOD_x000a_APPROVED DATE" dataDxfId="1262" totalsRowDxfId="19"/>
    <tableColumn id="33" xr3:uid="{5BB251E4-897E-4CD9-B7A6-F4E30A066EDE}" name="MARBLE_x000a_STATUS" dataDxfId="1261" totalsRowDxfId="18"/>
    <tableColumn id="53" xr3:uid="{8490E297-C8B3-42FF-8D5A-70B1A7F15327}" name="MARBLE_x000a_PLAN/DUE DATE" dataDxfId="1260" totalsRowDxfId="17"/>
    <tableColumn id="34" xr3:uid="{3C57AE32-C394-41F8-8D49-BE85213EE2F3}" name="MARBLE_x000a_APPROVED DATE" dataDxfId="1259" totalsRowDxfId="16"/>
    <tableColumn id="35" xr3:uid="{61F3FD3D-3ADC-4CA7-A0FE-9106E5981DB1}" name="METAL_x000a_STATUS" dataDxfId="1258" totalsRowDxfId="15"/>
    <tableColumn id="50" xr3:uid="{7F94A0DA-A663-4092-9D8B-F27F71B32F50}" name="METAL_x000a_PLAN/DUE DATE" dataDxfId="1257" totalsRowDxfId="14"/>
    <tableColumn id="36" xr3:uid="{D8834684-FE1D-4B28-A197-8AE95D351D30}" name="METAL_x000a_APPROVED DATE" dataDxfId="1256" totalsRowDxfId="13"/>
    <tableColumn id="37" xr3:uid="{A2150081-3D7A-4D4B-8C76-92DFB3A17CB1}" name="MIRROR_x000a_STATUS" dataDxfId="1255" totalsRowDxfId="12"/>
    <tableColumn id="49" xr3:uid="{5FA0819F-756C-456C-8D72-02813705B792}" name="MIRROR_x000a_PLAN/DUE DATE" dataDxfId="1254" totalsRowDxfId="11"/>
    <tableColumn id="38" xr3:uid="{37DEC2C9-4117-42AA-A74B-BA1B2F10A25A}" name="MIRROR_x000a_APPROVED DATE" dataDxfId="1253" totalsRowDxfId="10"/>
    <tableColumn id="39" xr3:uid="{835E81C0-7A04-4B2E-B05A-BB3596F76ACF}" name="ELECTRICAL_x000a_STATUS" dataDxfId="1252" totalsRowDxfId="9"/>
    <tableColumn id="48" xr3:uid="{637419CC-E5E8-4F77-9B4C-2104E9E63C05}" name="ELECTRICAL_x000a_PLAN/DUE DATE" dataDxfId="1251" totalsRowDxfId="8"/>
    <tableColumn id="40" xr3:uid="{BC599A7A-B50E-4521-8151-7F45E20D0CA2}" name="ELECTRICAL_x000a_APPROVED DATE" dataDxfId="1250" totalsRowDxfId="7"/>
    <tableColumn id="41" xr3:uid="{1876BA19-F13E-4A07-A9E0-563D3011567B}" name="FABRIC_x000a_STATUS" dataDxfId="1249" totalsRowDxfId="6"/>
    <tableColumn id="47" xr3:uid="{337F25C1-A977-424C-ACEB-6109006BF6A7}" name="FABRIC_x000a_PLAN/DUE DATE" dataDxfId="1248" totalsRowDxfId="5"/>
    <tableColumn id="42" xr3:uid="{98C7AB76-36CE-43DD-871D-97FD9BE5380A}" name="FABRIC_x000a_DUE DATE" dataDxfId="1247" totalsRowDxfId="4"/>
    <tableColumn id="51" xr3:uid="{188F057E-B138-48F0-808F-86BA565E431A}" name="LIFECYCLE" dataDxfId="1246" totalsRowDxfId="3">
      <calculatedColumnFormula>IF(J3="","",IF(OR(J3="OB",J3="NOR",J3="FC",J3="PIPELINE"),"Active","Complete"))</calculatedColumnFormula>
    </tableColumn>
    <tableColumn id="43" xr3:uid="{8A3D1BB0-4D94-4A1E-95F7-D11628A15803}" name="CPSC + TSCA" dataDxfId="1245" totalsRowDxfId="2"/>
    <tableColumn id="44" xr3:uid="{EAE92F07-55E3-48AA-A97D-16B692EDFD72}" name="DEVELOPMENT STATUS" dataDxfId="1244" totalsRowDxfId="1">
      <calculatedColumnFormula>IF(UPPER(TRIM(J3))="SHIPPED","READY",_xlfn.LET(_xlpm.stage,IF(B3="","",B3&amp;": "),_xlpm.ip,_xlfn.TEXTJOIN(", ",TRUE,IF(LOWER(AH3)="in progress","Drawing",""),IF(LOWER(AK3)="in progress","Veneer/Wood",""),IF(LOWER(AN3)="in progress","Marble",""),IF(LOWER(AQ3)="in progress","Metal",""),IF(LOWER(AT3)="in progress","Mirror",""),IF(LOWER(AW3)="in progress","Electrical",""),IF(LOWER(AZ3)="in progress","Fabric","")),_xlpm.pa,_xlfn.TEXTJOIN(", ",TRUE,IF(LOWER(AH3)="pending approval","Drawing",""),IF(LOWER(AK3)="pending approval","Veneer/Wood",""),IF(LOWER(AN3)="pending approval","Marble",""),IF(LOWER(AQ3)="pending approval","Metal",""),IF(LOWER(AT3)="pending approval","Mirror",""),IF(LOWER(AW3)="pending approval","Electrical",""),IF(LOWER(AZ3)="pending approval","Fabric","")),_xlpm.ns,_xlfn.TEXTJOIN(", ",TRUE,IF(LOWER(AH3)="not started","Drawing",""),IF(LOWER(AK3)="not started","Veneer/Wood",""),IF(LOWER(AN3)="not started","Marble",""),IF(LOWER(AQ3)="not started","Metal",""),IF(LOWER(AT3)="not started","Mirror",""),IF(LOWER(AW3)="not started","Electrical",""),IF(LOWER(AZ3)="not started","Fabric","")),_xlpm.fab,IF(OR(LOWER(AZ3)="com",LOWER(AZ3)="com pending",LOWER(AZ3)="com received"),"Fabric is "&amp;LOWER(AZ3),""),_xlpm.parts,_xlfn.TEXTJOIN("; ",TRUE,IF(_xlpm.ip&lt;&gt;"","In progress: "&amp;_xlpm.ip,""),IF(_xlpm.pa&lt;&gt;"","Pending approval: "&amp;_xlpm.pa,""),IF(_xlpm.ns&lt;&gt;"","Not started: "&amp;_xlpm.ns,""),_xlpm.fab),_xlpm.deadline,MIN(IF(AND(AH3&lt;&gt;"",LOWER(AH3)&lt;&gt;"approved",LOWER(AH3)&lt;&gt;"n/a",ISNUMBER(AI3)),AI3,1E+99),IF(AND(AK3&lt;&gt;"",LOWER(AK3)&lt;&gt;"approved",LOWER(AK3)&lt;&gt;"n/a",ISNUMBER(AL3)),AL3,1E+99),IF(AND(AN3&lt;&gt;"",LOWER(AN3)&lt;&gt;"approved",LOWER(AN3)&lt;&gt;"n/a",ISNUMBER(AO3)),AO3,1E+99),IF(AND(AQ3&lt;&gt;"",LOWER(AQ3)&lt;&gt;"approved",LOWER(AQ3)&lt;&gt;"n/a",ISNUMBER(AR3)),AR3,1E+99),IF(AND(AT3&lt;&gt;"",LOWER(AT3)&lt;&gt;"approved",LOWER(AT3)&lt;&gt;"n/a",ISNUMBER(AU3)),AU3,1E+99),IF(AND(AW3&lt;&gt;"",LOWER(AW3)&lt;&gt;"approved",LOWER(AW3)&lt;&gt;"n/a",ISNUMBER(AX3)),AX3,1E+99),IF(AND(AZ3&lt;&gt;"",LOWER(AZ3)&lt;&gt;"approved",LOWER(AZ3)&lt;&gt;"n/a",ISNUMBER(BA3)),BA3,1E+99)),_xlpm.sw,IF(AG3="","",IFERROR("SW"&amp;MID(AG3,FIND("/W",AG3)+2,99),"SW "&amp;AG3)),_xlpm.stage&amp;IF(_xlpm.parts="","All development items approved/closed",_xlpm.parts)&amp;IF(AND(_xlpm.parts&lt;&gt;"",_xlpm.deadline&lt;1E+99),"; need approval by "&amp;TEXT(_xlpm.deadline,"d-mmm-yy"),"")&amp;IF(_xlpm.sw&lt;&gt;""," for "&amp;_xlpm.sw,"")))</calculatedColumnFormula>
    </tableColumn>
    <tableColumn id="52" xr3:uid="{BE3D86ED-7D8E-4D28-93B6-5620D277B7AC}" name="Remarks" dataDxfId="1243" totalsRow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C16D48-81B8-4BDF-A0B3-7059429E2B5E}" name="PIC_Summary_Table" displayName="PIC_Summary_Table" ref="A5:N90" totalsRowShown="0" headerRowDxfId="128">
  <autoFilter ref="A5:N90" xr:uid="{26C16D48-81B8-4BDF-A0B3-7059429E2B5E}">
    <filterColumn colId="3">
      <filters>
        <filter val="FC"/>
        <filter val="NOR"/>
        <filter val="OB"/>
        <filter val="PIPELINE"/>
      </filters>
    </filterColumn>
  </autoFilter>
  <tableColumns count="14">
    <tableColumn id="1" xr3:uid="{D57C7482-BCD8-48BA-BE7E-E0764DEDF373}" name="PIC"/>
    <tableColumn id="2" xr3:uid="{605C0FD9-4788-4D12-AE87-A78563D2F2E5}" name="PROJECT NAME"/>
    <tableColumn id="3" xr3:uid="{16E97811-DB88-4A18-8852-45D141F5B883}" name="PROJECT TYPE"/>
    <tableColumn id="4" xr3:uid="{6F251A11-3633-4F4E-BAB9-1CC0DF55AEB1}" name="STATUS"/>
    <tableColumn id="5" xr3:uid="{52CA2AD8-C937-4DFB-B96E-EB42DDD989CF}" name="NPD/NPI STAGE"/>
    <tableColumn id="6" xr3:uid="{8297E678-E515-41EC-93B8-F961EA5169AE}" name="PROJECT SKU"/>
    <tableColumn id="7" xr3:uid="{8E2ED3AB-882D-4126-8CE7-17E463BD2ADE}" name="PROJECT VALUE $" dataDxfId="127"/>
    <tableColumn id="8" xr3:uid="{FFD59EF3-FFE1-4004-B68D-8143ECA1E92D}" name="SHIP MONTH"/>
    <tableColumn id="9" xr3:uid="{E1754300-3D66-475C-8F77-D420230B200C}" name="CONFIRMED SW"/>
    <tableColumn id="10" xr3:uid="{32F93466-13BA-4785-B25C-F9F120F4A82F}" name="DRAWING"/>
    <tableColumn id="11" xr3:uid="{F1DB156C-6D56-4DB2-B9F4-9FEC0257B39F}" name="VENEER/WOOD"/>
    <tableColumn id="12" xr3:uid="{E0234DA4-E3AA-4A5F-A443-3C8036482710}" name="MARBLE"/>
    <tableColumn id="13" xr3:uid="{0F0CAA9C-68B6-4043-97BA-37ED10E8862E}" name="METAL"/>
    <tableColumn id="14" xr3:uid="{ABB7D48A-589E-4016-8E9E-B8AA8EB45311}" name="FABRI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2" dT="2026-01-12T06:25:14.85" personId="{59F29039-F599-4EEB-AB80-50027E604B6A}" id="{E5D989A7-4300-49A9-A443-F185D08FCA30}">
    <text>Changed from 0.35 to 0 (Tet schedule changed)</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3">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66832F9-0C1A-444F-8829-B7F6EC0C666C}">
  <we:reference id="wa200003696" version="1.3.0.0" store="en-US"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ebextensions/webextension2.xml><?xml version="1.0" encoding="utf-8"?>
<we:webextension xmlns:we="http://schemas.microsoft.com/office/webextensions/webextension/2010/11" id="{AE6DE399-8292-4462-A0EB-81261F1924F3}">
  <we:reference id="WA200005271" version="2.5.5.0" store="Omex"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41822-7627-4BB5-94E9-05406A6829AD}">
  <sheetPr filterMode="1">
    <tabColor rgb="FF92D050"/>
  </sheetPr>
  <dimension ref="A1:AT48"/>
  <sheetViews>
    <sheetView zoomScale="80" zoomScaleNormal="80" workbookViewId="0">
      <pane xSplit="7" ySplit="2" topLeftCell="AD34" activePane="bottomRight" state="frozen"/>
      <selection pane="topRight" activeCell="H1" sqref="H1"/>
      <selection pane="bottomLeft" activeCell="A3" sqref="A3"/>
      <selection pane="bottomRight" activeCell="AF44" sqref="AF44:AL44"/>
    </sheetView>
  </sheetViews>
  <sheetFormatPr defaultColWidth="9.453125" defaultRowHeight="15" customHeight="1" outlineLevelCol="2" x14ac:dyDescent="0.35"/>
  <cols>
    <col min="1" max="1" width="4.54296875" style="4" customWidth="1"/>
    <col min="2" max="2" width="11.54296875" style="4" customWidth="1"/>
    <col min="3" max="3" width="18.453125" style="4" customWidth="1"/>
    <col min="4" max="4" width="13" style="2" customWidth="1"/>
    <col min="5" max="5" width="15" style="2" customWidth="1"/>
    <col min="6" max="6" width="29.453125" style="2" customWidth="1"/>
    <col min="7" max="7" width="33.453125" style="2" bestFit="1" customWidth="1"/>
    <col min="8" max="9" width="14" style="2" customWidth="1"/>
    <col min="10" max="10" width="10.453125" style="2" customWidth="1"/>
    <col min="11" max="11" width="17.453125" style="2" bestFit="1" customWidth="1"/>
    <col min="12" max="12" width="12.453125" style="2" customWidth="1"/>
    <col min="13" max="13" width="16" style="2" customWidth="1"/>
    <col min="14" max="14" width="17" style="89" customWidth="1"/>
    <col min="15" max="15" width="17" style="2" customWidth="1"/>
    <col min="16" max="16" width="17" style="89" customWidth="1"/>
    <col min="17" max="17" width="13.453125" style="2" customWidth="1"/>
    <col min="18" max="18" width="14.54296875" style="2" customWidth="1"/>
    <col min="19" max="20" width="13.453125" style="2" customWidth="1"/>
    <col min="21" max="21" width="13.453125" style="105" customWidth="1"/>
    <col min="22" max="22" width="13.453125" style="93" customWidth="1"/>
    <col min="23" max="24" width="13.453125" style="2" customWidth="1"/>
    <col min="25" max="25" width="13.453125" style="32" customWidth="1"/>
    <col min="26" max="30" width="13.453125" style="105" customWidth="1"/>
    <col min="31" max="31" width="28.453125" style="105" customWidth="1"/>
    <col min="32" max="32" width="17.453125" style="2" customWidth="1"/>
    <col min="33" max="33" width="15.54296875" style="2" customWidth="1"/>
    <col min="34" max="34" width="16" style="2" customWidth="1"/>
    <col min="35" max="35" width="14.54296875" style="2" customWidth="1"/>
    <col min="36" max="36" width="17.54296875" style="2" customWidth="1"/>
    <col min="37" max="37" width="14.54296875" style="2" customWidth="1"/>
    <col min="38" max="38" width="12.54296875" style="2" customWidth="1"/>
    <col min="39" max="39" width="57.54296875" style="2" customWidth="1"/>
    <col min="40" max="40" width="30.453125" style="2" customWidth="1" outlineLevel="1"/>
    <col min="41" max="42" width="13.453125" style="2" customWidth="1" outlineLevel="1"/>
    <col min="43" max="43" width="16.54296875" style="2" customWidth="1" outlineLevel="1"/>
    <col min="44" max="44" width="14.453125" style="2" customWidth="1" outlineLevel="2"/>
    <col min="47" max="16384" width="9.453125" style="2"/>
  </cols>
  <sheetData>
    <row r="1" spans="1:44" ht="14.5" x14ac:dyDescent="0.35">
      <c r="M1" s="10">
        <f>SUBTOTAL(9,M3:M1048576)</f>
        <v>9</v>
      </c>
      <c r="N1" s="89">
        <f>SUBTOTAL(9,N3:N1048576)</f>
        <v>381411.30000000005</v>
      </c>
      <c r="O1" s="5">
        <f>SUBTOTAL(9,O3:O1048576)</f>
        <v>0</v>
      </c>
      <c r="P1" s="89">
        <f>SUBTOTAL(9,P3:P1048576)</f>
        <v>381411.30000000005</v>
      </c>
      <c r="R1" s="5"/>
      <c r="AN1" s="71"/>
      <c r="AO1" s="71"/>
      <c r="AP1" s="71"/>
      <c r="AQ1" s="71"/>
      <c r="AR1" s="71"/>
    </row>
    <row r="2" spans="1:44" s="38" customFormat="1" ht="38.9" customHeight="1" x14ac:dyDescent="0.35">
      <c r="A2" s="37" t="s">
        <v>0</v>
      </c>
      <c r="B2" s="37" t="s">
        <v>1</v>
      </c>
      <c r="C2" s="37" t="s">
        <v>2</v>
      </c>
      <c r="D2" s="37" t="s">
        <v>3</v>
      </c>
      <c r="E2" s="37" t="s">
        <v>4</v>
      </c>
      <c r="F2" s="37" t="s">
        <v>5</v>
      </c>
      <c r="G2" s="37" t="s">
        <v>6</v>
      </c>
      <c r="H2" s="37" t="s">
        <v>7</v>
      </c>
      <c r="I2" s="37" t="s">
        <v>8</v>
      </c>
      <c r="J2" s="37" t="s">
        <v>9</v>
      </c>
      <c r="K2" s="37" t="s">
        <v>10</v>
      </c>
      <c r="L2" s="37" t="s">
        <v>11</v>
      </c>
      <c r="M2" s="37" t="s">
        <v>12</v>
      </c>
      <c r="N2" s="95" t="s">
        <v>13</v>
      </c>
      <c r="O2" s="96" t="s">
        <v>14</v>
      </c>
      <c r="P2" s="95" t="s">
        <v>15</v>
      </c>
      <c r="Q2" s="37" t="s">
        <v>16</v>
      </c>
      <c r="R2" s="37" t="s">
        <v>17</v>
      </c>
      <c r="S2" s="37" t="s">
        <v>18</v>
      </c>
      <c r="T2" s="37" t="s">
        <v>19</v>
      </c>
      <c r="U2" s="106" t="s">
        <v>20</v>
      </c>
      <c r="V2" s="92" t="s">
        <v>21</v>
      </c>
      <c r="W2" s="37" t="s">
        <v>22</v>
      </c>
      <c r="X2" s="37" t="s">
        <v>23</v>
      </c>
      <c r="Y2" s="37" t="s">
        <v>24</v>
      </c>
      <c r="Z2" s="109" t="s">
        <v>25</v>
      </c>
      <c r="AA2" s="109" t="s">
        <v>26</v>
      </c>
      <c r="AB2" s="110" t="s">
        <v>27</v>
      </c>
      <c r="AC2" s="110" t="s">
        <v>28</v>
      </c>
      <c r="AD2" s="110" t="s">
        <v>29</v>
      </c>
      <c r="AE2" s="110" t="s">
        <v>30</v>
      </c>
      <c r="AF2" s="107" t="s">
        <v>31</v>
      </c>
      <c r="AG2" s="107" t="s">
        <v>32</v>
      </c>
      <c r="AH2" s="107" t="s">
        <v>33</v>
      </c>
      <c r="AI2" s="107" t="s">
        <v>34</v>
      </c>
      <c r="AJ2" s="107" t="s">
        <v>35</v>
      </c>
      <c r="AK2" s="107" t="s">
        <v>36</v>
      </c>
      <c r="AL2" s="107" t="s">
        <v>37</v>
      </c>
      <c r="AM2" s="107" t="s">
        <v>38</v>
      </c>
      <c r="AN2" s="108" t="s">
        <v>39</v>
      </c>
      <c r="AO2" s="69" t="s">
        <v>40</v>
      </c>
      <c r="AP2" s="69" t="s">
        <v>41</v>
      </c>
      <c r="AQ2" s="69" t="s">
        <v>42</v>
      </c>
      <c r="AR2" s="69" t="s">
        <v>43</v>
      </c>
    </row>
    <row r="3" spans="1:44" ht="21" hidden="1" customHeight="1" x14ac:dyDescent="0.35">
      <c r="A3" s="3">
        <f t="shared" ref="A3:A19" si="0">ROW(A3)-ROW($A$2)</f>
        <v>1</v>
      </c>
      <c r="B3" s="3" t="s">
        <v>44</v>
      </c>
      <c r="C3" s="3" t="s">
        <v>45</v>
      </c>
      <c r="D3" s="6" t="s">
        <v>46</v>
      </c>
      <c r="E3" s="6" t="s">
        <v>47</v>
      </c>
      <c r="F3" s="6" t="s">
        <v>48</v>
      </c>
      <c r="G3" s="6" t="s">
        <v>49</v>
      </c>
      <c r="H3" s="6" t="s">
        <v>50</v>
      </c>
      <c r="I3" s="6" t="s">
        <v>50</v>
      </c>
      <c r="J3" s="6" t="s">
        <v>51</v>
      </c>
      <c r="K3" s="6" t="s">
        <v>52</v>
      </c>
      <c r="L3" s="3"/>
      <c r="M3" s="3">
        <v>17</v>
      </c>
      <c r="N3" s="86">
        <v>54476.229999999996</v>
      </c>
      <c r="O3" s="15">
        <v>52267.43</v>
      </c>
      <c r="P3" s="86">
        <f>N3-O3</f>
        <v>2208.7999999999956</v>
      </c>
      <c r="Q3" s="8"/>
      <c r="R3" s="15" t="s">
        <v>53</v>
      </c>
      <c r="S3" s="8">
        <v>45968</v>
      </c>
      <c r="T3" s="8"/>
      <c r="U3" s="8"/>
      <c r="V3" s="11"/>
      <c r="W3" s="8"/>
      <c r="X3" s="8" t="e">
        <f>VLOOKUP(W3,'2026 Calendar'!A:E,4,0)</f>
        <v>#N/A</v>
      </c>
      <c r="Y3" s="33" t="e">
        <f>VLOOKUP(W3,'2026 Calendar'!A:B,2,0)</f>
        <v>#N/A</v>
      </c>
      <c r="Z3" s="33">
        <v>46116</v>
      </c>
      <c r="AA3" s="33" t="s">
        <v>54</v>
      </c>
      <c r="AB3" s="33" t="s">
        <v>55</v>
      </c>
      <c r="AC3" s="33" t="e">
        <f>VLOOKUP(AB3,'2026 Calendar'!A:E,4,0)</f>
        <v>#N/A</v>
      </c>
      <c r="AD3" s="33" t="e">
        <f>VLOOKUP(AB3,'2026 Calendar'!A:B,2,0)</f>
        <v>#N/A</v>
      </c>
      <c r="AE3" s="8"/>
      <c r="AF3" s="6" t="s">
        <v>56</v>
      </c>
      <c r="AG3" s="6" t="s">
        <v>56</v>
      </c>
      <c r="AH3" s="6" t="s">
        <v>56</v>
      </c>
      <c r="AI3" s="6" t="s">
        <v>56</v>
      </c>
      <c r="AJ3" s="6" t="s">
        <v>56</v>
      </c>
      <c r="AK3" s="6" t="s">
        <v>56</v>
      </c>
      <c r="AL3" s="7" t="s">
        <v>57</v>
      </c>
      <c r="AM3" s="19" t="s">
        <v>58</v>
      </c>
      <c r="AN3" s="19"/>
      <c r="AO3" s="8"/>
      <c r="AP3" s="8"/>
      <c r="AQ3" s="8">
        <v>46062</v>
      </c>
      <c r="AR3" s="6"/>
    </row>
    <row r="4" spans="1:44" ht="21" hidden="1" customHeight="1" x14ac:dyDescent="0.35">
      <c r="A4" s="3">
        <f t="shared" si="0"/>
        <v>2</v>
      </c>
      <c r="B4" s="3" t="s">
        <v>44</v>
      </c>
      <c r="C4" s="3" t="s">
        <v>45</v>
      </c>
      <c r="D4" s="6" t="s">
        <v>59</v>
      </c>
      <c r="E4" s="6" t="s">
        <v>60</v>
      </c>
      <c r="F4" s="6" t="s">
        <v>61</v>
      </c>
      <c r="G4" s="6" t="s">
        <v>62</v>
      </c>
      <c r="H4" s="6" t="s">
        <v>63</v>
      </c>
      <c r="I4" s="6" t="s">
        <v>63</v>
      </c>
      <c r="J4" s="6" t="s">
        <v>51</v>
      </c>
      <c r="K4" s="6" t="s">
        <v>52</v>
      </c>
      <c r="L4" s="3" t="s">
        <v>64</v>
      </c>
      <c r="M4" s="3">
        <v>9</v>
      </c>
      <c r="N4" s="86">
        <v>54061.599999999999</v>
      </c>
      <c r="O4" s="17"/>
      <c r="P4" s="86">
        <f t="shared" ref="P4:P43" si="1">N4-O4</f>
        <v>54061.599999999999</v>
      </c>
      <c r="Q4" s="17" t="s">
        <v>65</v>
      </c>
      <c r="R4" s="17"/>
      <c r="S4" s="8">
        <v>45955</v>
      </c>
      <c r="T4" s="11" t="s">
        <v>53</v>
      </c>
      <c r="U4" s="8">
        <v>45964</v>
      </c>
      <c r="V4" s="11"/>
      <c r="W4" s="8"/>
      <c r="X4" s="8"/>
      <c r="Y4" s="33" t="e">
        <f>VLOOKUP(W4,'2026 Calendar'!A:B,2,0)</f>
        <v>#N/A</v>
      </c>
      <c r="Z4" s="33"/>
      <c r="AA4" s="33"/>
      <c r="AB4" s="33" t="s">
        <v>66</v>
      </c>
      <c r="AC4" s="33" t="e">
        <f>VLOOKUP(AB4,'2026 Calendar'!A:E,4,0)</f>
        <v>#N/A</v>
      </c>
      <c r="AD4" s="33" t="e">
        <f>VLOOKUP(AB4,'2026 Calendar'!A:B,2,0)</f>
        <v>#N/A</v>
      </c>
      <c r="AE4" s="8"/>
      <c r="AF4" s="6" t="s">
        <v>56</v>
      </c>
      <c r="AG4" s="7" t="s">
        <v>56</v>
      </c>
      <c r="AH4" s="6" t="s">
        <v>67</v>
      </c>
      <c r="AI4" s="6" t="s">
        <v>56</v>
      </c>
      <c r="AJ4" s="6" t="s">
        <v>67</v>
      </c>
      <c r="AK4" s="7" t="s">
        <v>68</v>
      </c>
      <c r="AL4" s="7" t="s">
        <v>57</v>
      </c>
      <c r="AM4" s="19" t="s">
        <v>69</v>
      </c>
      <c r="AN4" s="19" t="s">
        <v>69</v>
      </c>
      <c r="AO4" s="8"/>
      <c r="AP4" s="8"/>
      <c r="AQ4" s="8">
        <v>46174</v>
      </c>
      <c r="AR4" s="14">
        <v>46174</v>
      </c>
    </row>
    <row r="5" spans="1:44" ht="21" hidden="1" customHeight="1" x14ac:dyDescent="0.35">
      <c r="A5" s="3">
        <f t="shared" si="0"/>
        <v>3</v>
      </c>
      <c r="B5" s="3"/>
      <c r="C5" s="3" t="s">
        <v>45</v>
      </c>
      <c r="D5" s="6" t="s">
        <v>59</v>
      </c>
      <c r="E5" s="6" t="s">
        <v>60</v>
      </c>
      <c r="F5" s="6" t="s">
        <v>61</v>
      </c>
      <c r="G5" s="6" t="s">
        <v>70</v>
      </c>
      <c r="H5" s="6" t="s">
        <v>63</v>
      </c>
      <c r="I5" s="6" t="s">
        <v>71</v>
      </c>
      <c r="J5" s="6" t="s">
        <v>51</v>
      </c>
      <c r="K5" s="6" t="s">
        <v>52</v>
      </c>
      <c r="L5" s="3" t="s">
        <v>64</v>
      </c>
      <c r="M5" s="3">
        <v>2</v>
      </c>
      <c r="N5" s="86">
        <v>135705</v>
      </c>
      <c r="O5" s="15"/>
      <c r="P5" s="86">
        <f t="shared" si="1"/>
        <v>135705</v>
      </c>
      <c r="Q5" s="8"/>
      <c r="R5" s="15"/>
      <c r="S5" s="8">
        <v>45856</v>
      </c>
      <c r="T5" s="8" t="s">
        <v>64</v>
      </c>
      <c r="U5" s="8"/>
      <c r="V5" s="11"/>
      <c r="W5" s="8"/>
      <c r="X5" s="8" t="e">
        <f>VLOOKUP(W5,'2026 Calendar'!A:E,4,0)</f>
        <v>#N/A</v>
      </c>
      <c r="Y5" s="33" t="e">
        <f>VLOOKUP(W5,'2026 Calendar'!A:B,2,0)</f>
        <v>#N/A</v>
      </c>
      <c r="Z5" s="33"/>
      <c r="AA5" s="33"/>
      <c r="AB5" s="33"/>
      <c r="AC5" s="33" t="e">
        <f>VLOOKUP(AB5,'2026 Calendar'!A:E,4,0)</f>
        <v>#N/A</v>
      </c>
      <c r="AD5" s="33" t="e">
        <f>VLOOKUP(AB5,'2026 Calendar'!A:B,2,0)</f>
        <v>#N/A</v>
      </c>
      <c r="AE5" s="8"/>
      <c r="AF5" s="6" t="s">
        <v>72</v>
      </c>
      <c r="AG5" s="7" t="s">
        <v>72</v>
      </c>
      <c r="AH5" s="6" t="s">
        <v>72</v>
      </c>
      <c r="AI5" s="6" t="s">
        <v>72</v>
      </c>
      <c r="AJ5" s="6" t="s">
        <v>67</v>
      </c>
      <c r="AK5" s="6" t="s">
        <v>67</v>
      </c>
      <c r="AL5" s="7" t="s">
        <v>67</v>
      </c>
      <c r="AM5" s="19"/>
      <c r="AN5" s="19"/>
      <c r="AO5" s="8"/>
      <c r="AP5" s="8"/>
      <c r="AQ5" s="8" t="s">
        <v>73</v>
      </c>
      <c r="AR5" s="6"/>
    </row>
    <row r="6" spans="1:44" ht="21" hidden="1" customHeight="1" x14ac:dyDescent="0.35">
      <c r="A6" s="3">
        <f t="shared" si="0"/>
        <v>4</v>
      </c>
      <c r="B6" s="3"/>
      <c r="C6" s="3" t="s">
        <v>45</v>
      </c>
      <c r="D6" s="6" t="s">
        <v>59</v>
      </c>
      <c r="E6" s="6" t="s">
        <v>60</v>
      </c>
      <c r="F6" s="6" t="s">
        <v>61</v>
      </c>
      <c r="G6" s="6" t="s">
        <v>74</v>
      </c>
      <c r="H6" s="6" t="s">
        <v>63</v>
      </c>
      <c r="I6" s="6" t="s">
        <v>63</v>
      </c>
      <c r="J6" s="6" t="s">
        <v>51</v>
      </c>
      <c r="K6" s="6" t="s">
        <v>52</v>
      </c>
      <c r="L6" s="3"/>
      <c r="M6" s="3">
        <v>14</v>
      </c>
      <c r="N6" s="86">
        <v>100196.28</v>
      </c>
      <c r="O6" s="15"/>
      <c r="P6" s="86">
        <f t="shared" si="1"/>
        <v>100196.28</v>
      </c>
      <c r="Q6" s="17" t="s">
        <v>65</v>
      </c>
      <c r="R6" s="15"/>
      <c r="S6" s="8" t="s">
        <v>73</v>
      </c>
      <c r="T6" s="8" t="s">
        <v>64</v>
      </c>
      <c r="U6" s="8"/>
      <c r="V6" s="11"/>
      <c r="W6" s="8"/>
      <c r="X6" s="8" t="e">
        <f>VLOOKUP(W6,'2026 Calendar'!A:E,4,0)</f>
        <v>#N/A</v>
      </c>
      <c r="Y6" s="33" t="e">
        <f>VLOOKUP(W6,'2026 Calendar'!A:B,2,0)</f>
        <v>#N/A</v>
      </c>
      <c r="Z6" s="33"/>
      <c r="AA6" s="33"/>
      <c r="AB6" s="33"/>
      <c r="AC6" s="33" t="e">
        <f>VLOOKUP(AB6,'2026 Calendar'!A:E,4,0)</f>
        <v>#N/A</v>
      </c>
      <c r="AD6" s="33" t="e">
        <f>VLOOKUP(AB6,'2026 Calendar'!A:B,2,0)</f>
        <v>#N/A</v>
      </c>
      <c r="AE6" s="8"/>
      <c r="AF6" s="6"/>
      <c r="AG6" s="7"/>
      <c r="AH6" s="6"/>
      <c r="AI6" s="6"/>
      <c r="AJ6" s="6"/>
      <c r="AK6" s="6"/>
      <c r="AL6" s="7"/>
      <c r="AM6" s="19"/>
      <c r="AN6" s="19"/>
      <c r="AO6" s="8"/>
      <c r="AP6" s="8"/>
      <c r="AQ6" s="8" t="s">
        <v>73</v>
      </c>
      <c r="AR6" s="14"/>
    </row>
    <row r="7" spans="1:44" ht="21" hidden="1" customHeight="1" x14ac:dyDescent="0.35">
      <c r="A7" s="3">
        <f t="shared" si="0"/>
        <v>5</v>
      </c>
      <c r="B7" s="3" t="s">
        <v>75</v>
      </c>
      <c r="C7" s="3" t="s">
        <v>45</v>
      </c>
      <c r="D7" s="6" t="s">
        <v>59</v>
      </c>
      <c r="E7" s="6" t="s">
        <v>60</v>
      </c>
      <c r="F7" s="6" t="s">
        <v>61</v>
      </c>
      <c r="G7" s="6" t="s">
        <v>74</v>
      </c>
      <c r="H7" s="6" t="s">
        <v>63</v>
      </c>
      <c r="I7" s="6" t="s">
        <v>63</v>
      </c>
      <c r="J7" s="6" t="s">
        <v>51</v>
      </c>
      <c r="K7" s="6" t="s">
        <v>76</v>
      </c>
      <c r="L7" s="3" t="s">
        <v>53</v>
      </c>
      <c r="M7" s="3">
        <v>14</v>
      </c>
      <c r="N7" s="86">
        <v>10991.34</v>
      </c>
      <c r="O7" s="15"/>
      <c r="P7" s="86">
        <f t="shared" si="1"/>
        <v>10991.34</v>
      </c>
      <c r="Q7" s="17" t="s">
        <v>65</v>
      </c>
      <c r="R7" s="15"/>
      <c r="S7" s="8">
        <v>45981</v>
      </c>
      <c r="T7" s="11" t="s">
        <v>53</v>
      </c>
      <c r="U7" s="8">
        <v>45992</v>
      </c>
      <c r="V7" s="11"/>
      <c r="W7" s="8"/>
      <c r="X7" s="8">
        <v>46157</v>
      </c>
      <c r="Y7" s="33" t="e">
        <f>VLOOKUP(W7,'2026 Calendar'!A:B,2,0)</f>
        <v>#N/A</v>
      </c>
      <c r="Z7" s="33"/>
      <c r="AA7" s="33"/>
      <c r="AB7" s="33"/>
      <c r="AC7" s="33" t="e">
        <f>VLOOKUP(AB7,'2026 Calendar'!A:E,4,0)</f>
        <v>#N/A</v>
      </c>
      <c r="AD7" s="33" t="e">
        <f>VLOOKUP(AB7,'2026 Calendar'!A:B,2,0)</f>
        <v>#N/A</v>
      </c>
      <c r="AE7" s="8"/>
      <c r="AF7" s="6" t="s">
        <v>77</v>
      </c>
      <c r="AG7" s="7" t="s">
        <v>72</v>
      </c>
      <c r="AH7" s="6" t="s">
        <v>72</v>
      </c>
      <c r="AI7" s="6" t="s">
        <v>72</v>
      </c>
      <c r="AJ7" s="6" t="s">
        <v>78</v>
      </c>
      <c r="AK7" s="6" t="s">
        <v>67</v>
      </c>
      <c r="AL7" s="7" t="s">
        <v>57</v>
      </c>
      <c r="AM7" s="19" t="s">
        <v>79</v>
      </c>
      <c r="AN7" s="19"/>
      <c r="AO7" s="8"/>
      <c r="AP7" s="8"/>
      <c r="AQ7" s="8">
        <v>46112</v>
      </c>
      <c r="AR7" s="14">
        <v>46112</v>
      </c>
    </row>
    <row r="8" spans="1:44" ht="21" hidden="1" customHeight="1" x14ac:dyDescent="0.35">
      <c r="A8" s="3">
        <f t="shared" si="0"/>
        <v>6</v>
      </c>
      <c r="B8" s="3" t="s">
        <v>80</v>
      </c>
      <c r="C8" s="3" t="s">
        <v>45</v>
      </c>
      <c r="D8" s="6" t="s">
        <v>46</v>
      </c>
      <c r="E8" s="6" t="s">
        <v>81</v>
      </c>
      <c r="F8" s="6" t="s">
        <v>82</v>
      </c>
      <c r="G8" s="6" t="s">
        <v>83</v>
      </c>
      <c r="H8" s="6" t="s">
        <v>50</v>
      </c>
      <c r="I8" s="6" t="s">
        <v>50</v>
      </c>
      <c r="J8" s="6" t="s">
        <v>51</v>
      </c>
      <c r="K8" s="6" t="s">
        <v>84</v>
      </c>
      <c r="L8" s="3"/>
      <c r="M8" s="3">
        <v>1</v>
      </c>
      <c r="N8" s="86">
        <v>16800</v>
      </c>
      <c r="O8" s="15"/>
      <c r="P8" s="86">
        <f t="shared" si="1"/>
        <v>16800</v>
      </c>
      <c r="Q8" s="17" t="s">
        <v>65</v>
      </c>
      <c r="R8" s="15"/>
      <c r="S8" s="8"/>
      <c r="T8" s="8"/>
      <c r="U8" s="8"/>
      <c r="V8" s="11"/>
      <c r="W8" s="8"/>
      <c r="X8" s="8" t="e">
        <f>VLOOKUP(W8,'2026 Calendar'!A:E,4,0)</f>
        <v>#N/A</v>
      </c>
      <c r="Y8" s="33" t="e">
        <f>VLOOKUP(W8,'2026 Calendar'!A:B,2,0)</f>
        <v>#N/A</v>
      </c>
      <c r="Z8" s="33">
        <v>46101</v>
      </c>
      <c r="AA8" s="33" t="s">
        <v>85</v>
      </c>
      <c r="AB8" s="33" t="s">
        <v>86</v>
      </c>
      <c r="AC8" s="33" t="e">
        <f>VLOOKUP(AB8,'2026 Calendar'!A:E,4,0)</f>
        <v>#N/A</v>
      </c>
      <c r="AD8" s="33" t="e">
        <f>VLOOKUP(AB8,'2026 Calendar'!A:B,2,0)</f>
        <v>#N/A</v>
      </c>
      <c r="AE8" s="8"/>
      <c r="AF8" s="6" t="s">
        <v>56</v>
      </c>
      <c r="AG8" s="7" t="s">
        <v>56</v>
      </c>
      <c r="AH8" s="6" t="s">
        <v>56</v>
      </c>
      <c r="AI8" s="6" t="s">
        <v>56</v>
      </c>
      <c r="AJ8" s="6" t="s">
        <v>56</v>
      </c>
      <c r="AK8" s="6" t="s">
        <v>56</v>
      </c>
      <c r="AL8" s="7" t="s">
        <v>68</v>
      </c>
      <c r="AM8" s="19" t="s">
        <v>87</v>
      </c>
      <c r="AN8" s="19"/>
      <c r="AO8" s="8"/>
      <c r="AP8" s="8"/>
      <c r="AQ8" s="8" t="s">
        <v>88</v>
      </c>
      <c r="AR8" s="6"/>
    </row>
    <row r="9" spans="1:44" ht="21" hidden="1" customHeight="1" x14ac:dyDescent="0.35">
      <c r="A9" s="3">
        <f t="shared" si="0"/>
        <v>7</v>
      </c>
      <c r="B9" s="3" t="s">
        <v>89</v>
      </c>
      <c r="C9" s="3" t="s">
        <v>45</v>
      </c>
      <c r="D9" s="6" t="s">
        <v>46</v>
      </c>
      <c r="E9" s="6" t="s">
        <v>81</v>
      </c>
      <c r="F9" s="6" t="s">
        <v>82</v>
      </c>
      <c r="G9" s="6" t="s">
        <v>90</v>
      </c>
      <c r="H9" s="6" t="s">
        <v>50</v>
      </c>
      <c r="I9" s="6" t="s">
        <v>71</v>
      </c>
      <c r="J9" s="6" t="s">
        <v>51</v>
      </c>
      <c r="K9" s="6" t="s">
        <v>52</v>
      </c>
      <c r="L9" s="3"/>
      <c r="M9" s="3">
        <v>35</v>
      </c>
      <c r="N9" s="86">
        <v>232948</v>
      </c>
      <c r="O9" s="15"/>
      <c r="P9" s="86">
        <f t="shared" si="1"/>
        <v>232948</v>
      </c>
      <c r="Q9" s="8"/>
      <c r="R9" s="15" t="s">
        <v>53</v>
      </c>
      <c r="S9" s="8">
        <v>46009</v>
      </c>
      <c r="T9" s="8" t="s">
        <v>53</v>
      </c>
      <c r="U9" s="8">
        <v>46009</v>
      </c>
      <c r="W9" s="8"/>
      <c r="X9" s="8" t="e">
        <f>VLOOKUP(W9,'2026 Calendar'!A:E,4,0)</f>
        <v>#N/A</v>
      </c>
      <c r="Y9" s="33" t="e">
        <f>VLOOKUP(W9,'2026 Calendar'!A:B,2,0)</f>
        <v>#N/A</v>
      </c>
      <c r="Z9" s="11">
        <v>46188</v>
      </c>
      <c r="AA9" s="33" t="s">
        <v>91</v>
      </c>
      <c r="AB9" s="33" t="s">
        <v>92</v>
      </c>
      <c r="AC9" s="33" t="e">
        <f>VLOOKUP(AB9,'2026 Calendar'!A:E,4,0)</f>
        <v>#N/A</v>
      </c>
      <c r="AD9" s="33" t="e">
        <f>VLOOKUP(AB9,'2026 Calendar'!A:B,2,0)</f>
        <v>#N/A</v>
      </c>
      <c r="AE9" s="8"/>
      <c r="AF9" s="6" t="s">
        <v>72</v>
      </c>
      <c r="AG9" s="6" t="s">
        <v>72</v>
      </c>
      <c r="AH9" s="6" t="s">
        <v>72</v>
      </c>
      <c r="AI9" s="6" t="s">
        <v>72</v>
      </c>
      <c r="AJ9" s="6" t="s">
        <v>72</v>
      </c>
      <c r="AK9" s="6" t="s">
        <v>67</v>
      </c>
      <c r="AL9" s="7" t="s">
        <v>57</v>
      </c>
      <c r="AM9" s="19" t="s">
        <v>93</v>
      </c>
      <c r="AN9" s="19"/>
      <c r="AO9" s="8"/>
      <c r="AP9" s="8"/>
      <c r="AQ9" s="8">
        <v>46128</v>
      </c>
      <c r="AR9" s="6"/>
    </row>
    <row r="10" spans="1:44" ht="21" hidden="1" customHeight="1" x14ac:dyDescent="0.35">
      <c r="A10" s="3">
        <f t="shared" si="0"/>
        <v>8</v>
      </c>
      <c r="B10" s="3" t="s">
        <v>89</v>
      </c>
      <c r="C10" s="3" t="s">
        <v>45</v>
      </c>
      <c r="D10" s="6" t="s">
        <v>46</v>
      </c>
      <c r="E10" s="6" t="s">
        <v>81</v>
      </c>
      <c r="F10" s="6" t="s">
        <v>82</v>
      </c>
      <c r="G10" s="6" t="s">
        <v>90</v>
      </c>
      <c r="H10" s="6" t="s">
        <v>50</v>
      </c>
      <c r="I10" s="6" t="s">
        <v>71</v>
      </c>
      <c r="J10" s="6" t="s">
        <v>51</v>
      </c>
      <c r="K10" s="6" t="s">
        <v>76</v>
      </c>
      <c r="L10" s="3"/>
      <c r="M10" s="3">
        <v>5</v>
      </c>
      <c r="N10" s="86">
        <v>1936.89</v>
      </c>
      <c r="O10" s="15"/>
      <c r="P10" s="86">
        <f t="shared" si="1"/>
        <v>1936.89</v>
      </c>
      <c r="Q10" s="8"/>
      <c r="R10" s="15" t="s">
        <v>53</v>
      </c>
      <c r="S10" s="8">
        <v>46009</v>
      </c>
      <c r="T10" s="8" t="s">
        <v>53</v>
      </c>
      <c r="U10" s="8">
        <v>46009</v>
      </c>
      <c r="V10" s="11">
        <v>46122</v>
      </c>
      <c r="W10" s="8"/>
      <c r="X10" s="8" t="e">
        <f>VLOOKUP(W10,'2026 Calendar'!A:E,4,0)</f>
        <v>#N/A</v>
      </c>
      <c r="Y10" s="33" t="e">
        <f>VLOOKUP(W10,'2026 Calendar'!A:B,2,0)</f>
        <v>#N/A</v>
      </c>
      <c r="Z10" s="33"/>
      <c r="AA10" s="33"/>
      <c r="AB10" s="33"/>
      <c r="AC10" s="33" t="e">
        <f>VLOOKUP(AB10,'2026 Calendar'!A:E,4,0)</f>
        <v>#N/A</v>
      </c>
      <c r="AD10" s="33" t="e">
        <f>VLOOKUP(AB10,'2026 Calendar'!A:B,2,0)</f>
        <v>#N/A</v>
      </c>
      <c r="AE10" s="8"/>
      <c r="AF10" s="6" t="s">
        <v>72</v>
      </c>
      <c r="AG10" s="7" t="s">
        <v>72</v>
      </c>
      <c r="AH10" s="7" t="s">
        <v>72</v>
      </c>
      <c r="AI10" s="7" t="s">
        <v>72</v>
      </c>
      <c r="AJ10" s="7" t="s">
        <v>72</v>
      </c>
      <c r="AK10" s="7" t="s">
        <v>67</v>
      </c>
      <c r="AL10" s="7" t="s">
        <v>57</v>
      </c>
      <c r="AM10" s="19" t="s">
        <v>93</v>
      </c>
      <c r="AN10" s="19"/>
      <c r="AO10" s="8"/>
      <c r="AP10" s="8"/>
      <c r="AQ10" s="8">
        <v>46128</v>
      </c>
      <c r="AR10" s="6"/>
    </row>
    <row r="11" spans="1:44" ht="21" hidden="1" customHeight="1" x14ac:dyDescent="0.35">
      <c r="A11" s="3">
        <f t="shared" si="0"/>
        <v>9</v>
      </c>
      <c r="B11" s="3"/>
      <c r="C11" s="3" t="s">
        <v>45</v>
      </c>
      <c r="D11" s="6" t="s">
        <v>46</v>
      </c>
      <c r="E11" s="6" t="s">
        <v>81</v>
      </c>
      <c r="F11" s="6" t="s">
        <v>82</v>
      </c>
      <c r="G11" s="6" t="s">
        <v>94</v>
      </c>
      <c r="H11" s="6" t="s">
        <v>95</v>
      </c>
      <c r="I11" s="6" t="s">
        <v>95</v>
      </c>
      <c r="J11" s="6" t="s">
        <v>96</v>
      </c>
      <c r="K11" s="6" t="s">
        <v>52</v>
      </c>
      <c r="L11" s="3" t="s">
        <v>53</v>
      </c>
      <c r="M11" s="3">
        <v>12</v>
      </c>
      <c r="N11" s="86">
        <v>949496.23</v>
      </c>
      <c r="O11" s="17"/>
      <c r="P11" s="86">
        <f t="shared" si="1"/>
        <v>949496.23</v>
      </c>
      <c r="Q11" s="8"/>
      <c r="R11" s="17"/>
      <c r="S11" s="8">
        <v>45798</v>
      </c>
      <c r="T11" s="14" t="s">
        <v>64</v>
      </c>
      <c r="U11" s="8"/>
      <c r="V11" s="11"/>
      <c r="W11" s="8"/>
      <c r="X11" s="8" t="e">
        <f>VLOOKUP(W11,'2026 Calendar'!A:E,4,0)</f>
        <v>#N/A</v>
      </c>
      <c r="Y11" s="33" t="e">
        <f>VLOOKUP(W11,'2026 Calendar'!A:B,2,0)</f>
        <v>#N/A</v>
      </c>
      <c r="Z11" s="8"/>
      <c r="AA11" s="8"/>
      <c r="AB11" s="8"/>
      <c r="AC11" s="8" t="e">
        <f>VLOOKUP(AB11,'2026 Calendar'!A:E,4,0)</f>
        <v>#N/A</v>
      </c>
      <c r="AD11" s="8" t="e">
        <f>VLOOKUP(AB11,'2026 Calendar'!A:B,2,0)</f>
        <v>#N/A</v>
      </c>
      <c r="AE11" s="8"/>
      <c r="AF11" s="7"/>
      <c r="AG11" s="7"/>
      <c r="AH11" s="7"/>
      <c r="AI11" s="7"/>
      <c r="AJ11" s="7"/>
      <c r="AK11" s="7"/>
      <c r="AL11" s="7"/>
      <c r="AM11" s="19"/>
      <c r="AN11" s="19"/>
      <c r="AO11" s="8"/>
      <c r="AP11" s="8"/>
      <c r="AQ11" s="8" t="s">
        <v>73</v>
      </c>
      <c r="AR11" s="6"/>
    </row>
    <row r="12" spans="1:44" ht="21" hidden="1" customHeight="1" x14ac:dyDescent="0.35">
      <c r="A12" s="3">
        <f t="shared" si="0"/>
        <v>10</v>
      </c>
      <c r="B12" s="3" t="s">
        <v>89</v>
      </c>
      <c r="C12" s="3" t="s">
        <v>45</v>
      </c>
      <c r="D12" s="6" t="s">
        <v>46</v>
      </c>
      <c r="E12" s="6" t="s">
        <v>97</v>
      </c>
      <c r="F12" s="6" t="s">
        <v>98</v>
      </c>
      <c r="G12" s="6" t="s">
        <v>99</v>
      </c>
      <c r="H12" s="6" t="s">
        <v>95</v>
      </c>
      <c r="I12" s="6" t="s">
        <v>95</v>
      </c>
      <c r="J12" s="6" t="s">
        <v>51</v>
      </c>
      <c r="K12" s="6" t="s">
        <v>52</v>
      </c>
      <c r="L12" s="3" t="s">
        <v>53</v>
      </c>
      <c r="M12" s="3">
        <v>37</v>
      </c>
      <c r="N12" s="86">
        <v>197691.80999999997</v>
      </c>
      <c r="O12" s="15"/>
      <c r="P12" s="86">
        <f t="shared" si="1"/>
        <v>197691.80999999997</v>
      </c>
      <c r="Q12" s="8"/>
      <c r="R12" s="15" t="s">
        <v>53</v>
      </c>
      <c r="S12" s="8">
        <v>45986</v>
      </c>
      <c r="T12" s="14" t="s">
        <v>53</v>
      </c>
      <c r="U12" s="8">
        <v>46053</v>
      </c>
      <c r="V12" s="11"/>
      <c r="W12" s="8"/>
      <c r="X12" s="8" t="e">
        <f>VLOOKUP(W12,'2026 Calendar'!A:E,4,0)</f>
        <v>#N/A</v>
      </c>
      <c r="Y12" s="33" t="e">
        <f>VLOOKUP(W12,'2026 Calendar'!A:B,2,0)</f>
        <v>#N/A</v>
      </c>
      <c r="Z12" s="8">
        <v>46121</v>
      </c>
      <c r="AA12" s="8" t="s">
        <v>54</v>
      </c>
      <c r="AB12" s="8" t="s">
        <v>100</v>
      </c>
      <c r="AC12" s="8">
        <v>46128</v>
      </c>
      <c r="AD12" s="8" t="s">
        <v>54</v>
      </c>
      <c r="AE12" s="8" t="s">
        <v>101</v>
      </c>
      <c r="AF12" s="7" t="s">
        <v>56</v>
      </c>
      <c r="AG12" s="7" t="s">
        <v>56</v>
      </c>
      <c r="AH12" s="7" t="s">
        <v>67</v>
      </c>
      <c r="AI12" s="7" t="s">
        <v>56</v>
      </c>
      <c r="AJ12" s="7" t="s">
        <v>67</v>
      </c>
      <c r="AK12" s="7" t="s">
        <v>56</v>
      </c>
      <c r="AL12" s="7" t="s">
        <v>67</v>
      </c>
      <c r="AM12" s="19"/>
      <c r="AN12" s="18" t="s">
        <v>102</v>
      </c>
      <c r="AO12" s="8"/>
      <c r="AP12" s="8"/>
      <c r="AQ12" s="8">
        <v>46112</v>
      </c>
      <c r="AR12" s="14">
        <v>45744</v>
      </c>
    </row>
    <row r="13" spans="1:44" ht="21" hidden="1" customHeight="1" x14ac:dyDescent="0.35">
      <c r="A13" s="3">
        <f t="shared" si="0"/>
        <v>11</v>
      </c>
      <c r="B13" s="3" t="s">
        <v>44</v>
      </c>
      <c r="C13" s="3" t="s">
        <v>45</v>
      </c>
      <c r="D13" s="6" t="s">
        <v>59</v>
      </c>
      <c r="E13" s="6" t="s">
        <v>60</v>
      </c>
      <c r="F13" s="6" t="s">
        <v>61</v>
      </c>
      <c r="G13" s="6" t="s">
        <v>103</v>
      </c>
      <c r="H13" s="6" t="s">
        <v>104</v>
      </c>
      <c r="I13" s="6" t="s">
        <v>104</v>
      </c>
      <c r="J13" s="6" t="s">
        <v>51</v>
      </c>
      <c r="K13" s="6" t="s">
        <v>52</v>
      </c>
      <c r="L13" s="3"/>
      <c r="M13" s="3">
        <v>12</v>
      </c>
      <c r="N13" s="86">
        <v>66302.16</v>
      </c>
      <c r="O13" s="17">
        <v>35918.61</v>
      </c>
      <c r="P13" s="86">
        <f t="shared" si="1"/>
        <v>30383.550000000003</v>
      </c>
      <c r="Q13" s="17" t="s">
        <v>65</v>
      </c>
      <c r="R13" s="17"/>
      <c r="S13" s="8">
        <v>46000</v>
      </c>
      <c r="T13" s="8"/>
      <c r="U13" s="8"/>
      <c r="V13" s="11"/>
      <c r="W13" s="8"/>
      <c r="X13" s="8" t="e">
        <f>VLOOKUP(W13,'2026 Calendar'!A:E,4,0)</f>
        <v>#N/A</v>
      </c>
      <c r="Y13" s="33" t="e">
        <f>VLOOKUP(W13,'2026 Calendar'!A:B,2,0)</f>
        <v>#N/A</v>
      </c>
      <c r="Z13" s="33"/>
      <c r="AA13" s="33"/>
      <c r="AB13" s="33"/>
      <c r="AC13" s="33" t="e">
        <f>VLOOKUP(AB13,'2026 Calendar'!A:E,4,0)</f>
        <v>#N/A</v>
      </c>
      <c r="AD13" s="33" t="e">
        <f>VLOOKUP(AB13,'2026 Calendar'!A:B,2,0)</f>
        <v>#N/A</v>
      </c>
      <c r="AE13" s="8"/>
      <c r="AF13" s="6" t="s">
        <v>56</v>
      </c>
      <c r="AG13" s="7" t="s">
        <v>56</v>
      </c>
      <c r="AH13" s="7" t="s">
        <v>56</v>
      </c>
      <c r="AI13" s="7" t="s">
        <v>56</v>
      </c>
      <c r="AJ13" s="7" t="s">
        <v>56</v>
      </c>
      <c r="AK13" s="6" t="s">
        <v>56</v>
      </c>
      <c r="AL13" s="7" t="s">
        <v>57</v>
      </c>
      <c r="AM13" s="19" t="s">
        <v>105</v>
      </c>
      <c r="AN13" s="19"/>
      <c r="AO13" s="8"/>
      <c r="AP13" s="8"/>
      <c r="AQ13" s="8">
        <v>46116</v>
      </c>
      <c r="AR13" s="6"/>
    </row>
    <row r="14" spans="1:44" ht="21" hidden="1" customHeight="1" x14ac:dyDescent="0.35">
      <c r="A14" s="3">
        <f t="shared" si="0"/>
        <v>12</v>
      </c>
      <c r="B14" s="3" t="s">
        <v>89</v>
      </c>
      <c r="C14" s="3" t="s">
        <v>45</v>
      </c>
      <c r="D14" s="6" t="s">
        <v>59</v>
      </c>
      <c r="E14" s="6" t="s">
        <v>60</v>
      </c>
      <c r="F14" s="6" t="s">
        <v>61</v>
      </c>
      <c r="G14" s="6" t="s">
        <v>106</v>
      </c>
      <c r="H14" s="6" t="s">
        <v>104</v>
      </c>
      <c r="I14" s="6" t="s">
        <v>104</v>
      </c>
      <c r="J14" s="6" t="s">
        <v>51</v>
      </c>
      <c r="K14" s="6" t="s">
        <v>52</v>
      </c>
      <c r="L14" s="3" t="s">
        <v>53</v>
      </c>
      <c r="M14" s="3">
        <v>26</v>
      </c>
      <c r="N14" s="86">
        <v>2416687.2400000002</v>
      </c>
      <c r="O14" s="15"/>
      <c r="P14" s="86">
        <f t="shared" si="1"/>
        <v>2416687.2400000002</v>
      </c>
      <c r="Q14" s="17" t="s">
        <v>65</v>
      </c>
      <c r="R14" s="15"/>
      <c r="S14" s="8">
        <v>46011</v>
      </c>
      <c r="T14" s="8" t="s">
        <v>53</v>
      </c>
      <c r="U14" s="8"/>
      <c r="V14" s="11"/>
      <c r="W14" s="8"/>
      <c r="X14" s="8" t="e">
        <f>VLOOKUP(W14,'2026 Calendar'!A:E,4,0)</f>
        <v>#N/A</v>
      </c>
      <c r="Y14" s="33" t="e">
        <f>VLOOKUP(W14,'2026 Calendar'!A:B,2,0)</f>
        <v>#N/A</v>
      </c>
      <c r="Z14" s="33"/>
      <c r="AA14" s="33"/>
      <c r="AB14" s="33"/>
      <c r="AC14" s="33" t="e">
        <f>VLOOKUP(AB14,'2026 Calendar'!A:E,4,0)</f>
        <v>#N/A</v>
      </c>
      <c r="AD14" s="33" t="e">
        <f>VLOOKUP(AB14,'2026 Calendar'!A:B,2,0)</f>
        <v>#N/A</v>
      </c>
      <c r="AE14" s="8"/>
      <c r="AF14" s="6" t="s">
        <v>72</v>
      </c>
      <c r="AG14" s="7" t="s">
        <v>56</v>
      </c>
      <c r="AH14" s="6" t="s">
        <v>72</v>
      </c>
      <c r="AI14" s="6" t="s">
        <v>56</v>
      </c>
      <c r="AJ14" s="6" t="s">
        <v>56</v>
      </c>
      <c r="AK14" s="6" t="s">
        <v>56</v>
      </c>
      <c r="AL14" s="7" t="s">
        <v>57</v>
      </c>
      <c r="AM14" s="18"/>
      <c r="AN14" s="18"/>
      <c r="AO14" s="8"/>
      <c r="AP14" s="8"/>
      <c r="AQ14" s="8">
        <v>46028</v>
      </c>
      <c r="AR14" s="6"/>
    </row>
    <row r="15" spans="1:44" ht="21" hidden="1" customHeight="1" x14ac:dyDescent="0.35">
      <c r="A15" s="3">
        <f t="shared" si="0"/>
        <v>13</v>
      </c>
      <c r="B15" s="3" t="s">
        <v>89</v>
      </c>
      <c r="C15" s="3" t="s">
        <v>45</v>
      </c>
      <c r="D15" s="6" t="s">
        <v>59</v>
      </c>
      <c r="E15" s="6" t="s">
        <v>60</v>
      </c>
      <c r="F15" s="6" t="s">
        <v>61</v>
      </c>
      <c r="G15" s="6" t="s">
        <v>107</v>
      </c>
      <c r="H15" s="6" t="s">
        <v>95</v>
      </c>
      <c r="I15" s="6" t="s">
        <v>95</v>
      </c>
      <c r="J15" s="6" t="s">
        <v>51</v>
      </c>
      <c r="K15" s="6" t="s">
        <v>52</v>
      </c>
      <c r="L15" s="3" t="s">
        <v>64</v>
      </c>
      <c r="M15" s="3">
        <v>1</v>
      </c>
      <c r="N15" s="86">
        <v>10770.2</v>
      </c>
      <c r="O15" s="17"/>
      <c r="P15" s="86">
        <f t="shared" si="1"/>
        <v>10770.2</v>
      </c>
      <c r="Q15" s="17" t="s">
        <v>65</v>
      </c>
      <c r="R15" s="29"/>
      <c r="S15" s="8">
        <v>46037</v>
      </c>
      <c r="T15" s="14" t="s">
        <v>53</v>
      </c>
      <c r="U15" s="8">
        <v>46048</v>
      </c>
      <c r="V15" s="11"/>
      <c r="W15" s="8"/>
      <c r="X15" s="8" t="e">
        <f>VLOOKUP(W15,'2026 Calendar'!A:E,4,0)</f>
        <v>#N/A</v>
      </c>
      <c r="Y15" s="33" t="e">
        <f>VLOOKUP(W15,'2026 Calendar'!A:B,2,0)</f>
        <v>#N/A</v>
      </c>
      <c r="Z15" s="8">
        <v>46171</v>
      </c>
      <c r="AA15" s="8" t="s">
        <v>108</v>
      </c>
      <c r="AB15" s="8" t="s">
        <v>109</v>
      </c>
      <c r="AC15" s="8">
        <v>46207</v>
      </c>
      <c r="AD15" s="8" t="s">
        <v>108</v>
      </c>
      <c r="AE15" s="8" t="s">
        <v>110</v>
      </c>
      <c r="AF15" s="6" t="s">
        <v>56</v>
      </c>
      <c r="AG15" s="6" t="s">
        <v>72</v>
      </c>
      <c r="AH15" s="6" t="s">
        <v>67</v>
      </c>
      <c r="AI15" s="6" t="s">
        <v>56</v>
      </c>
      <c r="AJ15" s="6" t="s">
        <v>67</v>
      </c>
      <c r="AK15" s="6" t="s">
        <v>67</v>
      </c>
      <c r="AL15" s="7" t="s">
        <v>67</v>
      </c>
      <c r="AM15" s="19"/>
      <c r="AN15" s="19"/>
      <c r="AO15" s="8"/>
      <c r="AP15" s="8"/>
      <c r="AQ15" s="8">
        <v>46171</v>
      </c>
      <c r="AR15" s="14"/>
    </row>
    <row r="16" spans="1:44" ht="21" hidden="1" customHeight="1" x14ac:dyDescent="0.35">
      <c r="A16" s="3">
        <f t="shared" si="0"/>
        <v>14</v>
      </c>
      <c r="B16" s="3"/>
      <c r="C16" s="3" t="s">
        <v>45</v>
      </c>
      <c r="D16" s="6" t="s">
        <v>46</v>
      </c>
      <c r="E16" s="6" t="s">
        <v>97</v>
      </c>
      <c r="F16" s="6" t="s">
        <v>98</v>
      </c>
      <c r="G16" s="6" t="s">
        <v>111</v>
      </c>
      <c r="H16" s="6" t="s">
        <v>112</v>
      </c>
      <c r="I16" s="6" t="s">
        <v>113</v>
      </c>
      <c r="J16" s="6" t="s">
        <v>51</v>
      </c>
      <c r="K16" s="6" t="s">
        <v>52</v>
      </c>
      <c r="L16" s="3" t="s">
        <v>53</v>
      </c>
      <c r="M16" s="3">
        <v>130</v>
      </c>
      <c r="N16" s="86">
        <v>4410979.8100000005</v>
      </c>
      <c r="O16" s="17"/>
      <c r="P16" s="86">
        <f t="shared" si="1"/>
        <v>4410979.8100000005</v>
      </c>
      <c r="Q16" s="8"/>
      <c r="R16" s="17"/>
      <c r="S16" s="8">
        <v>45891</v>
      </c>
      <c r="T16" s="8" t="s">
        <v>64</v>
      </c>
      <c r="U16" s="8"/>
      <c r="V16" s="11"/>
      <c r="W16" s="8"/>
      <c r="X16" s="8" t="e">
        <f>VLOOKUP(W16,'2026 Calendar'!A:E,4,0)</f>
        <v>#N/A</v>
      </c>
      <c r="Y16" s="33" t="e">
        <f>VLOOKUP(W16,'2026 Calendar'!A:B,2,0)</f>
        <v>#N/A</v>
      </c>
      <c r="Z16" s="33"/>
      <c r="AA16" s="33"/>
      <c r="AB16" s="33"/>
      <c r="AC16" s="33" t="e">
        <f>VLOOKUP(AB16,'2026 Calendar'!A:E,4,0)</f>
        <v>#N/A</v>
      </c>
      <c r="AD16" s="33" t="e">
        <f>VLOOKUP(AB16,'2026 Calendar'!A:B,2,0)</f>
        <v>#N/A</v>
      </c>
      <c r="AE16" s="8"/>
      <c r="AF16" s="77" t="s">
        <v>114</v>
      </c>
      <c r="AG16" s="6" t="s">
        <v>56</v>
      </c>
      <c r="AH16" s="6" t="s">
        <v>115</v>
      </c>
      <c r="AI16" s="6" t="s">
        <v>72</v>
      </c>
      <c r="AJ16" s="6" t="s">
        <v>72</v>
      </c>
      <c r="AK16" s="6" t="s">
        <v>57</v>
      </c>
      <c r="AL16" s="7" t="s">
        <v>57</v>
      </c>
      <c r="AM16" s="19" t="s">
        <v>116</v>
      </c>
      <c r="AN16" s="19"/>
      <c r="AO16" s="8"/>
      <c r="AP16" s="8"/>
      <c r="AQ16" s="8" t="s">
        <v>73</v>
      </c>
      <c r="AR16" s="14">
        <v>45996</v>
      </c>
    </row>
    <row r="17" spans="1:44" ht="21" hidden="1" customHeight="1" x14ac:dyDescent="0.35">
      <c r="A17" s="3">
        <f t="shared" si="0"/>
        <v>15</v>
      </c>
      <c r="B17" s="3" t="s">
        <v>44</v>
      </c>
      <c r="C17" s="3" t="s">
        <v>45</v>
      </c>
      <c r="D17" s="6" t="s">
        <v>46</v>
      </c>
      <c r="E17" s="6" t="s">
        <v>97</v>
      </c>
      <c r="F17" s="6" t="s">
        <v>98</v>
      </c>
      <c r="G17" s="6" t="s">
        <v>117</v>
      </c>
      <c r="H17" s="6" t="s">
        <v>63</v>
      </c>
      <c r="I17" s="6" t="s">
        <v>63</v>
      </c>
      <c r="J17" s="6" t="s">
        <v>51</v>
      </c>
      <c r="K17" s="6" t="s">
        <v>52</v>
      </c>
      <c r="L17" s="3" t="s">
        <v>64</v>
      </c>
      <c r="M17" s="3">
        <v>5</v>
      </c>
      <c r="N17" s="86">
        <v>7415</v>
      </c>
      <c r="O17" s="15"/>
      <c r="P17" s="86">
        <f t="shared" si="1"/>
        <v>7415</v>
      </c>
      <c r="Q17" s="8"/>
      <c r="R17" s="15" t="s">
        <v>53</v>
      </c>
      <c r="S17" s="8">
        <v>45327</v>
      </c>
      <c r="T17" s="11" t="s">
        <v>53</v>
      </c>
      <c r="U17" s="8">
        <v>46024</v>
      </c>
      <c r="V17" s="11"/>
      <c r="W17" s="8"/>
      <c r="X17" s="8" t="e">
        <f>VLOOKUP(W17,'2026 Calendar'!A:E,4,0)</f>
        <v>#N/A</v>
      </c>
      <c r="Y17" s="33" t="e">
        <f>VLOOKUP(W17,'2026 Calendar'!A:B,2,0)</f>
        <v>#N/A</v>
      </c>
      <c r="Z17" s="33"/>
      <c r="AA17" s="33"/>
      <c r="AB17" s="33"/>
      <c r="AC17" s="33" t="e">
        <f>VLOOKUP(AB17,'2026 Calendar'!A:E,4,0)</f>
        <v>#N/A</v>
      </c>
      <c r="AD17" s="33" t="s">
        <v>54</v>
      </c>
      <c r="AE17" s="8"/>
      <c r="AF17" s="6" t="s">
        <v>56</v>
      </c>
      <c r="AG17" s="6" t="s">
        <v>56</v>
      </c>
      <c r="AH17" s="6" t="s">
        <v>67</v>
      </c>
      <c r="AI17" s="6" t="s">
        <v>56</v>
      </c>
      <c r="AJ17" s="6" t="s">
        <v>67</v>
      </c>
      <c r="AK17" s="6" t="s">
        <v>68</v>
      </c>
      <c r="AL17" s="7" t="s">
        <v>57</v>
      </c>
      <c r="AM17" s="19" t="s">
        <v>58</v>
      </c>
      <c r="AN17" s="19"/>
      <c r="AO17" s="8"/>
      <c r="AP17" s="8"/>
      <c r="AQ17" s="8">
        <v>46123</v>
      </c>
      <c r="AR17" s="14">
        <v>46123</v>
      </c>
    </row>
    <row r="18" spans="1:44" ht="21" hidden="1" customHeight="1" x14ac:dyDescent="0.35">
      <c r="A18" s="3">
        <f t="shared" si="0"/>
        <v>16</v>
      </c>
      <c r="B18" s="3" t="s">
        <v>44</v>
      </c>
      <c r="C18" s="3" t="s">
        <v>45</v>
      </c>
      <c r="D18" s="6" t="s">
        <v>46</v>
      </c>
      <c r="E18" s="6" t="s">
        <v>118</v>
      </c>
      <c r="F18" s="6" t="s">
        <v>119</v>
      </c>
      <c r="G18" s="6" t="s">
        <v>120</v>
      </c>
      <c r="H18" s="6" t="s">
        <v>50</v>
      </c>
      <c r="I18" s="6" t="s">
        <v>50</v>
      </c>
      <c r="J18" s="6" t="s">
        <v>51</v>
      </c>
      <c r="K18" s="6" t="s">
        <v>52</v>
      </c>
      <c r="L18" s="3"/>
      <c r="M18" s="3">
        <v>1</v>
      </c>
      <c r="N18" s="86">
        <v>3167.5099999999998</v>
      </c>
      <c r="O18" s="15"/>
      <c r="P18" s="86">
        <v>3167.5099999999998</v>
      </c>
      <c r="Q18" s="16"/>
      <c r="R18" s="15" t="s">
        <v>64</v>
      </c>
      <c r="S18" s="16"/>
      <c r="T18" s="16" t="s">
        <v>53</v>
      </c>
      <c r="U18" s="90">
        <v>46031</v>
      </c>
      <c r="V18" s="11"/>
      <c r="W18" s="16"/>
      <c r="X18" s="8" t="e">
        <f>VLOOKUP(W18,'2026 Calendar'!A:E,4,0)</f>
        <v>#N/A</v>
      </c>
      <c r="Y18" s="33" t="e">
        <f>VLOOKUP(W18,'2026 Calendar'!A:B,2,0)</f>
        <v>#N/A</v>
      </c>
      <c r="Z18" s="33">
        <v>46116</v>
      </c>
      <c r="AA18" s="34" t="s">
        <v>54</v>
      </c>
      <c r="AB18" s="91" t="s">
        <v>55</v>
      </c>
      <c r="AC18" s="33" t="e">
        <f>VLOOKUP(AB18,'2026 Calendar'!A:E,4,0)</f>
        <v>#N/A</v>
      </c>
      <c r="AD18" s="33" t="e">
        <f>VLOOKUP(AB18,'2026 Calendar'!A:B,2,0)</f>
        <v>#N/A</v>
      </c>
      <c r="AE18" s="16"/>
      <c r="AF18" s="6" t="s">
        <v>56</v>
      </c>
      <c r="AG18" s="7" t="s">
        <v>56</v>
      </c>
      <c r="AH18" s="6" t="s">
        <v>67</v>
      </c>
      <c r="AI18" s="6" t="s">
        <v>56</v>
      </c>
      <c r="AJ18" s="6" t="s">
        <v>67</v>
      </c>
      <c r="AK18" s="6" t="s">
        <v>56</v>
      </c>
      <c r="AL18" s="7" t="s">
        <v>57</v>
      </c>
      <c r="AM18" s="19" t="s">
        <v>58</v>
      </c>
      <c r="AN18" s="19"/>
      <c r="AO18" s="16"/>
      <c r="AP18" s="16"/>
      <c r="AQ18" s="8">
        <v>46116</v>
      </c>
      <c r="AR18" s="6"/>
    </row>
    <row r="19" spans="1:44" ht="21" hidden="1" customHeight="1" x14ac:dyDescent="0.35">
      <c r="A19" s="3">
        <f t="shared" si="0"/>
        <v>17</v>
      </c>
      <c r="B19" s="3" t="s">
        <v>75</v>
      </c>
      <c r="C19" s="3" t="s">
        <v>45</v>
      </c>
      <c r="D19" s="6" t="s">
        <v>46</v>
      </c>
      <c r="E19" s="6" t="s">
        <v>121</v>
      </c>
      <c r="F19" s="6" t="s">
        <v>122</v>
      </c>
      <c r="G19" s="6" t="s">
        <v>123</v>
      </c>
      <c r="H19" s="6" t="s">
        <v>95</v>
      </c>
      <c r="I19" s="6" t="s">
        <v>95</v>
      </c>
      <c r="J19" s="6" t="s">
        <v>51</v>
      </c>
      <c r="K19" s="6" t="s">
        <v>52</v>
      </c>
      <c r="L19" s="3" t="s">
        <v>53</v>
      </c>
      <c r="M19" s="3">
        <v>30</v>
      </c>
      <c r="N19" s="86">
        <f>892983.35</f>
        <v>892983.35</v>
      </c>
      <c r="O19" s="17">
        <f>756408.44+33400</f>
        <v>789808.44</v>
      </c>
      <c r="P19" s="86">
        <f t="shared" si="1"/>
        <v>103174.91000000003</v>
      </c>
      <c r="Q19" s="8"/>
      <c r="R19" s="17" t="s">
        <v>53</v>
      </c>
      <c r="S19" s="8">
        <v>45762</v>
      </c>
      <c r="T19" s="14" t="s">
        <v>53</v>
      </c>
      <c r="U19" s="8">
        <v>46113</v>
      </c>
      <c r="V19" s="11"/>
      <c r="W19" s="8"/>
      <c r="X19" s="8" t="e">
        <f>VLOOKUP(W19,'2026 Calendar'!A:E,4,0)</f>
        <v>#N/A</v>
      </c>
      <c r="Y19" s="33" t="e">
        <f>VLOOKUP(W19,'2026 Calendar'!A:B,2,0)</f>
        <v>#N/A</v>
      </c>
      <c r="Z19" s="8">
        <v>45891</v>
      </c>
      <c r="AA19" s="8" t="s">
        <v>124</v>
      </c>
      <c r="AB19" s="8" t="s">
        <v>125</v>
      </c>
      <c r="AC19" s="8">
        <v>45872</v>
      </c>
      <c r="AD19" s="8" t="s">
        <v>124</v>
      </c>
      <c r="AE19" s="8" t="s">
        <v>110</v>
      </c>
      <c r="AF19" s="6" t="s">
        <v>56</v>
      </c>
      <c r="AG19" s="6" t="s">
        <v>56</v>
      </c>
      <c r="AH19" s="6" t="s">
        <v>56</v>
      </c>
      <c r="AI19" s="6" t="s">
        <v>56</v>
      </c>
      <c r="AJ19" s="6" t="s">
        <v>56</v>
      </c>
      <c r="AK19" s="6" t="s">
        <v>56</v>
      </c>
      <c r="AL19" s="7" t="s">
        <v>57</v>
      </c>
      <c r="AM19" s="18" t="s">
        <v>126</v>
      </c>
      <c r="AN19" s="18"/>
      <c r="AO19" s="8"/>
      <c r="AP19" s="8"/>
      <c r="AQ19" s="8">
        <v>45993</v>
      </c>
      <c r="AR19" s="6"/>
    </row>
    <row r="20" spans="1:44" ht="21" hidden="1" customHeight="1" x14ac:dyDescent="0.35">
      <c r="A20" s="3">
        <v>35</v>
      </c>
      <c r="B20" s="3" t="s">
        <v>89</v>
      </c>
      <c r="C20" s="3" t="s">
        <v>45</v>
      </c>
      <c r="D20" s="6" t="s">
        <v>46</v>
      </c>
      <c r="E20" s="6" t="s">
        <v>121</v>
      </c>
      <c r="F20" s="6" t="s">
        <v>122</v>
      </c>
      <c r="G20" s="6" t="s">
        <v>127</v>
      </c>
      <c r="H20" s="6" t="s">
        <v>95</v>
      </c>
      <c r="I20" s="6" t="s">
        <v>95</v>
      </c>
      <c r="J20" s="6" t="s">
        <v>51</v>
      </c>
      <c r="K20" s="6" t="s">
        <v>52</v>
      </c>
      <c r="L20" s="3" t="s">
        <v>53</v>
      </c>
      <c r="M20" s="3">
        <v>50</v>
      </c>
      <c r="N20" s="86">
        <v>369199.72</v>
      </c>
      <c r="O20" s="27"/>
      <c r="P20" s="86">
        <f t="shared" si="1"/>
        <v>369199.72</v>
      </c>
      <c r="Q20" s="11"/>
      <c r="R20" s="15" t="s">
        <v>53</v>
      </c>
      <c r="S20" s="11"/>
      <c r="T20" s="14" t="s">
        <v>53</v>
      </c>
      <c r="U20" s="8">
        <v>46053</v>
      </c>
      <c r="V20" s="11"/>
      <c r="W20" s="11"/>
      <c r="X20" s="8" t="e">
        <f>VLOOKUP(W20,'2026 Calendar'!A:E,4,0)</f>
        <v>#N/A</v>
      </c>
      <c r="Y20" s="33" t="e">
        <f>VLOOKUP(W20,'2026 Calendar'!A:B,2,0)</f>
        <v>#N/A</v>
      </c>
      <c r="Z20" s="8">
        <v>46157</v>
      </c>
      <c r="AA20" s="8" t="s">
        <v>108</v>
      </c>
      <c r="AB20" s="8"/>
      <c r="AC20" s="8" t="e">
        <f>VLOOKUP(AB20,'2026 Calendar'!A:E,4,0)</f>
        <v>#N/A</v>
      </c>
      <c r="AD20" s="8" t="e">
        <f>VLOOKUP(AB20,'2026 Calendar'!A:B,2,0)</f>
        <v>#N/A</v>
      </c>
      <c r="AE20" s="8" t="s">
        <v>110</v>
      </c>
      <c r="AF20" s="6" t="s">
        <v>72</v>
      </c>
      <c r="AG20" s="7" t="s">
        <v>72</v>
      </c>
      <c r="AH20" s="6" t="s">
        <v>56</v>
      </c>
      <c r="AI20" s="6" t="s">
        <v>56</v>
      </c>
      <c r="AJ20" s="6" t="s">
        <v>56</v>
      </c>
      <c r="AK20" s="6" t="s">
        <v>68</v>
      </c>
      <c r="AL20" s="7" t="s">
        <v>57</v>
      </c>
      <c r="AM20" s="30"/>
      <c r="AN20" s="112" t="s">
        <v>128</v>
      </c>
      <c r="AO20" s="11"/>
      <c r="AP20" s="11"/>
      <c r="AQ20" s="8">
        <v>46157</v>
      </c>
      <c r="AR20" s="14"/>
    </row>
    <row r="21" spans="1:44" ht="21" hidden="1" customHeight="1" x14ac:dyDescent="0.35">
      <c r="A21" s="3">
        <f t="shared" ref="A21:A26" si="2">ROW(A21)-ROW($A$2)</f>
        <v>19</v>
      </c>
      <c r="B21" s="3"/>
      <c r="C21" s="3" t="s">
        <v>45</v>
      </c>
      <c r="D21" s="6" t="s">
        <v>46</v>
      </c>
      <c r="E21" s="6" t="s">
        <v>129</v>
      </c>
      <c r="F21" s="6" t="s">
        <v>130</v>
      </c>
      <c r="G21" s="6" t="s">
        <v>131</v>
      </c>
      <c r="H21" s="6" t="s">
        <v>50</v>
      </c>
      <c r="I21" s="6" t="s">
        <v>50</v>
      </c>
      <c r="J21" s="6" t="s">
        <v>132</v>
      </c>
      <c r="K21" s="6" t="s">
        <v>52</v>
      </c>
      <c r="L21" s="3" t="s">
        <v>53</v>
      </c>
      <c r="M21" s="3">
        <v>35</v>
      </c>
      <c r="N21" s="86">
        <v>1998983</v>
      </c>
      <c r="O21" s="17"/>
      <c r="P21" s="86">
        <f t="shared" si="1"/>
        <v>1998983</v>
      </c>
      <c r="Q21" s="8"/>
      <c r="R21" s="17"/>
      <c r="S21" s="8">
        <v>45853</v>
      </c>
      <c r="T21" s="8" t="s">
        <v>64</v>
      </c>
      <c r="U21" s="8"/>
      <c r="V21" s="11"/>
      <c r="W21" s="8"/>
      <c r="X21" s="8" t="e">
        <f>VLOOKUP(W21,'2026 Calendar'!A:E,4,0)</f>
        <v>#N/A</v>
      </c>
      <c r="Y21" s="33" t="e">
        <f>VLOOKUP(W21,'2026 Calendar'!A:B,2,0)</f>
        <v>#N/A</v>
      </c>
      <c r="Z21" s="33"/>
      <c r="AA21" s="33"/>
      <c r="AB21" s="33"/>
      <c r="AC21" s="33" t="e">
        <f>VLOOKUP(AB21,'2026 Calendar'!A:E,4,0)</f>
        <v>#N/A</v>
      </c>
      <c r="AD21" s="33" t="e">
        <f>VLOOKUP(AB21,'2026 Calendar'!A:B,2,0)</f>
        <v>#N/A</v>
      </c>
      <c r="AE21" s="8"/>
      <c r="AF21" s="6" t="s">
        <v>56</v>
      </c>
      <c r="AG21" s="7" t="s">
        <v>56</v>
      </c>
      <c r="AH21" s="7" t="s">
        <v>56</v>
      </c>
      <c r="AI21" s="7" t="s">
        <v>56</v>
      </c>
      <c r="AJ21" s="7"/>
      <c r="AK21" s="7" t="s">
        <v>68</v>
      </c>
      <c r="AL21" s="7" t="s">
        <v>68</v>
      </c>
      <c r="AM21" s="19"/>
      <c r="AN21" s="19"/>
      <c r="AO21" s="8"/>
      <c r="AP21" s="8"/>
      <c r="AQ21" s="8">
        <v>45931</v>
      </c>
      <c r="AR21" s="14">
        <v>45931</v>
      </c>
    </row>
    <row r="22" spans="1:44" ht="21" hidden="1" customHeight="1" x14ac:dyDescent="0.35">
      <c r="A22" s="3">
        <f t="shared" si="2"/>
        <v>20</v>
      </c>
      <c r="B22" s="3" t="s">
        <v>80</v>
      </c>
      <c r="C22" s="3" t="s">
        <v>133</v>
      </c>
      <c r="D22" s="6" t="s">
        <v>46</v>
      </c>
      <c r="E22" s="6" t="s">
        <v>97</v>
      </c>
      <c r="F22" s="6" t="s">
        <v>98</v>
      </c>
      <c r="G22" s="6" t="s">
        <v>134</v>
      </c>
      <c r="H22" s="6" t="s">
        <v>50</v>
      </c>
      <c r="I22" s="6" t="s">
        <v>50</v>
      </c>
      <c r="J22" s="6" t="s">
        <v>51</v>
      </c>
      <c r="K22" s="6" t="s">
        <v>135</v>
      </c>
      <c r="L22" s="3" t="s">
        <v>53</v>
      </c>
      <c r="M22" s="3"/>
      <c r="N22" s="86">
        <v>6000000</v>
      </c>
      <c r="O22" s="15"/>
      <c r="P22" s="86">
        <f t="shared" si="1"/>
        <v>6000000</v>
      </c>
      <c r="Q22" s="8"/>
      <c r="R22" s="15"/>
      <c r="S22" s="8">
        <v>46045</v>
      </c>
      <c r="T22" s="8" t="s">
        <v>64</v>
      </c>
      <c r="U22" s="8"/>
      <c r="V22" s="11"/>
      <c r="W22" s="8"/>
      <c r="X22" s="8" t="e">
        <f>VLOOKUP(W22,'2026 Calendar'!A:E,4,0)</f>
        <v>#N/A</v>
      </c>
      <c r="Y22" s="33" t="e">
        <f>VLOOKUP(W22,'2026 Calendar'!A:B,2,0)</f>
        <v>#N/A</v>
      </c>
      <c r="Z22" s="33"/>
      <c r="AA22" s="33"/>
      <c r="AB22" s="33"/>
      <c r="AC22" s="33" t="e">
        <f>VLOOKUP(AB22,'2026 Calendar'!A:E,4,0)</f>
        <v>#N/A</v>
      </c>
      <c r="AD22" s="33" t="e">
        <f>VLOOKUP(AB22,'2026 Calendar'!A:B,2,0)</f>
        <v>#N/A</v>
      </c>
      <c r="AE22" s="8"/>
      <c r="AF22" s="6" t="s">
        <v>56</v>
      </c>
      <c r="AG22" s="7" t="s">
        <v>56</v>
      </c>
      <c r="AH22" s="7" t="s">
        <v>115</v>
      </c>
      <c r="AI22" s="7" t="s">
        <v>115</v>
      </c>
      <c r="AJ22" s="7" t="s">
        <v>115</v>
      </c>
      <c r="AK22" s="7" t="s">
        <v>68</v>
      </c>
      <c r="AL22" s="7" t="s">
        <v>57</v>
      </c>
      <c r="AM22" s="19" t="s">
        <v>136</v>
      </c>
      <c r="AN22" s="19"/>
      <c r="AO22" s="8"/>
      <c r="AP22" s="8"/>
      <c r="AQ22" s="8">
        <v>46060</v>
      </c>
      <c r="AR22" s="14">
        <v>45782</v>
      </c>
    </row>
    <row r="23" spans="1:44" ht="21" hidden="1" customHeight="1" x14ac:dyDescent="0.35">
      <c r="A23" s="3">
        <f t="shared" si="2"/>
        <v>21</v>
      </c>
      <c r="B23" s="3" t="s">
        <v>44</v>
      </c>
      <c r="C23" s="3" t="s">
        <v>137</v>
      </c>
      <c r="D23" s="6" t="s">
        <v>46</v>
      </c>
      <c r="E23" s="6" t="s">
        <v>97</v>
      </c>
      <c r="F23" s="6" t="s">
        <v>98</v>
      </c>
      <c r="G23" s="6" t="s">
        <v>134</v>
      </c>
      <c r="H23" s="6" t="s">
        <v>50</v>
      </c>
      <c r="I23" s="6" t="s">
        <v>50</v>
      </c>
      <c r="J23" s="6" t="s">
        <v>51</v>
      </c>
      <c r="K23" s="6" t="s">
        <v>76</v>
      </c>
      <c r="L23" s="3" t="s">
        <v>53</v>
      </c>
      <c r="M23" s="3">
        <v>2</v>
      </c>
      <c r="N23" s="86">
        <v>575.1</v>
      </c>
      <c r="O23" s="86">
        <v>575.1</v>
      </c>
      <c r="P23" s="86">
        <f t="shared" si="1"/>
        <v>0</v>
      </c>
      <c r="Q23" s="8"/>
      <c r="R23" s="15"/>
      <c r="S23" s="8">
        <v>46045</v>
      </c>
      <c r="T23" s="8" t="s">
        <v>53</v>
      </c>
      <c r="U23" s="8"/>
      <c r="V23" s="11"/>
      <c r="W23" s="8"/>
      <c r="X23" s="8" t="e">
        <f>VLOOKUP(W23,'2026 Calendar'!A:E,4,0)</f>
        <v>#N/A</v>
      </c>
      <c r="Y23" s="33" t="e">
        <f>VLOOKUP(W23,'2026 Calendar'!A:B,2,0)</f>
        <v>#N/A</v>
      </c>
      <c r="Z23" s="33"/>
      <c r="AA23" s="33"/>
      <c r="AB23" s="33"/>
      <c r="AC23" s="33" t="e">
        <f>VLOOKUP(AB23,'2026 Calendar'!A:E,4,0)</f>
        <v>#N/A</v>
      </c>
      <c r="AD23" s="33" t="e">
        <f>VLOOKUP(AB23,'2026 Calendar'!A:B,2,0)</f>
        <v>#N/A</v>
      </c>
      <c r="AE23" s="8"/>
      <c r="AF23" s="6" t="s">
        <v>56</v>
      </c>
      <c r="AG23" s="7" t="s">
        <v>56</v>
      </c>
      <c r="AH23" s="6" t="s">
        <v>115</v>
      </c>
      <c r="AI23" s="6" t="s">
        <v>115</v>
      </c>
      <c r="AJ23" s="6" t="s">
        <v>115</v>
      </c>
      <c r="AK23" s="6" t="s">
        <v>68</v>
      </c>
      <c r="AL23" s="7" t="s">
        <v>57</v>
      </c>
      <c r="AM23" s="19" t="s">
        <v>136</v>
      </c>
      <c r="AN23" s="19"/>
      <c r="AO23" s="8"/>
      <c r="AP23" s="8"/>
      <c r="AQ23" s="8">
        <v>46060</v>
      </c>
      <c r="AR23" s="14">
        <v>45782</v>
      </c>
    </row>
    <row r="24" spans="1:44" ht="21" hidden="1" customHeight="1" x14ac:dyDescent="0.35">
      <c r="A24" s="3">
        <f t="shared" si="2"/>
        <v>22</v>
      </c>
      <c r="B24" s="3"/>
      <c r="C24" s="3" t="s">
        <v>45</v>
      </c>
      <c r="D24" s="6" t="s">
        <v>46</v>
      </c>
      <c r="E24" s="6" t="s">
        <v>138</v>
      </c>
      <c r="F24" s="6" t="s">
        <v>139</v>
      </c>
      <c r="G24" s="6" t="s">
        <v>140</v>
      </c>
      <c r="H24" s="6" t="s">
        <v>50</v>
      </c>
      <c r="I24" s="6" t="s">
        <v>50</v>
      </c>
      <c r="J24" s="6" t="s">
        <v>51</v>
      </c>
      <c r="K24" s="6" t="s">
        <v>52</v>
      </c>
      <c r="L24" s="3" t="s">
        <v>64</v>
      </c>
      <c r="M24" s="3">
        <v>6</v>
      </c>
      <c r="N24" s="86">
        <v>48755</v>
      </c>
      <c r="O24" s="15"/>
      <c r="P24" s="86">
        <f t="shared" si="1"/>
        <v>48755</v>
      </c>
      <c r="Q24" s="11"/>
      <c r="R24" s="15"/>
      <c r="S24" s="11">
        <v>46038</v>
      </c>
      <c r="T24" s="8" t="s">
        <v>64</v>
      </c>
      <c r="U24" s="11"/>
      <c r="V24" s="11"/>
      <c r="W24" s="11"/>
      <c r="X24" s="8" t="e">
        <f>VLOOKUP(W24,'2026 Calendar'!A:E,4,0)</f>
        <v>#N/A</v>
      </c>
      <c r="Y24" s="33" t="e">
        <f>VLOOKUP(W24,'2026 Calendar'!A:B,2,0)</f>
        <v>#N/A</v>
      </c>
      <c r="Z24" s="33">
        <v>46183</v>
      </c>
      <c r="AA24" s="35" t="s">
        <v>91</v>
      </c>
      <c r="AB24" s="35" t="s">
        <v>92</v>
      </c>
      <c r="AC24" s="33" t="e">
        <f>VLOOKUP(AB24,'2026 Calendar'!A:E,4,0)</f>
        <v>#N/A</v>
      </c>
      <c r="AD24" s="33" t="e">
        <f>VLOOKUP(AB24,'2026 Calendar'!A:B,2,0)</f>
        <v>#N/A</v>
      </c>
      <c r="AE24" s="11"/>
      <c r="AF24" s="6" t="s">
        <v>56</v>
      </c>
      <c r="AG24" s="6" t="s">
        <v>56</v>
      </c>
      <c r="AH24" s="6" t="s">
        <v>67</v>
      </c>
      <c r="AI24" s="6" t="s">
        <v>56</v>
      </c>
      <c r="AJ24" s="6" t="s">
        <v>67</v>
      </c>
      <c r="AK24" s="6" t="s">
        <v>67</v>
      </c>
      <c r="AL24" s="7" t="s">
        <v>67</v>
      </c>
      <c r="AM24" s="19" t="s">
        <v>141</v>
      </c>
      <c r="AN24" s="19"/>
      <c r="AO24" s="11"/>
      <c r="AP24" s="11"/>
      <c r="AQ24" s="8">
        <v>46188</v>
      </c>
      <c r="AR24" s="14"/>
    </row>
    <row r="25" spans="1:44" ht="21" hidden="1" customHeight="1" x14ac:dyDescent="0.35">
      <c r="A25" s="3">
        <f t="shared" si="2"/>
        <v>23</v>
      </c>
      <c r="B25" s="3" t="s">
        <v>75</v>
      </c>
      <c r="C25" s="3" t="s">
        <v>45</v>
      </c>
      <c r="D25" s="6" t="s">
        <v>46</v>
      </c>
      <c r="E25" s="6" t="s">
        <v>142</v>
      </c>
      <c r="F25" s="6" t="s">
        <v>143</v>
      </c>
      <c r="G25" s="6" t="s">
        <v>144</v>
      </c>
      <c r="H25" s="6" t="s">
        <v>104</v>
      </c>
      <c r="I25" s="6" t="s">
        <v>104</v>
      </c>
      <c r="J25" s="6" t="s">
        <v>51</v>
      </c>
      <c r="K25" s="6" t="s">
        <v>52</v>
      </c>
      <c r="L25" s="3"/>
      <c r="M25" s="3">
        <v>32</v>
      </c>
      <c r="N25" s="86">
        <v>406396.56</v>
      </c>
      <c r="O25" s="15"/>
      <c r="P25" s="86">
        <f t="shared" si="1"/>
        <v>406396.56</v>
      </c>
      <c r="Q25" s="8"/>
      <c r="R25" s="15" t="s">
        <v>53</v>
      </c>
      <c r="S25" s="8">
        <v>46009</v>
      </c>
      <c r="T25" s="8"/>
      <c r="U25" s="8"/>
      <c r="V25" s="11"/>
      <c r="W25" s="8"/>
      <c r="X25" s="8" t="e">
        <f>VLOOKUP(W25,'2026 Calendar'!A:E,4,0)</f>
        <v>#N/A</v>
      </c>
      <c r="Y25" s="33" t="e">
        <f>VLOOKUP(W25,'2026 Calendar'!A:B,2,0)</f>
        <v>#N/A</v>
      </c>
      <c r="Z25" s="33"/>
      <c r="AA25" s="33"/>
      <c r="AB25" s="33"/>
      <c r="AC25" s="33" t="e">
        <f>VLOOKUP(AB25,'2026 Calendar'!A:E,4,0)</f>
        <v>#N/A</v>
      </c>
      <c r="AD25" s="33" t="e">
        <f>VLOOKUP(AB25,'2026 Calendar'!A:B,2,0)</f>
        <v>#N/A</v>
      </c>
      <c r="AE25" s="8"/>
      <c r="AF25" s="6" t="s">
        <v>72</v>
      </c>
      <c r="AG25" s="7" t="s">
        <v>56</v>
      </c>
      <c r="AH25" s="7" t="s">
        <v>56</v>
      </c>
      <c r="AI25" s="7" t="s">
        <v>56</v>
      </c>
      <c r="AJ25" s="7" t="s">
        <v>56</v>
      </c>
      <c r="AK25" s="7" t="s">
        <v>56</v>
      </c>
      <c r="AL25" s="7" t="s">
        <v>68</v>
      </c>
      <c r="AM25" s="19" t="s">
        <v>145</v>
      </c>
      <c r="AN25" s="19"/>
      <c r="AO25" s="8"/>
      <c r="AP25" s="8"/>
      <c r="AQ25" s="8">
        <v>46142</v>
      </c>
      <c r="AR25" s="6"/>
    </row>
    <row r="26" spans="1:44" ht="21" hidden="1" customHeight="1" x14ac:dyDescent="0.35">
      <c r="A26" s="3">
        <f t="shared" si="2"/>
        <v>24</v>
      </c>
      <c r="B26" s="3"/>
      <c r="C26" s="3" t="s">
        <v>45</v>
      </c>
      <c r="D26" s="6" t="s">
        <v>59</v>
      </c>
      <c r="E26" s="6" t="s">
        <v>60</v>
      </c>
      <c r="F26" s="6" t="s">
        <v>61</v>
      </c>
      <c r="G26" s="6" t="s">
        <v>146</v>
      </c>
      <c r="H26" s="6" t="s">
        <v>50</v>
      </c>
      <c r="I26" s="6" t="s">
        <v>71</v>
      </c>
      <c r="J26" s="6" t="s">
        <v>147</v>
      </c>
      <c r="K26" s="6" t="s">
        <v>52</v>
      </c>
      <c r="L26" s="3" t="s">
        <v>64</v>
      </c>
      <c r="M26" s="3">
        <v>11</v>
      </c>
      <c r="N26" s="86">
        <v>199073</v>
      </c>
      <c r="O26" s="15"/>
      <c r="P26" s="86">
        <f t="shared" si="1"/>
        <v>199073</v>
      </c>
      <c r="Q26" s="8"/>
      <c r="R26" s="15"/>
      <c r="S26" s="8">
        <v>46051</v>
      </c>
      <c r="T26" s="8" t="s">
        <v>53</v>
      </c>
      <c r="U26" s="8">
        <v>46083</v>
      </c>
      <c r="V26" s="11"/>
      <c r="W26" s="8"/>
      <c r="X26" s="8" t="e">
        <f>VLOOKUP(W26,'2026 Calendar'!A:E,4,0)</f>
        <v>#N/A</v>
      </c>
      <c r="Y26" s="33" t="e">
        <f>VLOOKUP(W26,'2026 Calendar'!A:B,2,0)</f>
        <v>#N/A</v>
      </c>
      <c r="Z26" s="33">
        <v>46170</v>
      </c>
      <c r="AA26" s="33" t="s">
        <v>108</v>
      </c>
      <c r="AB26" s="33" t="s">
        <v>148</v>
      </c>
      <c r="AC26" s="33" t="e">
        <f>VLOOKUP(AB26,'2026 Calendar'!A:E,4,0)</f>
        <v>#N/A</v>
      </c>
      <c r="AD26" s="33" t="e">
        <f>VLOOKUP(AB26,'2026 Calendar'!A:B,2,0)</f>
        <v>#N/A</v>
      </c>
      <c r="AE26" s="8"/>
      <c r="AF26" s="6" t="s">
        <v>56</v>
      </c>
      <c r="AG26" s="6" t="s">
        <v>78</v>
      </c>
      <c r="AH26" s="6" t="s">
        <v>67</v>
      </c>
      <c r="AI26" s="6" t="s">
        <v>78</v>
      </c>
      <c r="AJ26" s="6" t="s">
        <v>67</v>
      </c>
      <c r="AK26" s="6" t="s">
        <v>67</v>
      </c>
      <c r="AL26" s="7" t="s">
        <v>67</v>
      </c>
      <c r="AM26" s="19"/>
      <c r="AN26" s="19"/>
      <c r="AO26" s="8"/>
      <c r="AP26" s="8"/>
      <c r="AQ26" s="8">
        <v>46203</v>
      </c>
      <c r="AR26" s="14"/>
    </row>
    <row r="27" spans="1:44" ht="21" hidden="1" customHeight="1" x14ac:dyDescent="0.35">
      <c r="A27" s="3">
        <v>34</v>
      </c>
      <c r="B27" s="3"/>
      <c r="C27" s="3" t="s">
        <v>45</v>
      </c>
      <c r="D27" s="6" t="s">
        <v>46</v>
      </c>
      <c r="E27" s="6" t="s">
        <v>149</v>
      </c>
      <c r="F27" s="6" t="s">
        <v>150</v>
      </c>
      <c r="G27" s="6" t="s">
        <v>151</v>
      </c>
      <c r="H27" s="6" t="s">
        <v>63</v>
      </c>
      <c r="I27" s="6" t="s">
        <v>63</v>
      </c>
      <c r="J27" s="6" t="s">
        <v>152</v>
      </c>
      <c r="K27" s="6" t="s">
        <v>76</v>
      </c>
      <c r="L27" s="3" t="s">
        <v>53</v>
      </c>
      <c r="M27" s="3">
        <v>9</v>
      </c>
      <c r="N27" s="86">
        <v>13096.1</v>
      </c>
      <c r="O27" s="27"/>
      <c r="P27" s="86">
        <f t="shared" si="1"/>
        <v>13096.1</v>
      </c>
      <c r="Q27" s="11"/>
      <c r="R27" s="15" t="s">
        <v>64</v>
      </c>
      <c r="S27" s="11">
        <v>46041</v>
      </c>
      <c r="T27" s="11" t="s">
        <v>53</v>
      </c>
      <c r="U27" s="8">
        <v>46055</v>
      </c>
      <c r="V27" s="11"/>
      <c r="W27" s="11"/>
      <c r="X27" s="8" t="e">
        <f>VLOOKUP(W27,'2026 Calendar'!A:E,4,0)</f>
        <v>#N/A</v>
      </c>
      <c r="Y27" s="33" t="e">
        <f>VLOOKUP(W27,'2026 Calendar'!A:B,2,0)</f>
        <v>#N/A</v>
      </c>
      <c r="Z27" s="33"/>
      <c r="AA27" s="35"/>
      <c r="AB27" s="35"/>
      <c r="AC27" s="33" t="e">
        <f>VLOOKUP(AB27,'2026 Calendar'!A:E,4,0)</f>
        <v>#N/A</v>
      </c>
      <c r="AD27" s="33" t="e">
        <f>VLOOKUP(AB27,'2026 Calendar'!A:B,2,0)</f>
        <v>#N/A</v>
      </c>
      <c r="AE27" s="11"/>
      <c r="AF27" s="6" t="s">
        <v>114</v>
      </c>
      <c r="AG27" s="6" t="s">
        <v>72</v>
      </c>
      <c r="AH27" s="6" t="s">
        <v>72</v>
      </c>
      <c r="AI27" s="6" t="s">
        <v>115</v>
      </c>
      <c r="AJ27" s="6" t="s">
        <v>115</v>
      </c>
      <c r="AK27" s="6" t="s">
        <v>68</v>
      </c>
      <c r="AL27" s="7" t="s">
        <v>57</v>
      </c>
      <c r="AM27" s="30" t="s">
        <v>153</v>
      </c>
      <c r="AN27" s="30"/>
      <c r="AO27" s="11"/>
      <c r="AP27" s="11"/>
      <c r="AQ27" s="8">
        <v>46157</v>
      </c>
      <c r="AR27" s="14"/>
    </row>
    <row r="28" spans="1:44" ht="21" hidden="1" customHeight="1" x14ac:dyDescent="0.35">
      <c r="A28" s="3">
        <f t="shared" ref="A28:A41" si="3">ROW(A28)-ROW($A$2)</f>
        <v>26</v>
      </c>
      <c r="B28" s="3"/>
      <c r="C28" s="3" t="s">
        <v>45</v>
      </c>
      <c r="D28" s="6" t="s">
        <v>59</v>
      </c>
      <c r="E28" s="6" t="s">
        <v>60</v>
      </c>
      <c r="F28" s="6" t="s">
        <v>61</v>
      </c>
      <c r="G28" s="6" t="s">
        <v>154</v>
      </c>
      <c r="H28" s="6" t="s">
        <v>104</v>
      </c>
      <c r="I28" s="6" t="s">
        <v>104</v>
      </c>
      <c r="J28" s="6" t="s">
        <v>51</v>
      </c>
      <c r="K28" s="6" t="s">
        <v>52</v>
      </c>
      <c r="L28" s="3" t="s">
        <v>64</v>
      </c>
      <c r="M28" s="3">
        <v>1</v>
      </c>
      <c r="N28" s="86">
        <v>14520</v>
      </c>
      <c r="O28" s="15"/>
      <c r="P28" s="86">
        <f t="shared" si="1"/>
        <v>14520</v>
      </c>
      <c r="Q28" s="8"/>
      <c r="R28" s="15"/>
      <c r="S28" s="8">
        <v>46015</v>
      </c>
      <c r="T28" s="8" t="s">
        <v>64</v>
      </c>
      <c r="U28" s="8"/>
      <c r="V28" s="11"/>
      <c r="W28" s="8"/>
      <c r="X28" s="8" t="e">
        <f>VLOOKUP(W28,'2026 Calendar'!A:E,4,0)</f>
        <v>#N/A</v>
      </c>
      <c r="Y28" s="33" t="e">
        <f>VLOOKUP(W28,'2026 Calendar'!A:B,2,0)</f>
        <v>#N/A</v>
      </c>
      <c r="Z28" s="33"/>
      <c r="AA28" s="33"/>
      <c r="AB28" s="33"/>
      <c r="AC28" s="33" t="e">
        <f>VLOOKUP(AB28,'2026 Calendar'!A:E,4,0)</f>
        <v>#N/A</v>
      </c>
      <c r="AD28" s="33" t="e">
        <f>VLOOKUP(AB28,'2026 Calendar'!A:B,2,0)</f>
        <v>#N/A</v>
      </c>
      <c r="AE28" s="8"/>
      <c r="AF28" s="6" t="s">
        <v>72</v>
      </c>
      <c r="AG28" s="6" t="s">
        <v>72</v>
      </c>
      <c r="AH28" s="6" t="s">
        <v>67</v>
      </c>
      <c r="AI28" s="6" t="s">
        <v>67</v>
      </c>
      <c r="AJ28" s="6" t="s">
        <v>67</v>
      </c>
      <c r="AK28" s="6" t="s">
        <v>67</v>
      </c>
      <c r="AL28" s="7" t="s">
        <v>68</v>
      </c>
      <c r="AM28" s="19"/>
      <c r="AN28" s="19"/>
      <c r="AO28" s="8"/>
      <c r="AP28" s="8"/>
      <c r="AQ28" s="8" t="s">
        <v>73</v>
      </c>
      <c r="AR28" s="6"/>
    </row>
    <row r="29" spans="1:44" ht="21" hidden="1" customHeight="1" x14ac:dyDescent="0.35">
      <c r="A29" s="3">
        <f t="shared" si="3"/>
        <v>27</v>
      </c>
      <c r="B29" s="3"/>
      <c r="C29" s="3" t="s">
        <v>45</v>
      </c>
      <c r="D29" s="6" t="s">
        <v>59</v>
      </c>
      <c r="E29" s="6" t="s">
        <v>60</v>
      </c>
      <c r="F29" s="6" t="s">
        <v>61</v>
      </c>
      <c r="G29" s="6" t="s">
        <v>155</v>
      </c>
      <c r="H29" s="6" t="s">
        <v>104</v>
      </c>
      <c r="I29" s="6" t="s">
        <v>104</v>
      </c>
      <c r="J29" s="6" t="s">
        <v>51</v>
      </c>
      <c r="K29" s="6" t="s">
        <v>52</v>
      </c>
      <c r="L29" s="3" t="s">
        <v>64</v>
      </c>
      <c r="M29" s="3">
        <v>50</v>
      </c>
      <c r="N29" s="86">
        <v>1171637</v>
      </c>
      <c r="O29" s="15"/>
      <c r="P29" s="86">
        <f t="shared" si="1"/>
        <v>1171637</v>
      </c>
      <c r="Q29" s="8"/>
      <c r="R29" s="15"/>
      <c r="S29" s="8">
        <v>46023</v>
      </c>
      <c r="T29" s="8" t="s">
        <v>64</v>
      </c>
      <c r="U29" s="8"/>
      <c r="V29" s="11"/>
      <c r="W29" s="8"/>
      <c r="X29" s="8" t="e">
        <f>VLOOKUP(W29,'2026 Calendar'!A:E,4,0)</f>
        <v>#N/A</v>
      </c>
      <c r="Y29" s="33" t="e">
        <f>VLOOKUP(W29,'2026 Calendar'!A:B,2,0)</f>
        <v>#N/A</v>
      </c>
      <c r="Z29" s="33"/>
      <c r="AA29" s="33"/>
      <c r="AB29" s="33"/>
      <c r="AC29" s="33" t="e">
        <f>VLOOKUP(AB29,'2026 Calendar'!A:E,4,0)</f>
        <v>#N/A</v>
      </c>
      <c r="AD29" s="33" t="e">
        <f>VLOOKUP(AB29,'2026 Calendar'!A:B,2,0)</f>
        <v>#N/A</v>
      </c>
      <c r="AE29" s="8"/>
      <c r="AF29" s="6" t="s">
        <v>72</v>
      </c>
      <c r="AG29" s="6" t="s">
        <v>72</v>
      </c>
      <c r="AH29" s="6" t="s">
        <v>67</v>
      </c>
      <c r="AI29" s="6" t="s">
        <v>72</v>
      </c>
      <c r="AJ29" s="6" t="s">
        <v>67</v>
      </c>
      <c r="AK29" s="6" t="s">
        <v>67</v>
      </c>
      <c r="AL29" s="7" t="s">
        <v>57</v>
      </c>
      <c r="AM29" s="19" t="s">
        <v>156</v>
      </c>
      <c r="AN29" s="19"/>
      <c r="AO29" s="8"/>
      <c r="AP29" s="8"/>
      <c r="AQ29" s="8">
        <v>46203</v>
      </c>
      <c r="AR29" s="6"/>
    </row>
    <row r="30" spans="1:44" ht="21" hidden="1" customHeight="1" x14ac:dyDescent="0.35">
      <c r="A30" s="3">
        <f t="shared" si="3"/>
        <v>28</v>
      </c>
      <c r="B30" s="3" t="s">
        <v>44</v>
      </c>
      <c r="C30" s="3" t="s">
        <v>45</v>
      </c>
      <c r="D30" s="6" t="s">
        <v>59</v>
      </c>
      <c r="E30" s="6" t="s">
        <v>60</v>
      </c>
      <c r="F30" s="6" t="s">
        <v>61</v>
      </c>
      <c r="G30" s="6" t="s">
        <v>157</v>
      </c>
      <c r="H30" s="6" t="s">
        <v>50</v>
      </c>
      <c r="I30" s="6" t="s">
        <v>71</v>
      </c>
      <c r="J30" s="6" t="s">
        <v>51</v>
      </c>
      <c r="K30" s="6" t="s">
        <v>52</v>
      </c>
      <c r="L30" s="3" t="s">
        <v>64</v>
      </c>
      <c r="M30" s="3">
        <v>1</v>
      </c>
      <c r="N30" s="86">
        <v>4200</v>
      </c>
      <c r="O30" s="17"/>
      <c r="P30" s="86">
        <f t="shared" si="1"/>
        <v>4200</v>
      </c>
      <c r="Q30" s="17" t="s">
        <v>65</v>
      </c>
      <c r="R30" s="17"/>
      <c r="S30" s="8" t="s">
        <v>73</v>
      </c>
      <c r="T30" s="8" t="s">
        <v>53</v>
      </c>
      <c r="U30" s="8">
        <v>46034</v>
      </c>
      <c r="V30" s="11"/>
      <c r="W30" s="8"/>
      <c r="X30" s="8" t="e">
        <f>VLOOKUP(W30,'2026 Calendar'!A:E,4,0)</f>
        <v>#N/A</v>
      </c>
      <c r="Y30" s="33" t="e">
        <f>VLOOKUP(W30,'2026 Calendar'!A:B,2,0)</f>
        <v>#N/A</v>
      </c>
      <c r="Z30" s="33">
        <v>46109</v>
      </c>
      <c r="AA30" s="33" t="s">
        <v>85</v>
      </c>
      <c r="AB30" s="33" t="s">
        <v>158</v>
      </c>
      <c r="AC30" s="33" t="e">
        <f>VLOOKUP(AB30,'2026 Calendar'!A:E,4,0)</f>
        <v>#N/A</v>
      </c>
      <c r="AD30" s="33" t="e">
        <f>VLOOKUP(AB30,'2026 Calendar'!A:B,2,0)</f>
        <v>#N/A</v>
      </c>
      <c r="AE30" s="8"/>
      <c r="AF30" s="6" t="s">
        <v>56</v>
      </c>
      <c r="AG30" s="6" t="s">
        <v>56</v>
      </c>
      <c r="AH30" s="6" t="s">
        <v>67</v>
      </c>
      <c r="AI30" s="6" t="s">
        <v>67</v>
      </c>
      <c r="AJ30" s="6" t="s">
        <v>67</v>
      </c>
      <c r="AK30" s="6" t="s">
        <v>67</v>
      </c>
      <c r="AL30" s="7" t="s">
        <v>57</v>
      </c>
      <c r="AM30" s="19" t="s">
        <v>159</v>
      </c>
      <c r="AN30" s="19"/>
      <c r="AO30" s="8"/>
      <c r="AP30" s="8"/>
      <c r="AQ30" s="8">
        <v>46109</v>
      </c>
      <c r="AR30" s="14"/>
    </row>
    <row r="31" spans="1:44" ht="21" hidden="1" customHeight="1" x14ac:dyDescent="0.35">
      <c r="A31" s="3">
        <f t="shared" si="3"/>
        <v>29</v>
      </c>
      <c r="B31" s="3"/>
      <c r="C31" s="3" t="s">
        <v>45</v>
      </c>
      <c r="D31" s="6" t="s">
        <v>59</v>
      </c>
      <c r="E31" s="6" t="s">
        <v>60</v>
      </c>
      <c r="F31" s="6" t="s">
        <v>61</v>
      </c>
      <c r="G31" s="6" t="s">
        <v>160</v>
      </c>
      <c r="H31" s="6" t="s">
        <v>104</v>
      </c>
      <c r="I31" s="6" t="s">
        <v>104</v>
      </c>
      <c r="J31" s="6" t="s">
        <v>51</v>
      </c>
      <c r="K31" s="6" t="s">
        <v>52</v>
      </c>
      <c r="L31" s="3" t="s">
        <v>53</v>
      </c>
      <c r="M31" s="3">
        <v>51</v>
      </c>
      <c r="N31" s="86">
        <v>1653853</v>
      </c>
      <c r="O31" s="15"/>
      <c r="P31" s="86">
        <f t="shared" si="1"/>
        <v>1653853</v>
      </c>
      <c r="Q31" s="8"/>
      <c r="R31" s="15"/>
      <c r="S31" s="8" t="s">
        <v>73</v>
      </c>
      <c r="T31" s="8" t="s">
        <v>64</v>
      </c>
      <c r="U31" s="8"/>
      <c r="V31" s="11"/>
      <c r="W31" s="8"/>
      <c r="X31" s="8" t="e">
        <f>VLOOKUP(W31,'2026 Calendar'!A:E,4,0)</f>
        <v>#N/A</v>
      </c>
      <c r="Y31" s="33" t="e">
        <f>VLOOKUP(W31,'2026 Calendar'!A:B,2,0)</f>
        <v>#N/A</v>
      </c>
      <c r="Z31" s="33"/>
      <c r="AA31" s="33"/>
      <c r="AB31" s="33"/>
      <c r="AC31" s="33" t="e">
        <f>VLOOKUP(AB31,'2026 Calendar'!A:E,4,0)</f>
        <v>#N/A</v>
      </c>
      <c r="AD31" s="33" t="e">
        <f>VLOOKUP(AB31,'2026 Calendar'!A:B,2,0)</f>
        <v>#N/A</v>
      </c>
      <c r="AE31" s="8"/>
      <c r="AF31" s="6" t="s">
        <v>56</v>
      </c>
      <c r="AG31" s="6" t="s">
        <v>56</v>
      </c>
      <c r="AH31" s="6" t="s">
        <v>56</v>
      </c>
      <c r="AI31" s="6" t="s">
        <v>56</v>
      </c>
      <c r="AJ31" s="6" t="s">
        <v>56</v>
      </c>
      <c r="AK31" s="6" t="s">
        <v>56</v>
      </c>
      <c r="AL31" s="7" t="s">
        <v>57</v>
      </c>
      <c r="AM31" s="18" t="s">
        <v>161</v>
      </c>
      <c r="AN31" s="18"/>
      <c r="AO31" s="8"/>
      <c r="AP31" s="8"/>
      <c r="AQ31" s="8" t="s">
        <v>73</v>
      </c>
      <c r="AR31" s="6"/>
    </row>
    <row r="32" spans="1:44" ht="21" hidden="1" customHeight="1" x14ac:dyDescent="0.35">
      <c r="A32" s="3">
        <f t="shared" si="3"/>
        <v>30</v>
      </c>
      <c r="B32" s="3"/>
      <c r="C32" s="3" t="s">
        <v>45</v>
      </c>
      <c r="D32" s="6" t="s">
        <v>46</v>
      </c>
      <c r="E32" s="6" t="s">
        <v>81</v>
      </c>
      <c r="F32" s="6" t="s">
        <v>162</v>
      </c>
      <c r="G32" s="6" t="s">
        <v>163</v>
      </c>
      <c r="H32" s="6" t="s">
        <v>164</v>
      </c>
      <c r="I32" s="6" t="s">
        <v>164</v>
      </c>
      <c r="J32" s="6" t="s">
        <v>51</v>
      </c>
      <c r="K32" s="6" t="s">
        <v>52</v>
      </c>
      <c r="L32" s="3" t="s">
        <v>53</v>
      </c>
      <c r="M32" s="3">
        <v>117</v>
      </c>
      <c r="N32" s="86">
        <v>2589501.87</v>
      </c>
      <c r="O32" s="15"/>
      <c r="P32" s="86">
        <f t="shared" si="1"/>
        <v>2589501.87</v>
      </c>
      <c r="Q32" s="8"/>
      <c r="R32" s="15"/>
      <c r="S32" s="8">
        <v>45730</v>
      </c>
      <c r="T32" s="8" t="s">
        <v>64</v>
      </c>
      <c r="U32" s="8"/>
      <c r="V32" s="11"/>
      <c r="W32" s="8"/>
      <c r="X32" s="8" t="e">
        <f>VLOOKUP(W32,'2026 Calendar'!A:E,4,0)</f>
        <v>#N/A</v>
      </c>
      <c r="Y32" s="33" t="e">
        <f>VLOOKUP(W32,'2026 Calendar'!A:B,2,0)</f>
        <v>#N/A</v>
      </c>
      <c r="Z32" s="33"/>
      <c r="AA32" s="33"/>
      <c r="AB32" s="33"/>
      <c r="AC32" s="33" t="e">
        <f>VLOOKUP(AB32,'2026 Calendar'!A:E,4,0)</f>
        <v>#N/A</v>
      </c>
      <c r="AD32" s="33" t="e">
        <f>VLOOKUP(AB32,'2026 Calendar'!A:B,2,0)</f>
        <v>#N/A</v>
      </c>
      <c r="AE32" s="8"/>
      <c r="AF32" s="6" t="s">
        <v>56</v>
      </c>
      <c r="AG32" s="6" t="s">
        <v>56</v>
      </c>
      <c r="AH32" s="6" t="s">
        <v>56</v>
      </c>
      <c r="AI32" s="6" t="s">
        <v>56</v>
      </c>
      <c r="AJ32" s="6" t="s">
        <v>56</v>
      </c>
      <c r="AK32" s="6" t="s">
        <v>68</v>
      </c>
      <c r="AL32" s="7" t="s">
        <v>57</v>
      </c>
      <c r="AM32" s="19"/>
      <c r="AN32" s="19"/>
      <c r="AO32" s="8"/>
      <c r="AP32" s="8"/>
      <c r="AQ32" s="8" t="s">
        <v>73</v>
      </c>
      <c r="AR32" s="14">
        <v>45861</v>
      </c>
    </row>
    <row r="33" spans="1:44" ht="21" hidden="1" customHeight="1" x14ac:dyDescent="0.35">
      <c r="A33" s="3">
        <f t="shared" si="3"/>
        <v>31</v>
      </c>
      <c r="B33" s="3"/>
      <c r="C33" s="3" t="s">
        <v>45</v>
      </c>
      <c r="D33" s="6" t="s">
        <v>59</v>
      </c>
      <c r="E33" s="6" t="s">
        <v>60</v>
      </c>
      <c r="F33" s="6" t="s">
        <v>61</v>
      </c>
      <c r="G33" s="6" t="s">
        <v>165</v>
      </c>
      <c r="H33" s="6" t="s">
        <v>164</v>
      </c>
      <c r="I33" s="6" t="s">
        <v>71</v>
      </c>
      <c r="J33" s="6" t="s">
        <v>51</v>
      </c>
      <c r="K33" s="6" t="s">
        <v>52</v>
      </c>
      <c r="L33" s="3" t="s">
        <v>64</v>
      </c>
      <c r="M33" s="3">
        <v>33</v>
      </c>
      <c r="N33" s="86">
        <v>367724.28</v>
      </c>
      <c r="O33" s="17"/>
      <c r="P33" s="86">
        <f t="shared" si="1"/>
        <v>367724.28</v>
      </c>
      <c r="Q33" s="8"/>
      <c r="R33" s="15"/>
      <c r="S33" s="8">
        <v>46036</v>
      </c>
      <c r="T33" s="8" t="s">
        <v>64</v>
      </c>
      <c r="U33" s="8"/>
      <c r="V33" s="11"/>
      <c r="W33" s="8"/>
      <c r="X33" s="8" t="e">
        <f>VLOOKUP(W33,'2026 Calendar'!A:E,4,0)</f>
        <v>#N/A</v>
      </c>
      <c r="Y33" s="33" t="e">
        <f>VLOOKUP(W33,'2026 Calendar'!A:B,2,0)</f>
        <v>#N/A</v>
      </c>
      <c r="Z33" s="33"/>
      <c r="AA33" s="33"/>
      <c r="AB33" s="33"/>
      <c r="AC33" s="33" t="e">
        <f>VLOOKUP(AB33,'2026 Calendar'!A:E,4,0)</f>
        <v>#N/A</v>
      </c>
      <c r="AD33" s="33" t="e">
        <f>VLOOKUP(AB33,'2026 Calendar'!A:B,2,0)</f>
        <v>#N/A</v>
      </c>
      <c r="AE33" s="8"/>
      <c r="AF33" s="6" t="s">
        <v>114</v>
      </c>
      <c r="AG33" s="7" t="s">
        <v>78</v>
      </c>
      <c r="AH33" s="7" t="s">
        <v>72</v>
      </c>
      <c r="AI33" s="7" t="s">
        <v>78</v>
      </c>
      <c r="AJ33" s="7" t="s">
        <v>67</v>
      </c>
      <c r="AK33" s="7" t="s">
        <v>67</v>
      </c>
      <c r="AL33" s="7" t="s">
        <v>57</v>
      </c>
      <c r="AM33" s="19"/>
      <c r="AN33" s="19"/>
      <c r="AO33" s="8"/>
      <c r="AP33" s="8"/>
      <c r="AQ33" s="8" t="s">
        <v>73</v>
      </c>
      <c r="AR33" s="6"/>
    </row>
    <row r="34" spans="1:44" ht="27.65" customHeight="1" x14ac:dyDescent="0.35">
      <c r="A34" s="3">
        <f t="shared" si="3"/>
        <v>32</v>
      </c>
      <c r="B34" s="3"/>
      <c r="C34" s="3" t="s">
        <v>45</v>
      </c>
      <c r="D34" s="6" t="s">
        <v>59</v>
      </c>
      <c r="E34" s="6" t="s">
        <v>60</v>
      </c>
      <c r="F34" s="6" t="s">
        <v>61</v>
      </c>
      <c r="G34" s="6" t="s">
        <v>166</v>
      </c>
      <c r="H34" s="6" t="s">
        <v>95</v>
      </c>
      <c r="I34" s="6" t="s">
        <v>95</v>
      </c>
      <c r="J34" s="6" t="s">
        <v>51</v>
      </c>
      <c r="K34" s="6" t="s">
        <v>52</v>
      </c>
      <c r="L34" s="3" t="s">
        <v>53</v>
      </c>
      <c r="M34" s="3">
        <v>9</v>
      </c>
      <c r="N34" s="86">
        <v>381411.30000000005</v>
      </c>
      <c r="O34" s="17"/>
      <c r="P34" s="86">
        <f t="shared" si="1"/>
        <v>381411.30000000005</v>
      </c>
      <c r="Q34" s="8"/>
      <c r="R34" s="17"/>
      <c r="S34" s="8">
        <v>45800</v>
      </c>
      <c r="T34" s="14" t="s">
        <v>64</v>
      </c>
      <c r="U34" s="8"/>
      <c r="V34" s="11"/>
      <c r="W34" s="8"/>
      <c r="X34" s="8" t="e">
        <f>VLOOKUP(W34,'2026 Calendar'!A:E,4,0)</f>
        <v>#N/A</v>
      </c>
      <c r="Y34" s="33" t="e">
        <f>VLOOKUP(W34,'2026 Calendar'!A:B,2,0)</f>
        <v>#N/A</v>
      </c>
      <c r="Z34" s="8"/>
      <c r="AA34" s="8"/>
      <c r="AB34" s="8"/>
      <c r="AC34" s="8" t="e">
        <f>VLOOKUP(AB34,'2026 Calendar'!A:E,4,0)</f>
        <v>#N/A</v>
      </c>
      <c r="AD34" s="8" t="e">
        <f>VLOOKUP(AB34,'2026 Calendar'!A:B,2,0)</f>
        <v>#N/A</v>
      </c>
      <c r="AE34" s="8" t="s">
        <v>110</v>
      </c>
      <c r="AF34" s="6"/>
      <c r="AG34" s="7"/>
      <c r="AH34" s="7"/>
      <c r="AI34" s="7"/>
      <c r="AJ34" s="7"/>
      <c r="AK34" s="26"/>
      <c r="AL34" s="26"/>
      <c r="AM34" s="31"/>
      <c r="AN34" s="19"/>
      <c r="AO34" s="8"/>
      <c r="AP34" s="8"/>
      <c r="AQ34" s="8" t="s">
        <v>73</v>
      </c>
      <c r="AR34" s="14">
        <v>45929</v>
      </c>
    </row>
    <row r="35" spans="1:44" ht="21" hidden="1" customHeight="1" x14ac:dyDescent="0.35">
      <c r="A35" s="3">
        <f t="shared" si="3"/>
        <v>33</v>
      </c>
      <c r="B35" s="3" t="s">
        <v>44</v>
      </c>
      <c r="C35" s="3" t="s">
        <v>45</v>
      </c>
      <c r="D35" s="6" t="s">
        <v>46</v>
      </c>
      <c r="E35" s="6" t="s">
        <v>167</v>
      </c>
      <c r="F35" s="6" t="s">
        <v>168</v>
      </c>
      <c r="G35" s="6" t="s">
        <v>169</v>
      </c>
      <c r="H35" s="6" t="s">
        <v>112</v>
      </c>
      <c r="I35" s="6" t="s">
        <v>112</v>
      </c>
      <c r="J35" s="6" t="s">
        <v>170</v>
      </c>
      <c r="K35" s="6" t="s">
        <v>52</v>
      </c>
      <c r="L35" s="3"/>
      <c r="M35" s="3">
        <v>29</v>
      </c>
      <c r="N35" s="86">
        <f>126270.32+2668</f>
        <v>128938.32</v>
      </c>
      <c r="O35" s="15">
        <v>104926.32</v>
      </c>
      <c r="P35" s="86">
        <f t="shared" si="1"/>
        <v>24012</v>
      </c>
      <c r="Q35" s="8" t="s">
        <v>171</v>
      </c>
      <c r="R35" s="15" t="s">
        <v>53</v>
      </c>
      <c r="S35" s="8">
        <v>45905</v>
      </c>
      <c r="T35" s="11" t="s">
        <v>53</v>
      </c>
      <c r="U35" s="8">
        <v>46087</v>
      </c>
      <c r="V35" s="11"/>
      <c r="W35" s="8"/>
      <c r="X35" s="8" t="e">
        <f>VLOOKUP(W35,'2026 Calendar'!A:E,4,0)</f>
        <v>#N/A</v>
      </c>
      <c r="Y35" s="33" t="e">
        <f>VLOOKUP(W35,'2026 Calendar'!A:B,2,0)</f>
        <v>#N/A</v>
      </c>
      <c r="Z35" s="33">
        <v>46128</v>
      </c>
      <c r="AA35" s="33" t="s">
        <v>54</v>
      </c>
      <c r="AB35" s="33" t="s">
        <v>172</v>
      </c>
      <c r="AC35" s="33">
        <v>46141</v>
      </c>
      <c r="AD35" s="33" t="s">
        <v>54</v>
      </c>
      <c r="AE35" s="8" t="s">
        <v>173</v>
      </c>
      <c r="AF35" s="6" t="s">
        <v>56</v>
      </c>
      <c r="AG35" s="6" t="s">
        <v>56</v>
      </c>
      <c r="AH35" s="6" t="s">
        <v>56</v>
      </c>
      <c r="AI35" s="6" t="s">
        <v>56</v>
      </c>
      <c r="AJ35" s="7" t="s">
        <v>56</v>
      </c>
      <c r="AK35" s="20" t="s">
        <v>67</v>
      </c>
      <c r="AL35" s="20" t="s">
        <v>57</v>
      </c>
      <c r="AM35" s="20"/>
      <c r="AN35" s="19"/>
      <c r="AO35" s="8"/>
      <c r="AP35" s="8"/>
      <c r="AQ35" s="8">
        <v>46128</v>
      </c>
      <c r="AR35" s="6"/>
    </row>
    <row r="36" spans="1:44" ht="21" hidden="1" customHeight="1" x14ac:dyDescent="0.35">
      <c r="A36" s="3">
        <f t="shared" si="3"/>
        <v>34</v>
      </c>
      <c r="B36" s="3" t="s">
        <v>89</v>
      </c>
      <c r="C36" s="3" t="s">
        <v>45</v>
      </c>
      <c r="D36" s="6" t="s">
        <v>46</v>
      </c>
      <c r="E36" s="6" t="s">
        <v>174</v>
      </c>
      <c r="F36" s="6" t="s">
        <v>175</v>
      </c>
      <c r="G36" s="6" t="s">
        <v>176</v>
      </c>
      <c r="H36" s="6" t="s">
        <v>112</v>
      </c>
      <c r="I36" s="6" t="s">
        <v>112</v>
      </c>
      <c r="J36" s="6" t="s">
        <v>51</v>
      </c>
      <c r="K36" s="6" t="s">
        <v>52</v>
      </c>
      <c r="L36" s="3"/>
      <c r="M36" s="3">
        <v>20</v>
      </c>
      <c r="N36" s="86">
        <v>94962.66</v>
      </c>
      <c r="O36" s="17"/>
      <c r="P36" s="86">
        <f t="shared" si="1"/>
        <v>94962.66</v>
      </c>
      <c r="Q36" s="8" t="s">
        <v>171</v>
      </c>
      <c r="R36" s="15" t="s">
        <v>64</v>
      </c>
      <c r="S36" s="8">
        <v>45961</v>
      </c>
      <c r="T36" s="11" t="s">
        <v>53</v>
      </c>
      <c r="U36" s="8">
        <v>46306</v>
      </c>
      <c r="V36" s="11"/>
      <c r="W36" s="8"/>
      <c r="X36" s="8" t="e">
        <f>VLOOKUP(W36,'2026 Calendar'!A:E,4,0)</f>
        <v>#N/A</v>
      </c>
      <c r="Y36" s="33" t="e">
        <f>VLOOKUP(W36,'2026 Calendar'!A:B,2,0)</f>
        <v>#N/A</v>
      </c>
      <c r="Z36" s="33">
        <v>46199</v>
      </c>
      <c r="AA36" s="33" t="s">
        <v>91</v>
      </c>
      <c r="AB36" s="35"/>
      <c r="AC36" s="33" t="e">
        <f>VLOOKUP(#REF!,'2026 Calendar'!A:E,4,0)</f>
        <v>#REF!</v>
      </c>
      <c r="AD36" s="33" t="e">
        <f>VLOOKUP(#REF!,'2026 Calendar'!A:B,2,0)</f>
        <v>#REF!</v>
      </c>
      <c r="AE36" s="8"/>
      <c r="AF36" s="6" t="s">
        <v>72</v>
      </c>
      <c r="AG36" s="6" t="s">
        <v>72</v>
      </c>
      <c r="AH36" s="6" t="s">
        <v>67</v>
      </c>
      <c r="AI36" s="6" t="s">
        <v>72</v>
      </c>
      <c r="AJ36" s="7" t="s">
        <v>67</v>
      </c>
      <c r="AK36" s="20" t="s">
        <v>67</v>
      </c>
      <c r="AL36" s="20" t="s">
        <v>67</v>
      </c>
      <c r="AM36" s="20" t="s">
        <v>177</v>
      </c>
      <c r="AN36" s="8" t="s">
        <v>178</v>
      </c>
      <c r="AO36" s="8"/>
      <c r="AP36" s="8"/>
      <c r="AQ36" s="8">
        <v>46199</v>
      </c>
      <c r="AR36" s="6"/>
    </row>
    <row r="37" spans="1:44" ht="21" hidden="1" customHeight="1" x14ac:dyDescent="0.35">
      <c r="A37" s="3">
        <f t="shared" si="3"/>
        <v>35</v>
      </c>
      <c r="B37" s="3" t="s">
        <v>44</v>
      </c>
      <c r="C37" s="3" t="s">
        <v>45</v>
      </c>
      <c r="D37" s="6" t="s">
        <v>46</v>
      </c>
      <c r="E37" s="28" t="s">
        <v>179</v>
      </c>
      <c r="F37" s="28" t="s">
        <v>180</v>
      </c>
      <c r="G37" s="6" t="s">
        <v>181</v>
      </c>
      <c r="H37" s="6" t="s">
        <v>112</v>
      </c>
      <c r="I37" s="6" t="s">
        <v>112</v>
      </c>
      <c r="J37" s="6" t="s">
        <v>182</v>
      </c>
      <c r="K37" s="6" t="s">
        <v>52</v>
      </c>
      <c r="L37" s="3"/>
      <c r="M37" s="3">
        <v>7</v>
      </c>
      <c r="N37" s="86">
        <v>12312</v>
      </c>
      <c r="O37" s="15">
        <v>2308.5</v>
      </c>
      <c r="P37" s="86">
        <f t="shared" si="1"/>
        <v>10003.5</v>
      </c>
      <c r="Q37" s="11"/>
      <c r="R37" s="15" t="s">
        <v>64</v>
      </c>
      <c r="S37" s="11">
        <v>46029</v>
      </c>
      <c r="T37" s="8" t="s">
        <v>64</v>
      </c>
      <c r="U37" s="11"/>
      <c r="V37" s="11">
        <v>46164</v>
      </c>
      <c r="W37" s="11"/>
      <c r="X37" s="8" t="e">
        <f>VLOOKUP(W37,'2026 Calendar'!A:E,4,0)</f>
        <v>#N/A</v>
      </c>
      <c r="Y37" s="33" t="e">
        <f>VLOOKUP(W37,'2026 Calendar'!A:B,2,0)</f>
        <v>#N/A</v>
      </c>
      <c r="Z37" s="35"/>
      <c r="AA37" s="35"/>
      <c r="AB37" s="35"/>
      <c r="AC37" s="33" t="e">
        <f>VLOOKUP(AB37,'2026 Calendar'!A:E,4,0)</f>
        <v>#N/A</v>
      </c>
      <c r="AD37" s="33" t="e">
        <f>VLOOKUP(AB37,'2026 Calendar'!A:B,2,0)</f>
        <v>#N/A</v>
      </c>
      <c r="AE37" s="11"/>
      <c r="AF37" s="6" t="s">
        <v>56</v>
      </c>
      <c r="AG37" s="6" t="s">
        <v>56</v>
      </c>
      <c r="AH37" s="6" t="s">
        <v>56</v>
      </c>
      <c r="AI37" s="6" t="s">
        <v>67</v>
      </c>
      <c r="AJ37" s="7" t="s">
        <v>67</v>
      </c>
      <c r="AK37" s="20" t="s">
        <v>68</v>
      </c>
      <c r="AL37" s="20" t="s">
        <v>67</v>
      </c>
      <c r="AM37" s="20" t="s">
        <v>183</v>
      </c>
      <c r="AN37" s="19"/>
      <c r="AO37" s="11"/>
      <c r="AP37" s="11"/>
      <c r="AQ37" s="8">
        <v>46059</v>
      </c>
      <c r="AR37" s="14"/>
    </row>
    <row r="38" spans="1:44" ht="21" hidden="1" customHeight="1" x14ac:dyDescent="0.35">
      <c r="A38" s="3">
        <f t="shared" si="3"/>
        <v>36</v>
      </c>
      <c r="B38" s="3"/>
      <c r="C38" s="3" t="s">
        <v>45</v>
      </c>
      <c r="D38" s="6" t="s">
        <v>59</v>
      </c>
      <c r="E38" s="6" t="s">
        <v>60</v>
      </c>
      <c r="F38" s="6" t="s">
        <v>61</v>
      </c>
      <c r="G38" s="6" t="s">
        <v>184</v>
      </c>
      <c r="H38" s="6" t="s">
        <v>164</v>
      </c>
      <c r="I38" s="6" t="s">
        <v>164</v>
      </c>
      <c r="J38" s="6" t="s">
        <v>51</v>
      </c>
      <c r="K38" s="6" t="s">
        <v>52</v>
      </c>
      <c r="L38" s="3"/>
      <c r="M38" s="3"/>
      <c r="N38" s="86">
        <v>731096.8</v>
      </c>
      <c r="O38" s="15"/>
      <c r="P38" s="86">
        <f t="shared" si="1"/>
        <v>731096.8</v>
      </c>
      <c r="Q38" s="17" t="s">
        <v>65</v>
      </c>
      <c r="R38" s="15"/>
      <c r="S38" s="8" t="s">
        <v>73</v>
      </c>
      <c r="T38" s="8" t="s">
        <v>64</v>
      </c>
      <c r="U38" s="8"/>
      <c r="V38" s="11"/>
      <c r="W38" s="8"/>
      <c r="X38" s="8" t="e">
        <f>VLOOKUP(W38,'2026 Calendar'!A:E,4,0)</f>
        <v>#N/A</v>
      </c>
      <c r="Y38" s="33" t="e">
        <f>VLOOKUP(W38,'2026 Calendar'!A:B,2,0)</f>
        <v>#N/A</v>
      </c>
      <c r="Z38" s="33"/>
      <c r="AA38" s="33"/>
      <c r="AB38" s="33"/>
      <c r="AC38" s="33" t="e">
        <f>VLOOKUP(AB38,'2026 Calendar'!A:E,4,0)</f>
        <v>#N/A</v>
      </c>
      <c r="AD38" s="33" t="e">
        <f>VLOOKUP(AB38,'2026 Calendar'!A:B,2,0)</f>
        <v>#N/A</v>
      </c>
      <c r="AE38" s="8"/>
      <c r="AF38" s="6"/>
      <c r="AG38" s="6"/>
      <c r="AH38" s="6"/>
      <c r="AI38" s="6"/>
      <c r="AJ38" s="6"/>
      <c r="AK38" s="72"/>
      <c r="AL38" s="73"/>
      <c r="AM38" s="74"/>
      <c r="AN38" s="19"/>
      <c r="AO38" s="8"/>
      <c r="AP38" s="8"/>
      <c r="AQ38" s="8" t="s">
        <v>73</v>
      </c>
      <c r="AR38" s="6"/>
    </row>
    <row r="39" spans="1:44" ht="21" hidden="1" customHeight="1" x14ac:dyDescent="0.35">
      <c r="A39" s="3">
        <f t="shared" si="3"/>
        <v>37</v>
      </c>
      <c r="B39" s="3" t="s">
        <v>44</v>
      </c>
      <c r="C39" s="3" t="s">
        <v>137</v>
      </c>
      <c r="D39" s="6" t="s">
        <v>59</v>
      </c>
      <c r="E39" s="20" t="s">
        <v>60</v>
      </c>
      <c r="F39" s="20" t="s">
        <v>61</v>
      </c>
      <c r="G39" s="6" t="s">
        <v>184</v>
      </c>
      <c r="H39" s="6" t="s">
        <v>164</v>
      </c>
      <c r="I39" s="6" t="s">
        <v>164</v>
      </c>
      <c r="J39" s="6" t="s">
        <v>51</v>
      </c>
      <c r="K39" s="6" t="s">
        <v>76</v>
      </c>
      <c r="L39" s="3" t="s">
        <v>53</v>
      </c>
      <c r="M39" s="3">
        <v>15</v>
      </c>
      <c r="N39" s="86">
        <v>28773.56</v>
      </c>
      <c r="O39" s="15">
        <v>28773.56</v>
      </c>
      <c r="P39" s="86">
        <f t="shared" si="1"/>
        <v>0</v>
      </c>
      <c r="Q39" s="17" t="s">
        <v>65</v>
      </c>
      <c r="R39" s="15"/>
      <c r="S39" s="8">
        <v>45890</v>
      </c>
      <c r="T39" s="8"/>
      <c r="U39" s="8"/>
      <c r="V39" s="11"/>
      <c r="W39" s="8"/>
      <c r="X39" s="8" t="e">
        <f>VLOOKUP(W39,'2026 Calendar'!A:E,4,0)</f>
        <v>#N/A</v>
      </c>
      <c r="Y39" s="33" t="e">
        <f>VLOOKUP(W39,'2026 Calendar'!A:B,2,0)</f>
        <v>#N/A</v>
      </c>
      <c r="Z39" s="33"/>
      <c r="AA39" s="33"/>
      <c r="AB39" s="33"/>
      <c r="AC39" s="33" t="e">
        <f>VLOOKUP(AB39,'2026 Calendar'!A:E,4,0)</f>
        <v>#N/A</v>
      </c>
      <c r="AD39" s="33" t="e">
        <f>VLOOKUP(AB39,'2026 Calendar'!A:B,2,0)</f>
        <v>#N/A</v>
      </c>
      <c r="AE39" s="8"/>
      <c r="AF39" s="6" t="s">
        <v>56</v>
      </c>
      <c r="AG39" s="6" t="s">
        <v>56</v>
      </c>
      <c r="AH39" s="6" t="s">
        <v>56</v>
      </c>
      <c r="AI39" s="6" t="s">
        <v>56</v>
      </c>
      <c r="AJ39" s="6" t="s">
        <v>56</v>
      </c>
      <c r="AK39" s="6" t="s">
        <v>56</v>
      </c>
      <c r="AL39" s="7" t="s">
        <v>57</v>
      </c>
      <c r="AM39" s="19" t="s">
        <v>185</v>
      </c>
      <c r="AN39" s="19"/>
      <c r="AO39" s="8"/>
      <c r="AP39" s="8"/>
      <c r="AQ39" s="8">
        <v>46087</v>
      </c>
      <c r="AR39" s="6"/>
    </row>
    <row r="40" spans="1:44" ht="21" hidden="1" customHeight="1" x14ac:dyDescent="0.35">
      <c r="A40" s="22">
        <f t="shared" si="3"/>
        <v>38</v>
      </c>
      <c r="B40" s="22" t="s">
        <v>80</v>
      </c>
      <c r="C40" s="3" t="s">
        <v>133</v>
      </c>
      <c r="D40" s="6" t="s">
        <v>46</v>
      </c>
      <c r="E40" s="23" t="s">
        <v>81</v>
      </c>
      <c r="F40" s="23" t="s">
        <v>82</v>
      </c>
      <c r="G40" s="23" t="s">
        <v>186</v>
      </c>
      <c r="H40" s="23" t="s">
        <v>71</v>
      </c>
      <c r="I40" s="23" t="s">
        <v>71</v>
      </c>
      <c r="J40" s="23" t="s">
        <v>51</v>
      </c>
      <c r="K40" s="23" t="s">
        <v>135</v>
      </c>
      <c r="L40" s="22"/>
      <c r="M40" s="22">
        <v>1</v>
      </c>
      <c r="N40" s="87">
        <v>3396.6</v>
      </c>
      <c r="O40" s="24"/>
      <c r="P40" s="86">
        <f t="shared" si="1"/>
        <v>3396.6</v>
      </c>
      <c r="Q40" s="25"/>
      <c r="R40" s="24" t="s">
        <v>53</v>
      </c>
      <c r="S40" s="25">
        <v>45846</v>
      </c>
      <c r="T40" s="25"/>
      <c r="U40" s="25"/>
      <c r="V40" s="94"/>
      <c r="W40" s="25"/>
      <c r="X40" s="8" t="e">
        <f>VLOOKUP(W40,'2026 Calendar'!A:E,4,0)</f>
        <v>#N/A</v>
      </c>
      <c r="Y40" s="33" t="e">
        <f>VLOOKUP(W40,'2026 Calendar'!A:B,2,0)</f>
        <v>#N/A</v>
      </c>
      <c r="Z40" s="36"/>
      <c r="AA40" s="36"/>
      <c r="AB40" s="36"/>
      <c r="AC40" s="33" t="e">
        <f>VLOOKUP(AB40,'2026 Calendar'!A:E,4,0)</f>
        <v>#N/A</v>
      </c>
      <c r="AD40" s="33" t="e">
        <f>VLOOKUP(AB40,'2026 Calendar'!A:B,2,0)</f>
        <v>#N/A</v>
      </c>
      <c r="AE40" s="25"/>
      <c r="AF40" s="23" t="s">
        <v>56</v>
      </c>
      <c r="AG40" s="23" t="s">
        <v>56</v>
      </c>
      <c r="AH40" s="23" t="s">
        <v>67</v>
      </c>
      <c r="AI40" s="23" t="s">
        <v>67</v>
      </c>
      <c r="AJ40" s="23" t="s">
        <v>67</v>
      </c>
      <c r="AK40" s="23" t="s">
        <v>67</v>
      </c>
      <c r="AL40" s="26" t="s">
        <v>57</v>
      </c>
      <c r="AM40" s="31" t="s">
        <v>187</v>
      </c>
      <c r="AN40" s="31"/>
      <c r="AO40" s="25"/>
      <c r="AP40" s="25"/>
      <c r="AQ40" s="25">
        <v>45666</v>
      </c>
      <c r="AR40" s="23"/>
    </row>
    <row r="41" spans="1:44" ht="21" hidden="1" customHeight="1" x14ac:dyDescent="0.35">
      <c r="A41" s="22">
        <f t="shared" si="3"/>
        <v>39</v>
      </c>
      <c r="B41" s="3" t="s">
        <v>89</v>
      </c>
      <c r="C41" s="3" t="s">
        <v>45</v>
      </c>
      <c r="D41" s="23" t="s">
        <v>46</v>
      </c>
      <c r="E41" s="23" t="s">
        <v>97</v>
      </c>
      <c r="F41" s="23" t="s">
        <v>98</v>
      </c>
      <c r="G41" s="23" t="s">
        <v>188</v>
      </c>
      <c r="H41" s="23" t="s">
        <v>164</v>
      </c>
      <c r="I41" s="23" t="s">
        <v>164</v>
      </c>
      <c r="J41" s="23" t="s">
        <v>51</v>
      </c>
      <c r="K41" s="23" t="s">
        <v>76</v>
      </c>
      <c r="L41" s="22" t="s">
        <v>53</v>
      </c>
      <c r="M41" s="22">
        <v>12</v>
      </c>
      <c r="N41" s="87">
        <v>15271.3</v>
      </c>
      <c r="O41" s="24"/>
      <c r="P41" s="86">
        <f t="shared" si="1"/>
        <v>15271.3</v>
      </c>
      <c r="Q41" s="25"/>
      <c r="R41" s="24" t="s">
        <v>53</v>
      </c>
      <c r="S41" s="25">
        <v>45958</v>
      </c>
      <c r="T41" s="25"/>
      <c r="U41" s="25">
        <v>46338</v>
      </c>
      <c r="V41" s="94">
        <v>46343</v>
      </c>
      <c r="W41" s="25"/>
      <c r="X41" s="25" t="e">
        <f>VLOOKUP(W41,'2026 Calendar'!A:E,4,0)</f>
        <v>#N/A</v>
      </c>
      <c r="Y41" s="36" t="e">
        <f>VLOOKUP(W41,'2026 Calendar'!A:B,2,0)</f>
        <v>#N/A</v>
      </c>
      <c r="Z41" s="36"/>
      <c r="AA41" s="36"/>
      <c r="AB41" s="36"/>
      <c r="AC41" s="36" t="e">
        <f>VLOOKUP(AB41,'2026 Calendar'!A:E,4,0)</f>
        <v>#N/A</v>
      </c>
      <c r="AD41" s="36" t="e">
        <f>VLOOKUP(AB41,'2026 Calendar'!A:B,2,0)</f>
        <v>#N/A</v>
      </c>
      <c r="AE41" s="25"/>
      <c r="AF41" s="23" t="s">
        <v>56</v>
      </c>
      <c r="AG41" s="23" t="s">
        <v>56</v>
      </c>
      <c r="AH41" s="23" t="s">
        <v>56</v>
      </c>
      <c r="AI41" s="23" t="s">
        <v>56</v>
      </c>
      <c r="AJ41" s="23" t="s">
        <v>56</v>
      </c>
      <c r="AK41" s="23" t="s">
        <v>68</v>
      </c>
      <c r="AL41" s="23" t="s">
        <v>57</v>
      </c>
      <c r="AM41" s="23" t="s">
        <v>189</v>
      </c>
      <c r="AN41" s="23"/>
      <c r="AO41" s="8"/>
      <c r="AP41" s="8"/>
      <c r="AQ41" s="8">
        <v>46108</v>
      </c>
      <c r="AR41" s="6"/>
    </row>
    <row r="42" spans="1:44" ht="22.5" hidden="1" customHeight="1" x14ac:dyDescent="0.35">
      <c r="A42" s="76">
        <v>40</v>
      </c>
      <c r="B42" s="75"/>
      <c r="C42" s="3" t="s">
        <v>45</v>
      </c>
      <c r="D42" s="77" t="s">
        <v>46</v>
      </c>
      <c r="E42" s="78" t="s">
        <v>190</v>
      </c>
      <c r="F42" s="23" t="s">
        <v>162</v>
      </c>
      <c r="G42" s="77" t="s">
        <v>191</v>
      </c>
      <c r="H42" s="23" t="s">
        <v>112</v>
      </c>
      <c r="I42" s="23" t="s">
        <v>112</v>
      </c>
      <c r="J42" s="79" t="s">
        <v>51</v>
      </c>
      <c r="K42" s="77" t="s">
        <v>76</v>
      </c>
      <c r="L42" s="80" t="s">
        <v>53</v>
      </c>
      <c r="M42" s="76">
        <v>5</v>
      </c>
      <c r="N42" s="88">
        <v>6614.04</v>
      </c>
      <c r="O42" s="81"/>
      <c r="P42" s="87">
        <f t="shared" si="1"/>
        <v>6614.04</v>
      </c>
      <c r="Q42" s="25" t="s">
        <v>171</v>
      </c>
      <c r="R42" s="15" t="s">
        <v>64</v>
      </c>
      <c r="S42" s="82">
        <v>46072</v>
      </c>
      <c r="T42" s="83" t="s">
        <v>53</v>
      </c>
      <c r="U42" s="82">
        <v>46070</v>
      </c>
      <c r="V42" s="83">
        <v>46164</v>
      </c>
      <c r="W42" s="82"/>
      <c r="X42" s="82"/>
      <c r="Y42" s="84"/>
      <c r="Z42" s="84"/>
      <c r="AA42" s="84"/>
      <c r="AB42" s="84"/>
      <c r="AC42" s="84"/>
      <c r="AD42" s="84"/>
      <c r="AE42" s="82"/>
      <c r="AF42" s="77" t="s">
        <v>114</v>
      </c>
      <c r="AG42" s="77" t="s">
        <v>115</v>
      </c>
      <c r="AH42" s="77" t="s">
        <v>115</v>
      </c>
      <c r="AI42" s="77" t="s">
        <v>78</v>
      </c>
      <c r="AJ42" s="79" t="s">
        <v>115</v>
      </c>
      <c r="AK42" s="77" t="s">
        <v>68</v>
      </c>
      <c r="AL42" s="77" t="s">
        <v>67</v>
      </c>
      <c r="AM42" s="77"/>
      <c r="AO42" s="68"/>
      <c r="AP42" s="25"/>
      <c r="AQ42" s="25">
        <v>46171</v>
      </c>
      <c r="AR42" s="23"/>
    </row>
    <row r="43" spans="1:44" ht="15" hidden="1" customHeight="1" x14ac:dyDescent="0.35">
      <c r="A43" s="76">
        <v>41</v>
      </c>
      <c r="B43" s="3"/>
      <c r="C43" s="3" t="s">
        <v>45</v>
      </c>
      <c r="D43" s="6" t="s">
        <v>59</v>
      </c>
      <c r="E43" s="6" t="s">
        <v>60</v>
      </c>
      <c r="F43" s="6" t="s">
        <v>61</v>
      </c>
      <c r="G43" s="16" t="s">
        <v>192</v>
      </c>
      <c r="H43" s="6" t="s">
        <v>95</v>
      </c>
      <c r="I43" s="6" t="s">
        <v>95</v>
      </c>
      <c r="J43" s="79" t="s">
        <v>51</v>
      </c>
      <c r="K43" s="6" t="s">
        <v>52</v>
      </c>
      <c r="L43" s="6"/>
      <c r="M43" s="3">
        <v>1</v>
      </c>
      <c r="N43" s="86">
        <v>1672</v>
      </c>
      <c r="O43" s="6"/>
      <c r="P43" s="86">
        <f t="shared" si="1"/>
        <v>1672</v>
      </c>
      <c r="Q43" s="6"/>
      <c r="R43" s="6"/>
      <c r="S43" s="6"/>
      <c r="T43" s="104" t="s">
        <v>53</v>
      </c>
      <c r="U43" s="8">
        <v>46079</v>
      </c>
      <c r="V43" s="11"/>
      <c r="W43" s="6"/>
      <c r="X43" s="6"/>
      <c r="Y43" s="85"/>
      <c r="Z43" s="90">
        <v>46120</v>
      </c>
      <c r="AA43" s="16"/>
      <c r="AB43" s="16" t="s">
        <v>193</v>
      </c>
      <c r="AC43" s="90">
        <v>46137</v>
      </c>
      <c r="AD43" s="16" t="s">
        <v>54</v>
      </c>
      <c r="AE43" s="8" t="s">
        <v>110</v>
      </c>
      <c r="AF43" s="23" t="s">
        <v>56</v>
      </c>
      <c r="AG43" s="23" t="s">
        <v>56</v>
      </c>
      <c r="AH43" s="23" t="s">
        <v>67</v>
      </c>
      <c r="AI43" s="23" t="s">
        <v>67</v>
      </c>
      <c r="AJ43" s="23" t="s">
        <v>67</v>
      </c>
      <c r="AK43" s="23" t="s">
        <v>67</v>
      </c>
      <c r="AL43" s="23" t="s">
        <v>57</v>
      </c>
      <c r="AM43" s="6"/>
      <c r="AN43" s="6"/>
      <c r="AO43" s="6"/>
      <c r="AP43" s="6"/>
      <c r="AQ43" s="6"/>
      <c r="AR43" s="6"/>
    </row>
    <row r="44" spans="1:44" ht="15" hidden="1" customHeight="1" x14ac:dyDescent="0.35">
      <c r="A44" s="76">
        <v>42</v>
      </c>
      <c r="B44" s="3"/>
      <c r="C44" s="3" t="s">
        <v>45</v>
      </c>
      <c r="D44" s="6" t="s">
        <v>59</v>
      </c>
      <c r="E44" s="6" t="s">
        <v>60</v>
      </c>
      <c r="F44" s="6" t="s">
        <v>61</v>
      </c>
      <c r="G44" s="6" t="s">
        <v>194</v>
      </c>
      <c r="H44" s="6" t="s">
        <v>95</v>
      </c>
      <c r="I44" s="6" t="s">
        <v>95</v>
      </c>
      <c r="J44" s="79" t="s">
        <v>51</v>
      </c>
      <c r="K44" s="6" t="s">
        <v>52</v>
      </c>
      <c r="L44" s="6"/>
      <c r="M44" s="3">
        <v>14</v>
      </c>
      <c r="N44" s="86">
        <v>223691.34</v>
      </c>
      <c r="O44" s="6"/>
      <c r="P44" s="86">
        <v>223691.34</v>
      </c>
      <c r="Q44" s="6"/>
      <c r="R44" s="6"/>
      <c r="S44" s="8">
        <v>46056</v>
      </c>
      <c r="T44" s="14" t="s">
        <v>64</v>
      </c>
      <c r="U44" s="8"/>
      <c r="V44" s="11"/>
      <c r="W44" s="6"/>
      <c r="X44" s="6"/>
      <c r="Y44" s="85"/>
      <c r="Z44" s="16"/>
      <c r="AA44" s="16"/>
      <c r="AB44" s="16"/>
      <c r="AC44" s="16"/>
      <c r="AD44" s="16"/>
      <c r="AE44" s="16"/>
      <c r="AF44" s="6" t="s">
        <v>114</v>
      </c>
      <c r="AG44" s="6" t="s">
        <v>72</v>
      </c>
      <c r="AH44" s="23" t="s">
        <v>67</v>
      </c>
      <c r="AI44" s="6" t="s">
        <v>72</v>
      </c>
      <c r="AJ44" s="23" t="s">
        <v>67</v>
      </c>
      <c r="AK44" s="23" t="s">
        <v>67</v>
      </c>
      <c r="AL44" s="23" t="s">
        <v>57</v>
      </c>
      <c r="AM44" s="6"/>
      <c r="AN44" s="6"/>
      <c r="AO44" s="6"/>
      <c r="AP44" s="6"/>
      <c r="AQ44" s="6"/>
      <c r="AR44" s="6"/>
    </row>
    <row r="45" spans="1:44" ht="15" hidden="1" customHeight="1" x14ac:dyDescent="0.35">
      <c r="A45" s="76">
        <v>43</v>
      </c>
      <c r="B45" s="3" t="s">
        <v>89</v>
      </c>
      <c r="C45" s="3" t="s">
        <v>45</v>
      </c>
      <c r="D45" s="6" t="s">
        <v>46</v>
      </c>
      <c r="E45" s="6" t="s">
        <v>195</v>
      </c>
      <c r="F45" s="6" t="s">
        <v>196</v>
      </c>
      <c r="G45" s="6" t="s">
        <v>197</v>
      </c>
      <c r="H45" s="6" t="s">
        <v>95</v>
      </c>
      <c r="I45" s="6" t="s">
        <v>95</v>
      </c>
      <c r="J45" s="6" t="s">
        <v>198</v>
      </c>
      <c r="K45" s="6" t="s">
        <v>52</v>
      </c>
      <c r="L45" s="3" t="s">
        <v>53</v>
      </c>
      <c r="M45" s="3">
        <v>4</v>
      </c>
      <c r="N45" s="86">
        <v>1024479.5</v>
      </c>
      <c r="O45" s="6"/>
      <c r="P45" s="86">
        <v>1024479.5</v>
      </c>
      <c r="Q45" s="25" t="s">
        <v>171</v>
      </c>
      <c r="R45" s="15" t="s">
        <v>64</v>
      </c>
      <c r="S45" s="82">
        <v>46084</v>
      </c>
      <c r="T45" s="104" t="s">
        <v>53</v>
      </c>
      <c r="U45" s="8">
        <v>46090</v>
      </c>
      <c r="V45" s="11">
        <v>46122</v>
      </c>
      <c r="W45" s="6"/>
      <c r="X45" s="85"/>
      <c r="Y45" s="85"/>
      <c r="Z45" s="16"/>
      <c r="AA45" s="16"/>
      <c r="AB45" s="16"/>
      <c r="AC45" s="16"/>
      <c r="AD45" s="16"/>
      <c r="AE45" s="16"/>
      <c r="AF45" s="6" t="s">
        <v>114</v>
      </c>
      <c r="AG45" s="6" t="s">
        <v>72</v>
      </c>
      <c r="AH45" s="6" t="s">
        <v>67</v>
      </c>
      <c r="AI45" s="6" t="s">
        <v>72</v>
      </c>
      <c r="AJ45" s="6" t="s">
        <v>67</v>
      </c>
      <c r="AK45" s="6" t="s">
        <v>67</v>
      </c>
      <c r="AL45" s="6" t="s">
        <v>57</v>
      </c>
      <c r="AM45" s="6"/>
      <c r="AN45" s="6" t="s">
        <v>199</v>
      </c>
      <c r="AO45" s="6"/>
      <c r="AP45" s="6"/>
      <c r="AQ45" s="6"/>
      <c r="AR45" s="1"/>
    </row>
    <row r="46" spans="1:44" ht="15" hidden="1" customHeight="1" x14ac:dyDescent="0.35">
      <c r="A46" s="76">
        <v>44</v>
      </c>
      <c r="B46" s="22"/>
      <c r="C46" s="22" t="s">
        <v>45</v>
      </c>
      <c r="D46" s="23" t="s">
        <v>59</v>
      </c>
      <c r="E46" s="23" t="s">
        <v>60</v>
      </c>
      <c r="F46" s="23" t="s">
        <v>61</v>
      </c>
      <c r="G46" s="23" t="s">
        <v>200</v>
      </c>
      <c r="H46" s="23" t="s">
        <v>164</v>
      </c>
      <c r="I46" s="23"/>
      <c r="J46" s="23" t="s">
        <v>51</v>
      </c>
      <c r="K46" s="23" t="s">
        <v>201</v>
      </c>
      <c r="L46" s="23"/>
      <c r="M46" s="22">
        <v>18</v>
      </c>
      <c r="N46" s="87">
        <v>160909.76999999999</v>
      </c>
      <c r="O46" s="23"/>
      <c r="P46" s="87">
        <v>160909.76999999999</v>
      </c>
      <c r="Q46" s="25"/>
      <c r="R46" s="24"/>
      <c r="S46" s="82">
        <v>46091</v>
      </c>
      <c r="T46" s="25" t="s">
        <v>64</v>
      </c>
      <c r="U46" s="25"/>
      <c r="V46" s="94"/>
      <c r="W46" s="23"/>
      <c r="X46" s="102"/>
      <c r="Y46" s="102"/>
      <c r="Z46" s="102"/>
      <c r="AA46" s="102"/>
      <c r="AB46" s="102"/>
      <c r="AC46" s="102"/>
      <c r="AD46" s="23"/>
      <c r="AE46" s="23"/>
      <c r="AF46" s="23" t="s">
        <v>114</v>
      </c>
      <c r="AG46" s="23" t="s">
        <v>72</v>
      </c>
      <c r="AH46" s="23" t="s">
        <v>72</v>
      </c>
      <c r="AI46" s="23" t="s">
        <v>67</v>
      </c>
      <c r="AJ46" s="23" t="s">
        <v>67</v>
      </c>
      <c r="AK46" s="23" t="s">
        <v>67</v>
      </c>
      <c r="AL46" s="23" t="s">
        <v>57</v>
      </c>
      <c r="AM46" s="23"/>
      <c r="AN46" s="23"/>
      <c r="AO46" s="23"/>
      <c r="AP46" s="23"/>
      <c r="AQ46" s="23"/>
      <c r="AR46" s="103"/>
    </row>
    <row r="47" spans="1:44" ht="15" hidden="1" customHeight="1" x14ac:dyDescent="0.35">
      <c r="A47" s="101">
        <v>45</v>
      </c>
      <c r="B47" s="97"/>
      <c r="C47" s="100" t="s">
        <v>45</v>
      </c>
      <c r="D47" s="6" t="s">
        <v>46</v>
      </c>
      <c r="E47" s="2" t="s">
        <v>202</v>
      </c>
      <c r="F47" s="97" t="s">
        <v>203</v>
      </c>
      <c r="G47" s="97" t="s">
        <v>204</v>
      </c>
      <c r="H47" s="97" t="s">
        <v>63</v>
      </c>
      <c r="I47" s="97" t="s">
        <v>63</v>
      </c>
      <c r="J47" s="97" t="s">
        <v>51</v>
      </c>
      <c r="K47" s="20" t="s">
        <v>76</v>
      </c>
      <c r="L47" s="97" t="s">
        <v>53</v>
      </c>
      <c r="M47" s="98">
        <v>4</v>
      </c>
      <c r="N47" s="99">
        <v>3273.84</v>
      </c>
      <c r="O47" s="97"/>
      <c r="P47" s="97"/>
      <c r="Q47" s="97" t="s">
        <v>171</v>
      </c>
      <c r="R47" s="100" t="s">
        <v>64</v>
      </c>
      <c r="S47" s="97">
        <v>46093</v>
      </c>
      <c r="T47" s="97" t="s">
        <v>64</v>
      </c>
      <c r="U47" s="97"/>
      <c r="V47" s="97">
        <v>46142</v>
      </c>
      <c r="W47" s="97"/>
      <c r="X47" s="97"/>
      <c r="Y47" s="97"/>
      <c r="Z47" s="97"/>
      <c r="AA47" s="97"/>
      <c r="AB47" s="97"/>
      <c r="AC47" s="97"/>
      <c r="AD47" s="97"/>
      <c r="AE47" s="97"/>
      <c r="AF47" s="97" t="s">
        <v>114</v>
      </c>
      <c r="AG47" s="97" t="s">
        <v>115</v>
      </c>
      <c r="AH47" s="97" t="s">
        <v>67</v>
      </c>
      <c r="AI47" s="97" t="s">
        <v>115</v>
      </c>
      <c r="AJ47" s="97" t="s">
        <v>115</v>
      </c>
      <c r="AK47" s="97"/>
      <c r="AL47" s="97" t="s">
        <v>67</v>
      </c>
      <c r="AM47" s="97"/>
      <c r="AN47" s="97"/>
      <c r="AO47" s="97"/>
      <c r="AP47" s="97"/>
      <c r="AQ47" s="97"/>
      <c r="AR47" s="97"/>
    </row>
    <row r="48" spans="1:44" ht="15" hidden="1" customHeight="1" x14ac:dyDescent="0.35">
      <c r="G48" s="2" t="s">
        <v>205</v>
      </c>
    </row>
  </sheetData>
  <autoFilter ref="A2:AT48" xr:uid="{B4941822-7627-4BB5-94E9-05406A6829AD}">
    <filterColumn colId="6">
      <filters>
        <filter val="SNAKE RIVER LODGE BLUEFLAG"/>
      </filters>
    </filterColumn>
    <filterColumn colId="7">
      <filters>
        <filter val="TÚ ANH"/>
      </filters>
    </filterColumn>
  </autoFilter>
  <sortState xmlns:xlrd2="http://schemas.microsoft.com/office/spreadsheetml/2017/richdata2" ref="A3:AM42">
    <sortCondition descending="1" ref="N3:N42"/>
    <sortCondition descending="1" ref="G3:G42"/>
  </sortState>
  <conditionalFormatting sqref="B9:E9">
    <cfRule type="containsText" dxfId="122" priority="4" operator="containsText" text="Grey">
      <formula>NOT(ISERROR(SEARCH("Grey",B9)))</formula>
    </cfRule>
  </conditionalFormatting>
  <conditionalFormatting sqref="B12:E12">
    <cfRule type="containsText" dxfId="121" priority="2" operator="containsText" text="Grey">
      <formula>NOT(ISERROR(SEARCH("Grey",B12)))</formula>
    </cfRule>
  </conditionalFormatting>
  <conditionalFormatting sqref="B14:E14">
    <cfRule type="containsText" dxfId="120" priority="1" operator="containsText" text="Grey">
      <formula>NOT(ISERROR(SEARCH("Grey",B14)))</formula>
    </cfRule>
  </conditionalFormatting>
  <dataValidations count="1">
    <dataValidation type="list" allowBlank="1" showInputMessage="1" showErrorMessage="1" sqref="AE45:AF45 AF46:AF1048576 E3:E41 E48:E1048576 E43:E44 D3:D1048576 E46 B3:B1048576 AK26:AK33 AL3:AL22 AK46:AL1048576 AL24:AL45 AK10:AK20 AG3:AK9 AK23:AL23 AF3:AF44 AK35:AK45 AG10:AJ1048576" xr:uid="{D5735325-28A1-4E1D-B956-6D4D16061385}">
      <formula1>#REF!</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F7F10484-3642-403A-BEB8-030BA07D7FEE}">
            <xm:f>NOT(ISERROR(SEARCH(#REF!,B3)))</xm:f>
            <xm:f>#REF!</xm:f>
            <x14:dxf>
              <fill>
                <patternFill>
                  <bgColor rgb="FFFF0000"/>
                </patternFill>
              </fill>
            </x14:dxf>
          </x14:cfRule>
          <xm:sqref>B3:E3 C4:C21 C24:C38 C41:C46</xm:sqref>
        </x14:conditionalFormatting>
        <x14:conditionalFormatting xmlns:xm="http://schemas.microsoft.com/office/excel/2006/main">
          <x14:cfRule type="containsText" priority="11" operator="containsText" id="{6C419593-00FD-4A30-828C-437C20E81973}">
            <xm:f>NOT(ISERROR(SEARCH(#REF!,A3)))</xm:f>
            <xm:f>#REF!</xm:f>
            <x14:dxf>
              <fill>
                <patternFill>
                  <bgColor rgb="FF92D050"/>
                </patternFill>
              </fill>
            </x14:dxf>
          </x14:cfRule>
          <xm:sqref>B3:E40 B41:C46 D41:E41 D42 D43:E44 D45:D47 A47 B48:E1048576</xm:sqref>
        </x14:conditionalFormatting>
        <x14:conditionalFormatting xmlns:xm="http://schemas.microsoft.com/office/excel/2006/main">
          <x14:cfRule type="containsText" priority="6" operator="containsText" id="{23816264-DB38-4A8C-86F2-2EEF89076E99}">
            <xm:f>NOT(ISERROR(SEARCH(#REF!,A3)))</xm:f>
            <xm:f>#REF!</xm:f>
            <x14:dxf>
              <fill>
                <patternFill>
                  <bgColor rgb="FFFF0000"/>
                </patternFill>
              </fill>
            </x14:dxf>
          </x14:cfRule>
          <x14:cfRule type="containsText" priority="7" operator="containsText" id="{241683EA-4C80-4865-BDC1-ADC4D51DCA72}">
            <xm:f>NOT(ISERROR(SEARCH(#REF!,A3)))</xm:f>
            <xm:f>#REF!</xm:f>
            <x14:dxf>
              <fill>
                <patternFill>
                  <bgColor rgb="FFFFFF00"/>
                </patternFill>
              </fill>
            </x14:dxf>
          </x14:cfRule>
          <xm:sqref>B3:E40 D41:E41 B41:C46 D42 D43:E44 D45:D47 A47 B48:E1048576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BACEE55C-5D11-44A6-B2F4-270903D734A2}">
          <x14:formula1>
            <xm:f>'Drop list'!$A:$A</xm:f>
          </x14:formula1>
          <xm:sqref>T1:T1048576 L1:L1048576</xm:sqref>
        </x14:dataValidation>
        <x14:dataValidation type="list" allowBlank="1" showInputMessage="1" showErrorMessage="1" xr:uid="{58385931-8AE6-4A3F-BC2B-758808435CB6}">
          <x14:formula1>
            <xm:f>'Drop list'!$B:$B</xm:f>
          </x14:formula1>
          <xm:sqref>K1:K1048576</xm:sqref>
        </x14:dataValidation>
        <x14:dataValidation type="list" allowBlank="1" showInputMessage="1" showErrorMessage="1" xr:uid="{1B6FB06F-B5A4-487B-BC3B-1AB799149992}">
          <x14:formula1>
            <xm:f>'Drop list'!$C:$C</xm:f>
          </x14:formula1>
          <xm:sqref>C1:C1048576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A70C0-806B-43E7-B3C2-CCCACFDF6712}">
  <sheetPr>
    <tabColor rgb="FFFFFF00"/>
  </sheetPr>
  <dimension ref="A1:BF219"/>
  <sheetViews>
    <sheetView tabSelected="1" zoomScale="60" zoomScaleNormal="60" workbookViewId="0">
      <pane xSplit="21" ySplit="2" topLeftCell="V3" activePane="bottomRight" state="frozen"/>
      <selection pane="topRight" activeCell="W1" sqref="W1"/>
      <selection pane="bottomLeft" activeCell="A3" sqref="A3"/>
      <selection pane="bottomRight" activeCell="W2" sqref="W2"/>
    </sheetView>
  </sheetViews>
  <sheetFormatPr defaultColWidth="8.90625" defaultRowHeight="14.5" outlineLevelCol="2" x14ac:dyDescent="0.35"/>
  <cols>
    <col min="1" max="1" width="10.453125" style="2" customWidth="1"/>
    <col min="2" max="2" width="12.453125" style="2" customWidth="1"/>
    <col min="3" max="3" width="12.54296875" style="2" customWidth="1"/>
    <col min="4" max="4" width="14.90625" style="2" customWidth="1"/>
    <col min="5" max="5" width="26.453125" style="2" hidden="1" customWidth="1" outlineLevel="1"/>
    <col min="6" max="6" width="13" style="2" hidden="1" customWidth="1" outlineLevel="2"/>
    <col min="7" max="7" width="43.54296875" style="2" hidden="1" customWidth="1" outlineLevel="2"/>
    <col min="8" max="8" width="45.7265625" style="2" customWidth="1" collapsed="1"/>
    <col min="9" max="9" width="10.453125" style="2" customWidth="1"/>
    <col min="10" max="10" width="11.54296875" style="2" customWidth="1"/>
    <col min="11" max="11" width="9.54296875" style="2" customWidth="1"/>
    <col min="12" max="12" width="21.36328125" style="2" customWidth="1"/>
    <col min="13" max="14" width="15" style="2" hidden="1" customWidth="1" outlineLevel="1"/>
    <col min="15" max="15" width="15" style="4" hidden="1" customWidth="1" outlineLevel="1"/>
    <col min="16" max="16" width="12.08984375" style="2" hidden="1" customWidth="1" outlineLevel="1" collapsed="1"/>
    <col min="17" max="17" width="19.08984375" style="2" hidden="1" customWidth="1" outlineLevel="1"/>
    <col min="18" max="18" width="9" style="2" customWidth="1" collapsed="1"/>
    <col min="19" max="19" width="9" style="2" customWidth="1"/>
    <col min="20" max="21" width="9" style="2" hidden="1" customWidth="1" outlineLevel="1"/>
    <col min="22" max="22" width="12.453125" style="276" customWidth="1" collapsed="1"/>
    <col min="23" max="23" width="11.54296875" style="276" customWidth="1"/>
    <col min="24" max="26" width="15.54296875" style="2" customWidth="1"/>
    <col min="27" max="27" width="8.90625" style="2" customWidth="1"/>
    <col min="28" max="29" width="16.08984375" style="2" hidden="1" customWidth="1" outlineLevel="1"/>
    <col min="30" max="30" width="12.54296875" style="277" customWidth="1" collapsed="1"/>
    <col min="31" max="33" width="12.54296875" style="2" customWidth="1"/>
    <col min="34" max="34" width="17.90625" style="2" customWidth="1"/>
    <col min="35" max="54" width="15.54296875" style="2" customWidth="1"/>
    <col min="55" max="55" width="16.08984375" style="2" bestFit="1" customWidth="1"/>
    <col min="56" max="56" width="16.08984375" style="2" customWidth="1"/>
    <col min="57" max="57" width="58.54296875" style="2" customWidth="1"/>
    <col min="58" max="58" width="52.453125" style="2" customWidth="1"/>
    <col min="59" max="16384" width="8.90625" style="2"/>
  </cols>
  <sheetData>
    <row r="1" spans="1:58" x14ac:dyDescent="0.35">
      <c r="A1" s="273" t="s">
        <v>206</v>
      </c>
      <c r="B1" s="274" t="s">
        <v>207</v>
      </c>
      <c r="C1" s="275" t="s">
        <v>208</v>
      </c>
      <c r="D1" s="292"/>
      <c r="H1" s="2" t="s">
        <v>209</v>
      </c>
    </row>
    <row r="2" spans="1:58" s="291" customFormat="1" ht="26" x14ac:dyDescent="0.35">
      <c r="A2" s="286" t="s">
        <v>210</v>
      </c>
      <c r="B2" s="287" t="s">
        <v>211</v>
      </c>
      <c r="C2" s="287" t="s">
        <v>7</v>
      </c>
      <c r="D2" s="293" t="s">
        <v>212</v>
      </c>
      <c r="E2" s="287" t="s">
        <v>213</v>
      </c>
      <c r="F2" s="286" t="s">
        <v>214</v>
      </c>
      <c r="G2" s="288" t="s">
        <v>215</v>
      </c>
      <c r="H2" s="286" t="s">
        <v>216</v>
      </c>
      <c r="I2" s="286" t="s">
        <v>217</v>
      </c>
      <c r="J2" s="287" t="s">
        <v>218</v>
      </c>
      <c r="K2" s="287" t="s">
        <v>219</v>
      </c>
      <c r="L2" s="287" t="s">
        <v>220</v>
      </c>
      <c r="M2" s="288" t="s">
        <v>221</v>
      </c>
      <c r="N2" s="288" t="s">
        <v>222</v>
      </c>
      <c r="O2" s="288" t="s">
        <v>223</v>
      </c>
      <c r="P2" s="288" t="s">
        <v>225</v>
      </c>
      <c r="Q2" s="288" t="s">
        <v>226</v>
      </c>
      <c r="R2" s="288" t="s">
        <v>227</v>
      </c>
      <c r="S2" s="288" t="s">
        <v>228</v>
      </c>
      <c r="T2" s="288" t="s">
        <v>229</v>
      </c>
      <c r="U2" s="288" t="s">
        <v>230</v>
      </c>
      <c r="V2" s="289" t="s">
        <v>231</v>
      </c>
      <c r="W2" s="289" t="s">
        <v>232</v>
      </c>
      <c r="X2" s="288" t="s">
        <v>233</v>
      </c>
      <c r="Y2" s="288" t="s">
        <v>234</v>
      </c>
      <c r="Z2" s="288" t="s">
        <v>235</v>
      </c>
      <c r="AA2" s="286" t="s">
        <v>236</v>
      </c>
      <c r="AB2" s="288" t="s">
        <v>237</v>
      </c>
      <c r="AC2" s="288" t="s">
        <v>238</v>
      </c>
      <c r="AD2" s="290" t="s">
        <v>239</v>
      </c>
      <c r="AE2" s="288" t="s">
        <v>240</v>
      </c>
      <c r="AF2" s="286" t="s">
        <v>241</v>
      </c>
      <c r="AG2" s="286" t="s">
        <v>242</v>
      </c>
      <c r="AH2" s="287" t="s">
        <v>243</v>
      </c>
      <c r="AI2" s="288" t="s">
        <v>244</v>
      </c>
      <c r="AJ2" s="288" t="s">
        <v>245</v>
      </c>
      <c r="AK2" s="287" t="s">
        <v>246</v>
      </c>
      <c r="AL2" s="288" t="s">
        <v>247</v>
      </c>
      <c r="AM2" s="288" t="s">
        <v>248</v>
      </c>
      <c r="AN2" s="287" t="s">
        <v>249</v>
      </c>
      <c r="AO2" s="288" t="s">
        <v>250</v>
      </c>
      <c r="AP2" s="288" t="s">
        <v>251</v>
      </c>
      <c r="AQ2" s="287" t="s">
        <v>252</v>
      </c>
      <c r="AR2" s="288" t="s">
        <v>253</v>
      </c>
      <c r="AS2" s="288" t="s">
        <v>254</v>
      </c>
      <c r="AT2" s="287" t="s">
        <v>255</v>
      </c>
      <c r="AU2" s="288" t="s">
        <v>256</v>
      </c>
      <c r="AV2" s="288" t="s">
        <v>257</v>
      </c>
      <c r="AW2" s="287" t="s">
        <v>258</v>
      </c>
      <c r="AX2" s="288" t="s">
        <v>259</v>
      </c>
      <c r="AY2" s="288" t="s">
        <v>260</v>
      </c>
      <c r="AZ2" s="287" t="s">
        <v>261</v>
      </c>
      <c r="BA2" s="288" t="s">
        <v>262</v>
      </c>
      <c r="BB2" s="288" t="s">
        <v>263</v>
      </c>
      <c r="BC2" s="286" t="s">
        <v>264</v>
      </c>
      <c r="BD2" s="286" t="s">
        <v>265</v>
      </c>
      <c r="BE2" s="286" t="s">
        <v>266</v>
      </c>
      <c r="BF2" s="288" t="s">
        <v>267</v>
      </c>
    </row>
    <row r="3" spans="1:58" x14ac:dyDescent="0.35">
      <c r="A3" s="2" t="str">
        <f>IFERROR(VLOOKUP(E3,'Customer '!$A$4:$D$23,3,FALSE),"")</f>
        <v>RH</v>
      </c>
      <c r="B3" s="2" t="s">
        <v>268</v>
      </c>
      <c r="C3" s="2" t="s">
        <v>269</v>
      </c>
      <c r="D3" s="2" t="s">
        <v>270</v>
      </c>
      <c r="E3" s="2" t="s">
        <v>61</v>
      </c>
      <c r="F3" s="2" t="str">
        <f>IFERROR(VLOOKUP(E3,'Customer '!$A$4:$D$28,2,FALSE),"")</f>
        <v>RH</v>
      </c>
      <c r="G3" s="2" t="s">
        <v>271</v>
      </c>
      <c r="H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2026-RH-GRAND HYATT BAHA MAR </v>
      </c>
      <c r="I3" s="2">
        <f ca="1">IF(OR($H3="",$B3=""),0,--(COUNTIFS($H$3:$H3,$H3,$B$3:$B3,$B3)=1))</f>
        <v>1</v>
      </c>
      <c r="J3" s="2" t="s">
        <v>272</v>
      </c>
      <c r="K3" s="2" t="s">
        <v>273</v>
      </c>
      <c r="L3" s="2" t="s">
        <v>274</v>
      </c>
      <c r="M3" s="278">
        <v>46033</v>
      </c>
      <c r="N3" s="278">
        <v>46098</v>
      </c>
      <c r="O3" s="279"/>
      <c r="P3" s="2" t="s">
        <v>275</v>
      </c>
      <c r="Q3" s="2" t="s">
        <v>276</v>
      </c>
      <c r="V3" s="276">
        <v>26</v>
      </c>
      <c r="X3" s="280">
        <v>2454228</v>
      </c>
      <c r="Y3" s="280">
        <v>153379</v>
      </c>
      <c r="Z3" s="2" t="s">
        <v>277</v>
      </c>
      <c r="AA3" s="2" t="str">
        <f t="shared" ref="AA3:AA78" si="0">IF(Z3="","",IF(OR(Z3="TBC",Z3="Removed"),Z3,LEFT(Z3,4)))</f>
        <v>2026</v>
      </c>
      <c r="AB3" s="278">
        <v>46167</v>
      </c>
      <c r="AC3" s="278">
        <v>46201</v>
      </c>
      <c r="AD3" s="277">
        <v>46173</v>
      </c>
      <c r="AE3" s="278">
        <v>46257</v>
      </c>
      <c r="AF3" s="2" t="str">
        <f>IF(AD3="","",IF(ISNUMBER(AD3),IF(AND(AD3&gt;='2026 Calendar'!$C$4,AD3&lt;='2026 Calendar'!$E$107),LOOKUP(AD3,'2026 Calendar'!$C$4:$C$107,'2026 Calendar'!$A$4:$A$107),YEAR(AD3-WEEKDAY(AD3,2)+4)&amp;"/W"&amp;TEXT(WEEKNUM(AD3,21),"00")),IF(IFERROR(ISNUMBER(SEARCH("/W",AD3)),FALSE),IF(IFERROR(ISNUMBER(SEARCH("-",AD3)),FALSE),LEFT(AD3,SEARCH("-",AD3)-1),AD3),AD3)))</f>
        <v>2026/W22</v>
      </c>
      <c r="AG3" s="2" t="str">
        <f>IF(AE3="","",IF(ISNUMBER(AE3),IF(AND(AE3&gt;='2026 Calendar'!$C$4,AE3&lt;='2026 Calendar'!$E$107),LOOKUP(AE3,'2026 Calendar'!$C$4:$C$107,'2026 Calendar'!$A$4:$A$107),YEAR(AE3-WEEKDAY(AE3,2)+4)&amp;"/W"&amp;TEXT(WEEKNUM(AE3,21),"00")),IF(IFERROR(ISNUMBER(SEARCH("/W",AE3)),FALSE),IF(IFERROR(ISNUMBER(SEARCH("-",AE3)),FALSE),MID(AE3,SEARCH("-",AE3)+1,100),AE3),AE3)))</f>
        <v>2026/W34</v>
      </c>
      <c r="AH3" s="2" t="s">
        <v>56</v>
      </c>
      <c r="AI3" s="278"/>
      <c r="AJ3" s="278"/>
      <c r="AK3" s="2" t="s">
        <v>56</v>
      </c>
      <c r="AL3" s="278"/>
      <c r="AM3" s="278"/>
      <c r="AN3" s="2" t="s">
        <v>56</v>
      </c>
      <c r="AO3" s="278"/>
      <c r="AP3" s="278"/>
      <c r="AQ3" s="2" t="s">
        <v>56</v>
      </c>
      <c r="AR3" s="278"/>
      <c r="AS3" s="278"/>
      <c r="AT3" s="2" t="s">
        <v>73</v>
      </c>
      <c r="AU3" s="278"/>
      <c r="AV3" s="278"/>
      <c r="AW3" s="2" t="s">
        <v>56</v>
      </c>
      <c r="AX3" s="278"/>
      <c r="AY3" s="278"/>
      <c r="AZ3" s="2" t="s">
        <v>278</v>
      </c>
      <c r="BA3" s="278"/>
      <c r="BB3" s="278"/>
      <c r="BC3" s="2" t="str">
        <f t="shared" ref="BC3:BC34" si="1">IF(J3="","",IF(OR(J3="OB",J3="NOR",J3="FC",J3="PIPELINE"),"Active","Complete"))</f>
        <v>Complete</v>
      </c>
      <c r="BD3" s="2" t="s">
        <v>279</v>
      </c>
      <c r="BE3" s="119" t="str">
        <f t="shared" ref="BE3:BE34" si="2">IF(UPPER(TRIM(J3))="SHIPPED","READY",_xlfn.LET(_xlpm.stage,IF(B3="","",B3&amp;": "),_xlpm.ip,_xlfn.TEXTJOIN(", ",TRUE,IF(LOWER(AH3)="in progress","Drawing",""),IF(LOWER(AK3)="in progress","Veneer/Wood",""),IF(LOWER(AN3)="in progress","Marble",""),IF(LOWER(AQ3)="in progress","Metal",""),IF(LOWER(AT3)="in progress","Mirror",""),IF(LOWER(AW3)="in progress","Electrical",""),IF(LOWER(AZ3)="in progress","Fabric","")),_xlpm.pa,_xlfn.TEXTJOIN(", ",TRUE,IF(LOWER(AH3)="pending approval","Drawing",""),IF(LOWER(AK3)="pending approval","Veneer/Wood",""),IF(LOWER(AN3)="pending approval","Marble",""),IF(LOWER(AQ3)="pending approval","Metal",""),IF(LOWER(AT3)="pending approval","Mirror",""),IF(LOWER(AW3)="pending approval","Electrical",""),IF(LOWER(AZ3)="pending approval","Fabric","")),_xlpm.ns,_xlfn.TEXTJOIN(", ",TRUE,IF(LOWER(AH3)="not started","Drawing",""),IF(LOWER(AK3)="not started","Veneer/Wood",""),IF(LOWER(AN3)="not started","Marble",""),IF(LOWER(AQ3)="not started","Metal",""),IF(LOWER(AT3)="not started","Mirror",""),IF(LOWER(AW3)="not started","Electrical",""),IF(LOWER(AZ3)="not started","Fabric","")),_xlpm.fab,IF(OR(LOWER(AZ3)="com",LOWER(AZ3)="com pending",LOWER(AZ3)="com received"),"Fabric is "&amp;LOWER(AZ3),""),_xlpm.parts,_xlfn.TEXTJOIN("; ",TRUE,IF(_xlpm.ip&lt;&gt;"","In progress: "&amp;_xlpm.ip,""),IF(_xlpm.pa&lt;&gt;"","Pending approval: "&amp;_xlpm.pa,""),IF(_xlpm.ns&lt;&gt;"","Not started: "&amp;_xlpm.ns,""),_xlpm.fab),_xlpm.deadline,MIN(IF(AND(AH3&lt;&gt;"",LOWER(AH3)&lt;&gt;"approved",LOWER(AH3)&lt;&gt;"n/a",ISNUMBER(AI3)),AI3,1E+99),IF(AND(AK3&lt;&gt;"",LOWER(AK3)&lt;&gt;"approved",LOWER(AK3)&lt;&gt;"n/a",ISNUMBER(AL3)),AL3,1E+99),IF(AND(AN3&lt;&gt;"",LOWER(AN3)&lt;&gt;"approved",LOWER(AN3)&lt;&gt;"n/a",ISNUMBER(AO3)),AO3,1E+99),IF(AND(AQ3&lt;&gt;"",LOWER(AQ3)&lt;&gt;"approved",LOWER(AQ3)&lt;&gt;"n/a",ISNUMBER(AR3)),AR3,1E+99),IF(AND(AT3&lt;&gt;"",LOWER(AT3)&lt;&gt;"approved",LOWER(AT3)&lt;&gt;"n/a",ISNUMBER(AU3)),AU3,1E+99),IF(AND(AW3&lt;&gt;"",LOWER(AW3)&lt;&gt;"approved",LOWER(AW3)&lt;&gt;"n/a",ISNUMBER(AX3)),AX3,1E+99),IF(AND(AZ3&lt;&gt;"",LOWER(AZ3)&lt;&gt;"approved",LOWER(AZ3)&lt;&gt;"n/a",ISNUMBER(BA3)),BA3,1E+99)),_xlpm.sw,IF(AG3="","",IFERROR("SW"&amp;MID(AG3,FIND("/W",AG3)+2,99),"SW "&amp;AG3)),_xlpm.stage&amp;IF(_xlpm.parts="","All development items approved/closed",_xlpm.parts)&amp;IF(AND(_xlpm.parts&lt;&gt;"",_xlpm.deadline&lt;1E+99),"; need approval by "&amp;TEXT(_xlpm.deadline,"d-mmm-yy"),"")&amp;IF(_xlpm.sw&lt;&gt;""," for "&amp;_xlpm.sw,"")))</f>
        <v>READY</v>
      </c>
    </row>
    <row r="4" spans="1:58" x14ac:dyDescent="0.35">
      <c r="A4" s="2" t="str">
        <f>IFERROR(VLOOKUP(E4,'Customer '!$A$4:$D$23,3,FALSE),"")</f>
        <v>RH</v>
      </c>
      <c r="B4" s="2" t="s">
        <v>268</v>
      </c>
      <c r="C4" s="2" t="s">
        <v>269</v>
      </c>
      <c r="D4" s="2" t="s">
        <v>270</v>
      </c>
      <c r="E4" s="2" t="s">
        <v>61</v>
      </c>
      <c r="F4" s="2" t="str">
        <f>IFERROR(VLOOKUP(E4,'Customer '!$A$4:$D$28,2,FALSE),"")</f>
        <v>RH</v>
      </c>
      <c r="G4" s="2" t="s">
        <v>106</v>
      </c>
      <c r="H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v>
      </c>
      <c r="I4" s="2">
        <f ca="1">IF(OR($H4="",$B4=""),0,--(COUNTIFS($H$3:$H4,$H4,$B$3:$B4,$B4)=1))</f>
        <v>1</v>
      </c>
      <c r="J4" s="2" t="s">
        <v>272</v>
      </c>
      <c r="K4" s="2" t="s">
        <v>273</v>
      </c>
      <c r="L4" s="2" t="s">
        <v>274</v>
      </c>
      <c r="M4" s="278">
        <v>46033</v>
      </c>
      <c r="N4" s="278">
        <v>46098</v>
      </c>
      <c r="O4" s="279"/>
      <c r="P4" s="2" t="s">
        <v>275</v>
      </c>
      <c r="Q4" s="2" t="s">
        <v>276</v>
      </c>
      <c r="V4" s="276">
        <v>26</v>
      </c>
      <c r="X4" s="280">
        <v>2454228</v>
      </c>
      <c r="Y4" s="280">
        <v>1004676</v>
      </c>
      <c r="Z4" s="2" t="s">
        <v>280</v>
      </c>
      <c r="AA4" s="2" t="str">
        <f t="shared" si="0"/>
        <v>2026</v>
      </c>
      <c r="AB4" s="278">
        <v>46167</v>
      </c>
      <c r="AC4" s="278">
        <v>46201</v>
      </c>
      <c r="AD4" s="277">
        <v>46173</v>
      </c>
      <c r="AE4" s="278">
        <v>46257</v>
      </c>
      <c r="AF4" s="2" t="str">
        <f>IF(AD4="","",IF(ISNUMBER(AD4),IF(AND(AD4&gt;='2026 Calendar'!$C$4,AD4&lt;='2026 Calendar'!$E$107),LOOKUP(AD4,'2026 Calendar'!$C$4:$C$107,'2026 Calendar'!$A$4:$A$107),YEAR(AD4-WEEKDAY(AD4,2)+4)&amp;"/W"&amp;TEXT(WEEKNUM(AD4,21),"00")),IF(IFERROR(ISNUMBER(SEARCH("/W",AD4)),FALSE),IF(IFERROR(ISNUMBER(SEARCH("-",AD4)),FALSE),LEFT(AD4,SEARCH("-",AD4)-1),AD4),AD4)))</f>
        <v>2026/W22</v>
      </c>
      <c r="AG4" s="2" t="str">
        <f>IF(AE4="","",IF(ISNUMBER(AE4),IF(AND(AE4&gt;='2026 Calendar'!$C$4,AE4&lt;='2026 Calendar'!$E$107),LOOKUP(AE4,'2026 Calendar'!$C$4:$C$107,'2026 Calendar'!$A$4:$A$107),YEAR(AE4-WEEKDAY(AE4,2)+4)&amp;"/W"&amp;TEXT(WEEKNUM(AE4,21),"00")),IF(IFERROR(ISNUMBER(SEARCH("/W",AE4)),FALSE),IF(IFERROR(ISNUMBER(SEARCH("-",AE4)),FALSE),MID(AE4,SEARCH("-",AE4)+1,100),AE4),AE4)))</f>
        <v>2026/W34</v>
      </c>
      <c r="AH4" s="2" t="s">
        <v>56</v>
      </c>
      <c r="AI4" s="278"/>
      <c r="AJ4" s="278"/>
      <c r="AK4" s="2" t="s">
        <v>56</v>
      </c>
      <c r="AL4" s="278"/>
      <c r="AM4" s="278"/>
      <c r="AN4" s="2" t="s">
        <v>56</v>
      </c>
      <c r="AO4" s="278"/>
      <c r="AP4" s="278"/>
      <c r="AQ4" s="2" t="s">
        <v>56</v>
      </c>
      <c r="AR4" s="278"/>
      <c r="AS4" s="278"/>
      <c r="AT4" s="2" t="s">
        <v>73</v>
      </c>
      <c r="AU4" s="278"/>
      <c r="AV4" s="278"/>
      <c r="AW4" s="2" t="s">
        <v>56</v>
      </c>
      <c r="AX4" s="278"/>
      <c r="AY4" s="278"/>
      <c r="AZ4" s="2" t="s">
        <v>278</v>
      </c>
      <c r="BA4" s="278"/>
      <c r="BB4" s="278"/>
      <c r="BC4" s="2" t="str">
        <f t="shared" si="1"/>
        <v>Complete</v>
      </c>
      <c r="BD4" s="2" t="s">
        <v>279</v>
      </c>
      <c r="BE4" s="119" t="str">
        <f t="shared" si="2"/>
        <v>READY</v>
      </c>
    </row>
    <row r="5" spans="1:58" x14ac:dyDescent="0.35">
      <c r="A5" s="2" t="str">
        <f>IFERROR(VLOOKUP(E5,'Customer '!$A$4:$D$23,3,FALSE),"")</f>
        <v>RH</v>
      </c>
      <c r="B5" s="2" t="s">
        <v>268</v>
      </c>
      <c r="C5" s="2" t="s">
        <v>269</v>
      </c>
      <c r="D5" s="2" t="s">
        <v>270</v>
      </c>
      <c r="E5" s="2" t="s">
        <v>61</v>
      </c>
      <c r="F5" s="2" t="str">
        <f>IFERROR(VLOOKUP(E5,'Customer '!$A$4:$D$28,2,FALSE),"")</f>
        <v>RH</v>
      </c>
      <c r="G5" s="2" t="s">
        <v>106</v>
      </c>
      <c r="H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v>
      </c>
      <c r="I5" s="2">
        <f ca="1">IF(OR($H5="",$B5=""),0,--(COUNTIFS($H$3:$H5,$H5,$B$3:$B5,$B5)=1))</f>
        <v>0</v>
      </c>
      <c r="J5" s="2" t="s">
        <v>272</v>
      </c>
      <c r="K5" s="2" t="s">
        <v>273</v>
      </c>
      <c r="L5" s="2" t="s">
        <v>274</v>
      </c>
      <c r="M5" s="278">
        <v>46033</v>
      </c>
      <c r="N5" s="278">
        <v>46098</v>
      </c>
      <c r="O5" s="279"/>
      <c r="P5" s="2" t="s">
        <v>275</v>
      </c>
      <c r="Q5" s="2" t="s">
        <v>276</v>
      </c>
      <c r="V5" s="276">
        <v>26</v>
      </c>
      <c r="X5" s="280">
        <v>2454228</v>
      </c>
      <c r="Y5" s="280">
        <v>969712.83000000007</v>
      </c>
      <c r="Z5" s="2" t="s">
        <v>281</v>
      </c>
      <c r="AA5" s="2" t="str">
        <f t="shared" si="0"/>
        <v>2026</v>
      </c>
      <c r="AB5" s="278">
        <v>46167</v>
      </c>
      <c r="AC5" s="278">
        <v>46201</v>
      </c>
      <c r="AD5" s="277">
        <v>46173</v>
      </c>
      <c r="AE5" s="278">
        <v>46257</v>
      </c>
      <c r="AF5" s="2" t="str">
        <f>IF(AD5="","",IF(ISNUMBER(AD5),IF(AND(AD5&gt;='2026 Calendar'!$C$4,AD5&lt;='2026 Calendar'!$E$107),LOOKUP(AD5,'2026 Calendar'!$C$4:$C$107,'2026 Calendar'!$A$4:$A$107),YEAR(AD5-WEEKDAY(AD5,2)+4)&amp;"/W"&amp;TEXT(WEEKNUM(AD5,21),"00")),IF(IFERROR(ISNUMBER(SEARCH("/W",AD5)),FALSE),IF(IFERROR(ISNUMBER(SEARCH("-",AD5)),FALSE),LEFT(AD5,SEARCH("-",AD5)-1),AD5),AD5)))</f>
        <v>2026/W22</v>
      </c>
      <c r="AG5" s="2" t="str">
        <f>IF(AE5="","",IF(ISNUMBER(AE5),IF(AND(AE5&gt;='2026 Calendar'!$C$4,AE5&lt;='2026 Calendar'!$E$107),LOOKUP(AE5,'2026 Calendar'!$C$4:$C$107,'2026 Calendar'!$A$4:$A$107),YEAR(AE5-WEEKDAY(AE5,2)+4)&amp;"/W"&amp;TEXT(WEEKNUM(AE5,21),"00")),IF(IFERROR(ISNUMBER(SEARCH("/W",AE5)),FALSE),IF(IFERROR(ISNUMBER(SEARCH("-",AE5)),FALSE),MID(AE5,SEARCH("-",AE5)+1,100),AE5),AE5)))</f>
        <v>2026/W34</v>
      </c>
      <c r="AH5" s="2" t="s">
        <v>56</v>
      </c>
      <c r="AI5" s="278"/>
      <c r="AJ5" s="278"/>
      <c r="AK5" s="2" t="s">
        <v>56</v>
      </c>
      <c r="AL5" s="278"/>
      <c r="AM5" s="278"/>
      <c r="AN5" s="2" t="s">
        <v>56</v>
      </c>
      <c r="AO5" s="278"/>
      <c r="AP5" s="278"/>
      <c r="AQ5" s="2" t="s">
        <v>56</v>
      </c>
      <c r="AR5" s="278"/>
      <c r="AS5" s="278"/>
      <c r="AT5" s="2" t="s">
        <v>73</v>
      </c>
      <c r="AU5" s="278"/>
      <c r="AV5" s="278"/>
      <c r="AW5" s="2" t="s">
        <v>56</v>
      </c>
      <c r="AX5" s="278"/>
      <c r="AY5" s="278"/>
      <c r="AZ5" s="2" t="s">
        <v>278</v>
      </c>
      <c r="BA5" s="278"/>
      <c r="BB5" s="278"/>
      <c r="BC5" s="2" t="str">
        <f t="shared" si="1"/>
        <v>Complete</v>
      </c>
      <c r="BD5" s="2" t="s">
        <v>279</v>
      </c>
      <c r="BE5" s="119" t="str">
        <f t="shared" si="2"/>
        <v>READY</v>
      </c>
    </row>
    <row r="6" spans="1:58" x14ac:dyDescent="0.35">
      <c r="A6" s="2" t="str">
        <f>IFERROR(VLOOKUP(E6,'Customer '!$A$4:$D$23,3,FALSE),"")</f>
        <v>RH</v>
      </c>
      <c r="B6" s="2" t="s">
        <v>268</v>
      </c>
      <c r="C6" s="2" t="s">
        <v>269</v>
      </c>
      <c r="D6" s="2" t="s">
        <v>270</v>
      </c>
      <c r="E6" s="2" t="s">
        <v>61</v>
      </c>
      <c r="F6" s="2" t="str">
        <f>IFERROR(VLOOKUP(E6,'Customer '!$A$4:$D$28,2,FALSE),"")</f>
        <v>RH</v>
      </c>
      <c r="G6" s="2" t="s">
        <v>106</v>
      </c>
      <c r="H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v>
      </c>
      <c r="I6" s="2">
        <f ca="1">IF(OR($H6="",$B6=""),0,--(COUNTIFS($H$3:$H6,$H6,$B$3:$B6,$B6)=1))</f>
        <v>0</v>
      </c>
      <c r="J6" s="2" t="s">
        <v>272</v>
      </c>
      <c r="K6" s="2" t="s">
        <v>273</v>
      </c>
      <c r="L6" s="2" t="s">
        <v>274</v>
      </c>
      <c r="M6" s="278">
        <v>46033</v>
      </c>
      <c r="N6" s="278">
        <v>46098</v>
      </c>
      <c r="O6" s="279"/>
      <c r="P6" s="2" t="s">
        <v>275</v>
      </c>
      <c r="Q6" s="2" t="s">
        <v>276</v>
      </c>
      <c r="V6" s="276">
        <v>26</v>
      </c>
      <c r="X6" s="280">
        <v>2454228</v>
      </c>
      <c r="Y6" s="280">
        <v>308393</v>
      </c>
      <c r="Z6" s="2" t="s">
        <v>282</v>
      </c>
      <c r="AA6" s="2" t="str">
        <f t="shared" ref="AA6" si="3">IF(Z6="","",IF(OR(Z6="TBC",Z6="Removed"),Z6,LEFT(Z6,4)))</f>
        <v>2026</v>
      </c>
      <c r="AB6" s="278">
        <v>46167</v>
      </c>
      <c r="AC6" s="278">
        <v>46201</v>
      </c>
      <c r="AD6" s="277">
        <v>46173</v>
      </c>
      <c r="AE6" s="278">
        <v>46257</v>
      </c>
      <c r="AF6" s="2" t="str">
        <f>IF(AD6="","",IF(ISNUMBER(AD6),IF(AND(AD6&gt;='2026 Calendar'!$C$4,AD6&lt;='2026 Calendar'!$E$107),LOOKUP(AD6,'2026 Calendar'!$C$4:$C$107,'2026 Calendar'!$A$4:$A$107),YEAR(AD6-WEEKDAY(AD6,2)+4)&amp;"/W"&amp;TEXT(WEEKNUM(AD6,21),"00")),IF(IFERROR(ISNUMBER(SEARCH("/W",AD6)),FALSE),IF(IFERROR(ISNUMBER(SEARCH("-",AD6)),FALSE),LEFT(AD6,SEARCH("-",AD6)-1),AD6),AD6)))</f>
        <v>2026/W22</v>
      </c>
      <c r="AG6" s="2" t="str">
        <f>IF(AE6="","",IF(ISNUMBER(AE6),IF(AND(AE6&gt;='2026 Calendar'!$C$4,AE6&lt;='2026 Calendar'!$E$107),LOOKUP(AE6,'2026 Calendar'!$C$4:$C$107,'2026 Calendar'!$A$4:$A$107),YEAR(AE6-WEEKDAY(AE6,2)+4)&amp;"/W"&amp;TEXT(WEEKNUM(AE6,21),"00")),IF(IFERROR(ISNUMBER(SEARCH("/W",AE6)),FALSE),IF(IFERROR(ISNUMBER(SEARCH("-",AE6)),FALSE),MID(AE6,SEARCH("-",AE6)+1,100),AE6),AE6)))</f>
        <v>2026/W34</v>
      </c>
      <c r="AH6" s="2" t="s">
        <v>56</v>
      </c>
      <c r="AI6" s="278"/>
      <c r="AJ6" s="278"/>
      <c r="AK6" s="2" t="s">
        <v>56</v>
      </c>
      <c r="AL6" s="278"/>
      <c r="AM6" s="278"/>
      <c r="AN6" s="2" t="s">
        <v>56</v>
      </c>
      <c r="AO6" s="278"/>
      <c r="AP6" s="278"/>
      <c r="AQ6" s="2" t="s">
        <v>56</v>
      </c>
      <c r="AR6" s="278"/>
      <c r="AS6" s="278"/>
      <c r="AT6" s="2" t="s">
        <v>73</v>
      </c>
      <c r="AU6" s="278"/>
      <c r="AV6" s="278"/>
      <c r="AW6" s="2" t="s">
        <v>56</v>
      </c>
      <c r="AX6" s="278"/>
      <c r="AY6" s="278"/>
      <c r="AZ6" s="2" t="s">
        <v>278</v>
      </c>
      <c r="BA6" s="278"/>
      <c r="BB6" s="278"/>
      <c r="BC6" s="2" t="str">
        <f t="shared" si="1"/>
        <v>Complete</v>
      </c>
      <c r="BD6" s="2" t="s">
        <v>279</v>
      </c>
      <c r="BE6" s="119" t="str">
        <f t="shared" si="2"/>
        <v>READY</v>
      </c>
    </row>
    <row r="7" spans="1:58" x14ac:dyDescent="0.35">
      <c r="A7" s="2" t="str">
        <f>IFERROR(VLOOKUP(E7,'Customer '!$A$4:$D$23,3,FALSE),"")</f>
        <v>RH</v>
      </c>
      <c r="B7" s="2" t="s">
        <v>268</v>
      </c>
      <c r="C7" s="2" t="s">
        <v>269</v>
      </c>
      <c r="D7" s="2" t="s">
        <v>270</v>
      </c>
      <c r="E7" s="2" t="s">
        <v>61</v>
      </c>
      <c r="F7" s="2" t="str">
        <f>IFERROR(VLOOKUP(E7,'Customer '!$A$4:$D$28,2,FALSE),"")</f>
        <v>RH</v>
      </c>
      <c r="G7" s="2" t="s">
        <v>106</v>
      </c>
      <c r="H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v>
      </c>
      <c r="I7" s="2">
        <f ca="1">IF(OR($H7="",$B7=""),0,--(COUNTIFS($H$3:$H7,$H7,$B$3:$B7,$B7)=1))</f>
        <v>0</v>
      </c>
      <c r="J7" s="2" t="s">
        <v>272</v>
      </c>
      <c r="K7" s="2" t="s">
        <v>273</v>
      </c>
      <c r="L7" s="2" t="s">
        <v>274</v>
      </c>
      <c r="M7" s="278">
        <v>46033</v>
      </c>
      <c r="N7" s="278">
        <v>46098</v>
      </c>
      <c r="O7" s="279"/>
      <c r="P7" s="2" t="s">
        <v>275</v>
      </c>
      <c r="Q7" s="2" t="s">
        <v>276</v>
      </c>
      <c r="R7" s="2">
        <v>0</v>
      </c>
      <c r="S7" s="2">
        <v>0</v>
      </c>
      <c r="V7" s="276">
        <v>26</v>
      </c>
      <c r="X7" s="280">
        <v>2454228</v>
      </c>
      <c r="Y7" s="280">
        <v>18067</v>
      </c>
      <c r="Z7" s="2" t="s">
        <v>282</v>
      </c>
      <c r="AA7" s="2" t="str">
        <f t="shared" si="0"/>
        <v>2026</v>
      </c>
      <c r="AB7" s="278">
        <v>46167</v>
      </c>
      <c r="AC7" s="278">
        <v>46201</v>
      </c>
      <c r="AD7" s="277">
        <v>46173</v>
      </c>
      <c r="AE7" s="278">
        <v>46257</v>
      </c>
      <c r="AF7" s="2" t="str">
        <f>IF(AD7="","",IF(ISNUMBER(AD7),IF(AND(AD7&gt;='2026 Calendar'!$C$4,AD7&lt;='2026 Calendar'!$E$107),LOOKUP(AD7,'2026 Calendar'!$C$4:$C$107,'2026 Calendar'!$A$4:$A$107),YEAR(AD7-WEEKDAY(AD7,2)+4)&amp;"/W"&amp;TEXT(WEEKNUM(AD7,21),"00")),IF(IFERROR(ISNUMBER(SEARCH("/W",AD7)),FALSE),IF(IFERROR(ISNUMBER(SEARCH("-",AD7)),FALSE),LEFT(AD7,SEARCH("-",AD7)-1),AD7),AD7)))</f>
        <v>2026/W22</v>
      </c>
      <c r="AG7" s="2" t="str">
        <f>IF(AE7="","",IF(ISNUMBER(AE7),IF(AND(AE7&gt;='2026 Calendar'!$C$4,AE7&lt;='2026 Calendar'!$E$107),LOOKUP(AE7,'2026 Calendar'!$C$4:$C$107,'2026 Calendar'!$A$4:$A$107),YEAR(AE7-WEEKDAY(AE7,2)+4)&amp;"/W"&amp;TEXT(WEEKNUM(AE7,21),"00")),IF(IFERROR(ISNUMBER(SEARCH("/W",AE7)),FALSE),IF(IFERROR(ISNUMBER(SEARCH("-",AE7)),FALSE),MID(AE7,SEARCH("-",AE7)+1,100),AE7),AE7)))</f>
        <v>2026/W34</v>
      </c>
      <c r="AH7" s="2" t="s">
        <v>56</v>
      </c>
      <c r="AI7" s="278"/>
      <c r="AJ7" s="278"/>
      <c r="AK7" s="2" t="s">
        <v>56</v>
      </c>
      <c r="AL7" s="278"/>
      <c r="AM7" s="278"/>
      <c r="AN7" s="2" t="s">
        <v>56</v>
      </c>
      <c r="AO7" s="278"/>
      <c r="AP7" s="278"/>
      <c r="AQ7" s="2" t="s">
        <v>56</v>
      </c>
      <c r="AR7" s="278"/>
      <c r="AS7" s="278"/>
      <c r="AT7" s="2" t="s">
        <v>73</v>
      </c>
      <c r="AU7" s="278"/>
      <c r="AV7" s="278"/>
      <c r="AW7" s="2" t="s">
        <v>56</v>
      </c>
      <c r="AX7" s="278"/>
      <c r="AY7" s="278"/>
      <c r="AZ7" s="2" t="s">
        <v>278</v>
      </c>
      <c r="BA7" s="278"/>
      <c r="BB7" s="278"/>
      <c r="BC7" s="2" t="str">
        <f t="shared" si="1"/>
        <v>Complete</v>
      </c>
      <c r="BD7" s="2" t="s">
        <v>279</v>
      </c>
      <c r="BE7" s="119" t="str">
        <f t="shared" si="2"/>
        <v>READY</v>
      </c>
    </row>
    <row r="8" spans="1:58" ht="29" x14ac:dyDescent="0.35">
      <c r="A8" s="2" t="str">
        <f>IFERROR(VLOOKUP(E8,'Customer '!$A$4:$D$23,3,FALSE),"")</f>
        <v>RH</v>
      </c>
      <c r="B8" s="2" t="s">
        <v>268</v>
      </c>
      <c r="C8" s="2" t="s">
        <v>329</v>
      </c>
      <c r="D8" s="2" t="s">
        <v>270</v>
      </c>
      <c r="E8" s="2" t="s">
        <v>61</v>
      </c>
      <c r="F8" s="2" t="str">
        <f>IFERROR(VLOOKUP(E8,'Customer '!$A$4:$D$28,2,FALSE),"")</f>
        <v>RH</v>
      </c>
      <c r="G8" s="2" t="s">
        <v>283</v>
      </c>
      <c r="H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MAR-PHASE 2</v>
      </c>
      <c r="I8" s="2">
        <f ca="1">IF(OR($H8="",$B8=""),0,--(COUNTIFS($H$3:$H8,$H8,$B$3:$B8,$B8)=1))</f>
        <v>1</v>
      </c>
      <c r="J8" s="2" t="s">
        <v>284</v>
      </c>
      <c r="K8" s="2" t="s">
        <v>273</v>
      </c>
      <c r="L8" s="2" t="s">
        <v>285</v>
      </c>
      <c r="M8" s="278"/>
      <c r="N8" s="278"/>
      <c r="O8" s="279"/>
      <c r="P8" s="2" t="s">
        <v>275</v>
      </c>
      <c r="Q8" s="2" t="s">
        <v>276</v>
      </c>
      <c r="R8" s="2">
        <v>0</v>
      </c>
      <c r="S8" s="2">
        <v>0</v>
      </c>
      <c r="V8" s="276">
        <v>27</v>
      </c>
      <c r="X8" s="280">
        <v>2936224.52</v>
      </c>
      <c r="Y8" s="280">
        <v>1000000</v>
      </c>
      <c r="Z8" s="2" t="s">
        <v>286</v>
      </c>
      <c r="AA8" s="2" t="str">
        <f t="shared" si="0"/>
        <v>2027</v>
      </c>
      <c r="AB8" s="278"/>
      <c r="AC8" s="278"/>
      <c r="AD8" s="277">
        <v>46549</v>
      </c>
      <c r="AE8" s="278">
        <v>46626</v>
      </c>
      <c r="AF8" s="2" t="str">
        <f>IF(AD8="","",IF(ISNUMBER(AD8),IF(AND(AD8&gt;='2026 Calendar'!$C$4,AD8&lt;='2026 Calendar'!$E$107),LOOKUP(AD8,'2026 Calendar'!$C$4:$C$107,'2026 Calendar'!$A$4:$A$107),YEAR(AD8-WEEKDAY(AD8,2)+4)&amp;"/W"&amp;TEXT(WEEKNUM(AD8,21),"00")),IF(IFERROR(ISNUMBER(SEARCH("/W",AD8)),FALSE),IF(IFERROR(ISNUMBER(SEARCH("-",AD8)),FALSE),LEFT(AD8,SEARCH("-",AD8)-1),AD8),AD8)))</f>
        <v>2027/W24</v>
      </c>
      <c r="AG8" s="2" t="str">
        <f>IF(AE8="","",IF(ISNUMBER(AE8),IF(AND(AE8&gt;='2026 Calendar'!$C$4,AE8&lt;='2026 Calendar'!$E$107),LOOKUP(AE8,'2026 Calendar'!$C$4:$C$107,'2026 Calendar'!$A$4:$A$107),YEAR(AE8-WEEKDAY(AE8,2)+4)&amp;"/W"&amp;TEXT(WEEKNUM(AE8,21),"00")),IF(IFERROR(ISNUMBER(SEARCH("/W",AE8)),FALSE),IF(IFERROR(ISNUMBER(SEARCH("-",AE8)),FALSE),MID(AE8,SEARCH("-",AE8)+1,100),AE8),AE8)))</f>
        <v>2027/W35</v>
      </c>
      <c r="AH8" s="2" t="s">
        <v>287</v>
      </c>
      <c r="AI8" s="278"/>
      <c r="AJ8" s="278"/>
      <c r="AK8" s="2" t="s">
        <v>287</v>
      </c>
      <c r="AL8" s="278"/>
      <c r="AM8" s="278"/>
      <c r="AN8" s="2" t="s">
        <v>287</v>
      </c>
      <c r="AO8" s="278"/>
      <c r="AP8" s="278"/>
      <c r="AQ8" s="2" t="s">
        <v>287</v>
      </c>
      <c r="AR8" s="278"/>
      <c r="AS8" s="278"/>
      <c r="AT8" s="2" t="s">
        <v>73</v>
      </c>
      <c r="AU8" s="278"/>
      <c r="AV8" s="278"/>
      <c r="AW8" s="2" t="s">
        <v>287</v>
      </c>
      <c r="AX8" s="278"/>
      <c r="AY8" s="278"/>
      <c r="AZ8" s="2" t="s">
        <v>287</v>
      </c>
      <c r="BA8" s="278"/>
      <c r="BB8" s="278"/>
      <c r="BC8" s="2" t="str">
        <f t="shared" si="1"/>
        <v>Active</v>
      </c>
      <c r="BD8" s="2" t="s">
        <v>279</v>
      </c>
      <c r="BE8" s="119" t="str">
        <f t="shared" si="2"/>
        <v>NPI: Not started: Drawing, Veneer/Wood, Marble, Metal, Electrical, Fabric for SW35</v>
      </c>
    </row>
    <row r="9" spans="1:58" ht="29" x14ac:dyDescent="0.35">
      <c r="A9" s="2" t="str">
        <f>IFERROR(VLOOKUP(E9,'Customer '!$A$4:$D$23,3,FALSE),"")</f>
        <v>RH</v>
      </c>
      <c r="B9" s="2" t="s">
        <v>268</v>
      </c>
      <c r="C9" s="2" t="s">
        <v>329</v>
      </c>
      <c r="D9" s="2" t="s">
        <v>270</v>
      </c>
      <c r="E9" s="2" t="s">
        <v>61</v>
      </c>
      <c r="F9" s="2" t="str">
        <f>IFERROR(VLOOKUP(E9,'Customer '!$A$4:$D$28,2,FALSE),"")</f>
        <v>RH</v>
      </c>
      <c r="G9" s="2" t="s">
        <v>283</v>
      </c>
      <c r="H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MAR-PHASE 2</v>
      </c>
      <c r="I9" s="2">
        <f ca="1">IF(OR($H9="",$B9=""),0,--(COUNTIFS($H$3:$H9,$H9,$B$3:$B9,$B9)=1))</f>
        <v>0</v>
      </c>
      <c r="J9" s="2" t="s">
        <v>284</v>
      </c>
      <c r="K9" s="2" t="s">
        <v>273</v>
      </c>
      <c r="L9" s="2" t="s">
        <v>285</v>
      </c>
      <c r="M9" s="278"/>
      <c r="N9" s="278"/>
      <c r="O9" s="279"/>
      <c r="P9" s="2" t="s">
        <v>275</v>
      </c>
      <c r="Q9" s="2" t="s">
        <v>276</v>
      </c>
      <c r="R9" s="2">
        <v>0</v>
      </c>
      <c r="S9" s="2">
        <v>0</v>
      </c>
      <c r="V9" s="276">
        <v>27</v>
      </c>
      <c r="X9" s="280">
        <v>2936224.52</v>
      </c>
      <c r="Y9" s="280">
        <v>1000000</v>
      </c>
      <c r="Z9" s="2" t="s">
        <v>288</v>
      </c>
      <c r="AA9" s="2" t="str">
        <f t="shared" ref="AA9" si="4">IF(Z9="","",IF(OR(Z9="TBC",Z9="Removed"),Z9,LEFT(Z9,4)))</f>
        <v>2027</v>
      </c>
      <c r="AB9" s="278"/>
      <c r="AC9" s="278"/>
      <c r="AD9" s="277">
        <v>46549</v>
      </c>
      <c r="AE9" s="278">
        <v>46626</v>
      </c>
      <c r="AF9" s="2" t="str">
        <f>IF(AD9="","",IF(ISNUMBER(AD9),IF(AND(AD9&gt;='2026 Calendar'!$C$4,AD9&lt;='2026 Calendar'!$E$107),LOOKUP(AD9,'2026 Calendar'!$C$4:$C$107,'2026 Calendar'!$A$4:$A$107),YEAR(AD9-WEEKDAY(AD9,2)+4)&amp;"/W"&amp;TEXT(WEEKNUM(AD9,21),"00")),IF(IFERROR(ISNUMBER(SEARCH("/W",AD9)),FALSE),IF(IFERROR(ISNUMBER(SEARCH("-",AD9)),FALSE),LEFT(AD9,SEARCH("-",AD9)-1),AD9),AD9)))</f>
        <v>2027/W24</v>
      </c>
      <c r="AG9" s="2" t="str">
        <f>IF(AE9="","",IF(ISNUMBER(AE9),IF(AND(AE9&gt;='2026 Calendar'!$C$4,AE9&lt;='2026 Calendar'!$E$107),LOOKUP(AE9,'2026 Calendar'!$C$4:$C$107,'2026 Calendar'!$A$4:$A$107),YEAR(AE9-WEEKDAY(AE9,2)+4)&amp;"/W"&amp;TEXT(WEEKNUM(AE9,21),"00")),IF(IFERROR(ISNUMBER(SEARCH("/W",AE9)),FALSE),IF(IFERROR(ISNUMBER(SEARCH("-",AE9)),FALSE),MID(AE9,SEARCH("-",AE9)+1,100),AE9),AE9)))</f>
        <v>2027/W35</v>
      </c>
      <c r="AH9" s="2" t="s">
        <v>287</v>
      </c>
      <c r="AI9" s="278"/>
      <c r="AJ9" s="278"/>
      <c r="AK9" s="2" t="s">
        <v>287</v>
      </c>
      <c r="AL9" s="278"/>
      <c r="AM9" s="278"/>
      <c r="AN9" s="2" t="s">
        <v>287</v>
      </c>
      <c r="AO9" s="278"/>
      <c r="AP9" s="278"/>
      <c r="AQ9" s="2" t="s">
        <v>287</v>
      </c>
      <c r="AR9" s="278"/>
      <c r="AS9" s="278"/>
      <c r="AT9" s="2" t="s">
        <v>73</v>
      </c>
      <c r="AU9" s="278"/>
      <c r="AV9" s="278"/>
      <c r="AW9" s="2" t="s">
        <v>287</v>
      </c>
      <c r="AX9" s="278"/>
      <c r="AY9" s="278"/>
      <c r="AZ9" s="2" t="s">
        <v>287</v>
      </c>
      <c r="BA9" s="278"/>
      <c r="BB9" s="278"/>
      <c r="BC9" s="2" t="str">
        <f t="shared" si="1"/>
        <v>Active</v>
      </c>
      <c r="BD9" s="2" t="s">
        <v>279</v>
      </c>
      <c r="BE9" s="119" t="str">
        <f t="shared" si="2"/>
        <v>NPI: Not started: Drawing, Veneer/Wood, Marble, Metal, Electrical, Fabric for SW35</v>
      </c>
    </row>
    <row r="10" spans="1:58" ht="29" x14ac:dyDescent="0.35">
      <c r="A10" s="2" t="str">
        <f>IFERROR(VLOOKUP(E10,'Customer '!$A$4:$D$23,3,FALSE),"")</f>
        <v>RH</v>
      </c>
      <c r="B10" s="2" t="s">
        <v>268</v>
      </c>
      <c r="C10" s="2" t="s">
        <v>329</v>
      </c>
      <c r="D10" s="2" t="s">
        <v>270</v>
      </c>
      <c r="E10" s="2" t="s">
        <v>61</v>
      </c>
      <c r="F10" s="2" t="str">
        <f>IFERROR(VLOOKUP(E10,'Customer '!$A$4:$D$28,2,FALSE),"")</f>
        <v>RH</v>
      </c>
      <c r="G10" s="2" t="s">
        <v>283</v>
      </c>
      <c r="H1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BAHA MAR-PHASE 2</v>
      </c>
      <c r="I10" s="2">
        <f ca="1">IF(OR($H10="",$B10=""),0,--(COUNTIFS($H$3:$H10,$H10,$B$3:$B10,$B10)=1))</f>
        <v>0</v>
      </c>
      <c r="J10" s="2" t="s">
        <v>284</v>
      </c>
      <c r="K10" s="2" t="s">
        <v>273</v>
      </c>
      <c r="L10" s="2" t="s">
        <v>285</v>
      </c>
      <c r="M10" s="278"/>
      <c r="N10" s="278"/>
      <c r="O10" s="279"/>
      <c r="P10" s="2" t="s">
        <v>275</v>
      </c>
      <c r="Q10" s="2" t="s">
        <v>276</v>
      </c>
      <c r="R10" s="2">
        <v>0</v>
      </c>
      <c r="S10" s="2">
        <v>0</v>
      </c>
      <c r="V10" s="276">
        <v>27</v>
      </c>
      <c r="X10" s="280">
        <v>2936224.52</v>
      </c>
      <c r="Y10" s="280">
        <f>X8-Y8-Y9</f>
        <v>936224.52</v>
      </c>
      <c r="Z10" s="2" t="s">
        <v>289</v>
      </c>
      <c r="AA10" s="2" t="str">
        <f t="shared" ref="AA10" si="5">IF(Z10="","",IF(OR(Z10="TBC",Z10="Removed"),Z10,LEFT(Z10,4)))</f>
        <v>2027</v>
      </c>
      <c r="AB10" s="278"/>
      <c r="AC10" s="278"/>
      <c r="AD10" s="277">
        <v>46549</v>
      </c>
      <c r="AE10" s="278">
        <v>46626</v>
      </c>
      <c r="AF10" s="2" t="str">
        <f>IF(AD10="","",IF(ISNUMBER(AD10),IF(AND(AD10&gt;='2026 Calendar'!$C$4,AD10&lt;='2026 Calendar'!$E$107),LOOKUP(AD10,'2026 Calendar'!$C$4:$C$107,'2026 Calendar'!$A$4:$A$107),YEAR(AD10-WEEKDAY(AD10,2)+4)&amp;"/W"&amp;TEXT(WEEKNUM(AD10,21),"00")),IF(IFERROR(ISNUMBER(SEARCH("/W",AD10)),FALSE),IF(IFERROR(ISNUMBER(SEARCH("-",AD10)),FALSE),LEFT(AD10,SEARCH("-",AD10)-1),AD10),AD10)))</f>
        <v>2027/W24</v>
      </c>
      <c r="AG10" s="2" t="str">
        <f>IF(AE10="","",IF(ISNUMBER(AE10),IF(AND(AE10&gt;='2026 Calendar'!$C$4,AE10&lt;='2026 Calendar'!$E$107),LOOKUP(AE10,'2026 Calendar'!$C$4:$C$107,'2026 Calendar'!$A$4:$A$107),YEAR(AE10-WEEKDAY(AE10,2)+4)&amp;"/W"&amp;TEXT(WEEKNUM(AE10,21),"00")),IF(IFERROR(ISNUMBER(SEARCH("/W",AE10)),FALSE),IF(IFERROR(ISNUMBER(SEARCH("-",AE10)),FALSE),MID(AE10,SEARCH("-",AE10)+1,100),AE10),AE10)))</f>
        <v>2027/W35</v>
      </c>
      <c r="AH10" s="2" t="s">
        <v>287</v>
      </c>
      <c r="AI10" s="278"/>
      <c r="AJ10" s="278"/>
      <c r="AK10" s="2" t="s">
        <v>287</v>
      </c>
      <c r="AL10" s="278"/>
      <c r="AM10" s="278"/>
      <c r="AN10" s="2" t="s">
        <v>287</v>
      </c>
      <c r="AO10" s="278"/>
      <c r="AP10" s="278"/>
      <c r="AQ10" s="2" t="s">
        <v>287</v>
      </c>
      <c r="AR10" s="278"/>
      <c r="AS10" s="278"/>
      <c r="AT10" s="2" t="s">
        <v>73</v>
      </c>
      <c r="AU10" s="278"/>
      <c r="AV10" s="278"/>
      <c r="AW10" s="2" t="s">
        <v>287</v>
      </c>
      <c r="AX10" s="278"/>
      <c r="AY10" s="278"/>
      <c r="AZ10" s="2" t="s">
        <v>287</v>
      </c>
      <c r="BA10" s="278"/>
      <c r="BB10" s="278"/>
      <c r="BC10" s="2" t="str">
        <f t="shared" si="1"/>
        <v>Active</v>
      </c>
      <c r="BD10" s="2" t="s">
        <v>279</v>
      </c>
      <c r="BE10" s="119" t="str">
        <f t="shared" si="2"/>
        <v>NPI: Not started: Drawing, Veneer/Wood, Marble, Metal, Electrical, Fabric for SW35</v>
      </c>
    </row>
    <row r="11" spans="1:58" x14ac:dyDescent="0.35">
      <c r="A11" s="2" t="str">
        <f>IFERROR(VLOOKUP(E11,'Customer '!$A$4:$D$23,3,FALSE),"")</f>
        <v>RH</v>
      </c>
      <c r="B11" s="2" t="s">
        <v>268</v>
      </c>
      <c r="C11" s="2" t="s">
        <v>290</v>
      </c>
      <c r="D11" s="2" t="s">
        <v>270</v>
      </c>
      <c r="E11" s="2" t="s">
        <v>61</v>
      </c>
      <c r="F11" s="2" t="str">
        <f>IFERROR(VLOOKUP(E11,'Customer '!$A$4:$D$28,2,FALSE),"")</f>
        <v>RH</v>
      </c>
      <c r="G11" s="2" t="s">
        <v>103</v>
      </c>
      <c r="H1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2025-RH-FOX HARBOR</v>
      </c>
      <c r="I11" s="2">
        <f ca="1">IF(OR($H11="",$B11=""),0,--(COUNTIFS($H$3:$H11,$H11,$B$3:$B11,$B11)=1))</f>
        <v>1</v>
      </c>
      <c r="J11" s="2" t="s">
        <v>272</v>
      </c>
      <c r="K11" s="2" t="s">
        <v>291</v>
      </c>
      <c r="L11" s="2" t="s">
        <v>274</v>
      </c>
      <c r="M11" s="278">
        <v>45917</v>
      </c>
      <c r="N11" s="278" t="s">
        <v>292</v>
      </c>
      <c r="O11" s="279"/>
      <c r="P11" s="2" t="s">
        <v>152</v>
      </c>
      <c r="Q11" s="2" t="s">
        <v>293</v>
      </c>
      <c r="V11" s="276">
        <v>26</v>
      </c>
      <c r="X11" s="280">
        <v>30383.55</v>
      </c>
      <c r="Y11" s="280">
        <v>30383.55</v>
      </c>
      <c r="Z11" s="2" t="s">
        <v>294</v>
      </c>
      <c r="AA11" s="2" t="str">
        <f t="shared" si="0"/>
        <v>2026</v>
      </c>
      <c r="AB11" s="278" t="s">
        <v>292</v>
      </c>
      <c r="AC11" s="278"/>
      <c r="AD11" s="277">
        <v>46116</v>
      </c>
      <c r="AE11" s="278">
        <v>46116</v>
      </c>
      <c r="AF11" s="2" t="str">
        <f>IF(AD11="","",IF(ISNUMBER(AD11),IF(AND(AD11&gt;='2026 Calendar'!$C$4,AD11&lt;='2026 Calendar'!$E$107),LOOKUP(AD11,'2026 Calendar'!$C$4:$C$107,'2026 Calendar'!$A$4:$A$107),YEAR(AD11-WEEKDAY(AD11,2)+4)&amp;"/W"&amp;TEXT(WEEKNUM(AD11,21),"00")),IF(IFERROR(ISNUMBER(SEARCH("/W",AD11)),FALSE),IF(IFERROR(ISNUMBER(SEARCH("-",AD11)),FALSE),LEFT(AD11,SEARCH("-",AD11)-1),AD11),AD11)))</f>
        <v>2026/W14</v>
      </c>
      <c r="AG11" s="2" t="str">
        <f>IF(AE11="","",IF(ISNUMBER(AE11),IF(AND(AE11&gt;='2026 Calendar'!$C$4,AE11&lt;='2026 Calendar'!$E$107),LOOKUP(AE11,'2026 Calendar'!$C$4:$C$107,'2026 Calendar'!$A$4:$A$107),YEAR(AE11-WEEKDAY(AE11,2)+4)&amp;"/W"&amp;TEXT(WEEKNUM(AE11,21),"00")),IF(IFERROR(ISNUMBER(SEARCH("/W",AE11)),FALSE),IF(IFERROR(ISNUMBER(SEARCH("-",AE11)),FALSE),MID(AE11,SEARCH("-",AE11)+1,100),AE11),AE11)))</f>
        <v>2026/W14</v>
      </c>
      <c r="AH11" s="2" t="s">
        <v>56</v>
      </c>
      <c r="AI11" s="278"/>
      <c r="AJ11" s="278"/>
      <c r="AK11" s="2" t="s">
        <v>56</v>
      </c>
      <c r="AL11" s="278"/>
      <c r="AM11" s="278"/>
      <c r="AN11" s="2" t="s">
        <v>73</v>
      </c>
      <c r="AO11" s="278"/>
      <c r="AP11" s="278"/>
      <c r="AQ11" s="2" t="s">
        <v>56</v>
      </c>
      <c r="AR11" s="278"/>
      <c r="AS11" s="278"/>
      <c r="AT11" s="2" t="s">
        <v>73</v>
      </c>
      <c r="AU11" s="278"/>
      <c r="AV11" s="278"/>
      <c r="AW11" s="2" t="s">
        <v>73</v>
      </c>
      <c r="AX11" s="278"/>
      <c r="AY11" s="278"/>
      <c r="AZ11" s="2" t="s">
        <v>57</v>
      </c>
      <c r="BA11" s="278"/>
      <c r="BB11" s="278"/>
      <c r="BC11" s="2" t="str">
        <f t="shared" si="1"/>
        <v>Complete</v>
      </c>
      <c r="BD11" s="2" t="s">
        <v>279</v>
      </c>
      <c r="BE11" s="119" t="str">
        <f t="shared" si="2"/>
        <v>READY</v>
      </c>
    </row>
    <row r="12" spans="1:58" x14ac:dyDescent="0.35">
      <c r="A12" s="2" t="str">
        <f>IFERROR(VLOOKUP(E12,'Customer '!$A$4:$D$23,3,FALSE),"")</f>
        <v>RH</v>
      </c>
      <c r="B12" s="2" t="s">
        <v>268</v>
      </c>
      <c r="C12" s="2" t="s">
        <v>269</v>
      </c>
      <c r="D12" s="2" t="s">
        <v>270</v>
      </c>
      <c r="E12" s="2" t="s">
        <v>61</v>
      </c>
      <c r="F12" s="2" t="str">
        <f>IFERROR(VLOOKUP(E12,'Customer '!$A$4:$D$28,2,FALSE),"")</f>
        <v>RH</v>
      </c>
      <c r="G12" s="2" t="s">
        <v>155</v>
      </c>
      <c r="H1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2025-RH-RH CASSIA CONDO</v>
      </c>
      <c r="I12" s="2">
        <f ca="1">IF(OR($H12="",$B12=""),0,--(COUNTIFS($H$3:$H12,$H12,$B$3:$B12,$B12)=1))</f>
        <v>1</v>
      </c>
      <c r="J12" s="2" t="s">
        <v>272</v>
      </c>
      <c r="K12" s="2" t="s">
        <v>273</v>
      </c>
      <c r="L12" s="2" t="s">
        <v>274</v>
      </c>
      <c r="M12" s="278">
        <v>46020</v>
      </c>
      <c r="N12" s="278">
        <v>46101</v>
      </c>
      <c r="O12" s="279"/>
      <c r="P12" s="2" t="s">
        <v>51</v>
      </c>
      <c r="Q12" s="2" t="s">
        <v>295</v>
      </c>
      <c r="V12" s="276">
        <v>50</v>
      </c>
      <c r="X12" s="280">
        <v>1161167</v>
      </c>
      <c r="Y12" s="280">
        <v>269518</v>
      </c>
      <c r="Z12" s="2" t="s">
        <v>281</v>
      </c>
      <c r="AA12" s="2" t="str">
        <f t="shared" si="0"/>
        <v>2026</v>
      </c>
      <c r="AB12" s="278">
        <v>46234</v>
      </c>
      <c r="AC12" s="278">
        <v>46241</v>
      </c>
      <c r="AD12" s="277">
        <v>46223</v>
      </c>
      <c r="AE12" s="278">
        <v>46269</v>
      </c>
      <c r="AF12" s="2" t="str">
        <f>IF(AD12="","",IF(ISNUMBER(AD12),IF(AND(AD12&gt;='2026 Calendar'!$C$4,AD12&lt;='2026 Calendar'!$E$107),LOOKUP(AD12,'2026 Calendar'!$C$4:$C$107,'2026 Calendar'!$A$4:$A$107),YEAR(AD12-WEEKDAY(AD12,2)+4)&amp;"/W"&amp;TEXT(WEEKNUM(AD12,21),"00")),IF(IFERROR(ISNUMBER(SEARCH("/W",AD12)),FALSE),IF(IFERROR(ISNUMBER(SEARCH("-",AD12)),FALSE),LEFT(AD12,SEARCH("-",AD12)-1),AD12),AD12)))</f>
        <v>2026/W30</v>
      </c>
      <c r="AG12" s="2" t="str">
        <f>IF(AE12="","",IF(ISNUMBER(AE12),IF(AND(AE12&gt;='2026 Calendar'!$C$4,AE12&lt;='2026 Calendar'!$E$107),LOOKUP(AE12,'2026 Calendar'!$C$4:$C$107,'2026 Calendar'!$A$4:$A$107),YEAR(AE12-WEEKDAY(AE12,2)+4)&amp;"/W"&amp;TEXT(WEEKNUM(AE12,21),"00")),IF(IFERROR(ISNUMBER(SEARCH("/W",AE12)),FALSE),IF(IFERROR(ISNUMBER(SEARCH("-",AE12)),FALSE),MID(AE12,SEARCH("-",AE12)+1,100),AE12),AE12)))</f>
        <v>2026/W36</v>
      </c>
      <c r="AH12" s="2" t="s">
        <v>56</v>
      </c>
      <c r="AI12" s="278"/>
      <c r="AJ12" s="278"/>
      <c r="AK12" s="2" t="s">
        <v>56</v>
      </c>
      <c r="AL12" s="278"/>
      <c r="AM12" s="278"/>
      <c r="AN12" s="2" t="s">
        <v>73</v>
      </c>
      <c r="AO12" s="278"/>
      <c r="AP12" s="278"/>
      <c r="AQ12" s="2" t="s">
        <v>56</v>
      </c>
      <c r="AR12" s="278"/>
      <c r="AS12" s="278"/>
      <c r="AT12" s="2" t="s">
        <v>73</v>
      </c>
      <c r="AU12" s="278"/>
      <c r="AV12" s="278"/>
      <c r="AW12" s="2" t="s">
        <v>73</v>
      </c>
      <c r="AX12" s="278"/>
      <c r="AY12" s="278"/>
      <c r="AZ12" s="2" t="s">
        <v>57</v>
      </c>
      <c r="BA12" s="278"/>
      <c r="BB12" s="278" t="s">
        <v>296</v>
      </c>
      <c r="BC12" s="2" t="str">
        <f t="shared" si="1"/>
        <v>Complete</v>
      </c>
      <c r="BD12" s="2" t="s">
        <v>279</v>
      </c>
      <c r="BE12" s="119" t="str">
        <f t="shared" si="2"/>
        <v>READY</v>
      </c>
    </row>
    <row r="13" spans="1:58" x14ac:dyDescent="0.35">
      <c r="A13" s="2" t="str">
        <f>IFERROR(VLOOKUP(E13,'Customer '!$A$4:$D$23,3,FALSE),"")</f>
        <v>RH</v>
      </c>
      <c r="B13" s="2" t="s">
        <v>268</v>
      </c>
      <c r="C13" s="2" t="s">
        <v>269</v>
      </c>
      <c r="D13" s="2" t="s">
        <v>270</v>
      </c>
      <c r="E13" s="2" t="s">
        <v>61</v>
      </c>
      <c r="F13" s="2" t="str">
        <f>IFERROR(VLOOKUP(E13,'Customer '!$A$4:$D$28,2,FALSE),"")</f>
        <v>RH</v>
      </c>
      <c r="G13" s="2" t="s">
        <v>155</v>
      </c>
      <c r="H1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2025-RH-RH CASSIA CONDO</v>
      </c>
      <c r="I13" s="2">
        <f ca="1">IF(OR($H13="",$B13=""),0,--(COUNTIFS($H$3:$H13,$H13,$B$3:$B13,$B13)=1))</f>
        <v>0</v>
      </c>
      <c r="J13" s="2" t="s">
        <v>272</v>
      </c>
      <c r="K13" s="2" t="s">
        <v>273</v>
      </c>
      <c r="L13" s="2" t="s">
        <v>274</v>
      </c>
      <c r="M13" s="278">
        <v>46020</v>
      </c>
      <c r="N13" s="278">
        <v>46101</v>
      </c>
      <c r="O13" s="279"/>
      <c r="P13" s="2" t="s">
        <v>51</v>
      </c>
      <c r="Q13" s="2" t="s">
        <v>295</v>
      </c>
      <c r="V13" s="276">
        <v>50</v>
      </c>
      <c r="X13" s="280">
        <v>1161167</v>
      </c>
      <c r="Y13" s="280">
        <v>760037</v>
      </c>
      <c r="Z13" s="2" t="s">
        <v>282</v>
      </c>
      <c r="AA13" s="2" t="str">
        <f t="shared" ref="AA13:AA14" si="6">IF(Z13="","",IF(OR(Z13="TBC",Z13="Removed"),Z13,LEFT(Z13,4)))</f>
        <v>2026</v>
      </c>
      <c r="AB13" s="278">
        <v>46234</v>
      </c>
      <c r="AC13" s="278">
        <v>46241</v>
      </c>
      <c r="AD13" s="277">
        <v>46223</v>
      </c>
      <c r="AE13" s="278">
        <v>46269</v>
      </c>
      <c r="AF13" s="2" t="str">
        <f>IF(AD13="","",IF(ISNUMBER(AD13),IF(AND(AD13&gt;='2026 Calendar'!$C$4,AD13&lt;='2026 Calendar'!$E$107),LOOKUP(AD13,'2026 Calendar'!$C$4:$C$107,'2026 Calendar'!$A$4:$A$107),YEAR(AD13-WEEKDAY(AD13,2)+4)&amp;"/W"&amp;TEXT(WEEKNUM(AD13,21),"00")),IF(IFERROR(ISNUMBER(SEARCH("/W",AD13)),FALSE),IF(IFERROR(ISNUMBER(SEARCH("-",AD13)),FALSE),LEFT(AD13,SEARCH("-",AD13)-1),AD13),AD13)))</f>
        <v>2026/W30</v>
      </c>
      <c r="AG13" s="2" t="str">
        <f>IF(AE13="","",IF(ISNUMBER(AE13),IF(AND(AE13&gt;='2026 Calendar'!$C$4,AE13&lt;='2026 Calendar'!$E$107),LOOKUP(AE13,'2026 Calendar'!$C$4:$C$107,'2026 Calendar'!$A$4:$A$107),YEAR(AE13-WEEKDAY(AE13,2)+4)&amp;"/W"&amp;TEXT(WEEKNUM(AE13,21),"00")),IF(IFERROR(ISNUMBER(SEARCH("/W",AE13)),FALSE),IF(IFERROR(ISNUMBER(SEARCH("-",AE13)),FALSE),MID(AE13,SEARCH("-",AE13)+1,100),AE13),AE13)))</f>
        <v>2026/W36</v>
      </c>
      <c r="AH13" s="2" t="s">
        <v>56</v>
      </c>
      <c r="AI13" s="278"/>
      <c r="AJ13" s="278"/>
      <c r="AK13" s="2" t="s">
        <v>56</v>
      </c>
      <c r="AL13" s="278"/>
      <c r="AM13" s="278"/>
      <c r="AN13" s="2" t="s">
        <v>73</v>
      </c>
      <c r="AO13" s="278"/>
      <c r="AP13" s="278"/>
      <c r="AQ13" s="2" t="s">
        <v>56</v>
      </c>
      <c r="AR13" s="278"/>
      <c r="AS13" s="278"/>
      <c r="AT13" s="2" t="s">
        <v>73</v>
      </c>
      <c r="AU13" s="278"/>
      <c r="AV13" s="278"/>
      <c r="AW13" s="2" t="s">
        <v>73</v>
      </c>
      <c r="AX13" s="278"/>
      <c r="AY13" s="278"/>
      <c r="AZ13" s="2" t="s">
        <v>278</v>
      </c>
      <c r="BA13" s="278"/>
      <c r="BB13" s="278" t="s">
        <v>296</v>
      </c>
      <c r="BC13" s="2" t="str">
        <f t="shared" si="1"/>
        <v>Complete</v>
      </c>
      <c r="BD13" s="2" t="s">
        <v>279</v>
      </c>
      <c r="BE13" s="119" t="str">
        <f t="shared" si="2"/>
        <v>READY</v>
      </c>
    </row>
    <row r="14" spans="1:58" x14ac:dyDescent="0.35">
      <c r="A14" s="2" t="str">
        <f>IFERROR(VLOOKUP(E14,'Customer '!$A$4:$D$23,3,FALSE),"")</f>
        <v>RH</v>
      </c>
      <c r="B14" s="2" t="s">
        <v>268</v>
      </c>
      <c r="C14" s="2" t="s">
        <v>269</v>
      </c>
      <c r="D14" s="2" t="s">
        <v>270</v>
      </c>
      <c r="E14" s="2" t="s">
        <v>61</v>
      </c>
      <c r="F14" s="2" t="str">
        <f>IFERROR(VLOOKUP(E14,'Customer '!$A$4:$D$28,2,FALSE),"")</f>
        <v>RH</v>
      </c>
      <c r="G14" s="2" t="s">
        <v>155</v>
      </c>
      <c r="H1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2025-RH-RH CASSIA CONDO</v>
      </c>
      <c r="I14" s="2">
        <f ca="1">IF(OR($H14="",$B14=""),0,--(COUNTIFS($H$3:$H14,$H14,$B$3:$B14,$B14)=1))</f>
        <v>0</v>
      </c>
      <c r="J14" s="2" t="s">
        <v>272</v>
      </c>
      <c r="K14" s="2" t="s">
        <v>273</v>
      </c>
      <c r="L14" s="2" t="s">
        <v>274</v>
      </c>
      <c r="M14" s="278">
        <v>46020</v>
      </c>
      <c r="N14" s="278">
        <v>46101</v>
      </c>
      <c r="O14" s="279"/>
      <c r="P14" s="2" t="s">
        <v>51</v>
      </c>
      <c r="Q14" s="2" t="s">
        <v>295</v>
      </c>
      <c r="R14" s="2">
        <v>0</v>
      </c>
      <c r="S14" s="2">
        <v>0</v>
      </c>
      <c r="V14" s="276">
        <v>50</v>
      </c>
      <c r="X14" s="280">
        <v>1161167</v>
      </c>
      <c r="Y14" s="280">
        <v>131612</v>
      </c>
      <c r="Z14" s="2" t="s">
        <v>297</v>
      </c>
      <c r="AA14" s="2" t="str">
        <f t="shared" si="6"/>
        <v>2026</v>
      </c>
      <c r="AB14" s="278">
        <v>46234</v>
      </c>
      <c r="AC14" s="278">
        <v>46241</v>
      </c>
      <c r="AD14" s="277">
        <v>46223</v>
      </c>
      <c r="AE14" s="278">
        <v>46269</v>
      </c>
      <c r="AF14" s="2" t="str">
        <f>IF(AD14="","",IF(ISNUMBER(AD14),IF(AND(AD14&gt;='2026 Calendar'!$C$4,AD14&lt;='2026 Calendar'!$E$107),LOOKUP(AD14,'2026 Calendar'!$C$4:$C$107,'2026 Calendar'!$A$4:$A$107),YEAR(AD14-WEEKDAY(AD14,2)+4)&amp;"/W"&amp;TEXT(WEEKNUM(AD14,21),"00")),IF(IFERROR(ISNUMBER(SEARCH("/W",AD14)),FALSE),IF(IFERROR(ISNUMBER(SEARCH("-",AD14)),FALSE),LEFT(AD14,SEARCH("-",AD14)-1),AD14),AD14)))</f>
        <v>2026/W30</v>
      </c>
      <c r="AG14" s="2" t="str">
        <f>IF(AE14="","",IF(ISNUMBER(AE14),IF(AND(AE14&gt;='2026 Calendar'!$C$4,AE14&lt;='2026 Calendar'!$E$107),LOOKUP(AE14,'2026 Calendar'!$C$4:$C$107,'2026 Calendar'!$A$4:$A$107),YEAR(AE14-WEEKDAY(AE14,2)+4)&amp;"/W"&amp;TEXT(WEEKNUM(AE14,21),"00")),IF(IFERROR(ISNUMBER(SEARCH("/W",AE14)),FALSE),IF(IFERROR(ISNUMBER(SEARCH("-",AE14)),FALSE),MID(AE14,SEARCH("-",AE14)+1,100),AE14),AE14)))</f>
        <v>2026/W36</v>
      </c>
      <c r="AH14" s="2" t="s">
        <v>56</v>
      </c>
      <c r="AI14" s="278"/>
      <c r="AJ14" s="278"/>
      <c r="AK14" s="2" t="s">
        <v>56</v>
      </c>
      <c r="AL14" s="278"/>
      <c r="AM14" s="278"/>
      <c r="AN14" s="2" t="s">
        <v>73</v>
      </c>
      <c r="AO14" s="278"/>
      <c r="AP14" s="278"/>
      <c r="AQ14" s="2" t="s">
        <v>56</v>
      </c>
      <c r="AR14" s="278"/>
      <c r="AS14" s="278"/>
      <c r="AT14" s="2" t="s">
        <v>73</v>
      </c>
      <c r="AU14" s="278"/>
      <c r="AV14" s="278"/>
      <c r="AW14" s="2" t="s">
        <v>73</v>
      </c>
      <c r="AX14" s="278"/>
      <c r="AY14" s="278"/>
      <c r="AZ14" s="2" t="s">
        <v>278</v>
      </c>
      <c r="BA14" s="278"/>
      <c r="BB14" s="278" t="s">
        <v>296</v>
      </c>
      <c r="BC14" s="2" t="str">
        <f t="shared" si="1"/>
        <v>Complete</v>
      </c>
      <c r="BD14" s="2" t="s">
        <v>279</v>
      </c>
      <c r="BE14" s="119" t="str">
        <f t="shared" si="2"/>
        <v>READY</v>
      </c>
    </row>
    <row r="15" spans="1:58" x14ac:dyDescent="0.35">
      <c r="A15" s="2" t="str">
        <f>IFERROR(VLOOKUP(E15,'Customer '!$A$4:$D$23,3,FALSE),"")</f>
        <v>RH</v>
      </c>
      <c r="B15" s="2" t="s">
        <v>268</v>
      </c>
      <c r="C15" s="2" t="s">
        <v>298</v>
      </c>
      <c r="D15" s="2" t="s">
        <v>270</v>
      </c>
      <c r="E15" s="2" t="s">
        <v>61</v>
      </c>
      <c r="F15" s="2" t="str">
        <f>IFERROR(VLOOKUP(E15,'Customer '!$A$4:$D$28,2,FALSE),"")</f>
        <v>RH</v>
      </c>
      <c r="G15" s="2" t="s">
        <v>299</v>
      </c>
      <c r="H1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2025-RH-MAIN STREET BOUTIQUE HOTEL</v>
      </c>
      <c r="I15" s="2">
        <f ca="1">IF(OR($H15="",$B15=""),0,--(COUNTIFS($H$3:$H15,$H15,$B$3:$B15,$B15)=1))</f>
        <v>1</v>
      </c>
      <c r="J15" s="2" t="s">
        <v>272</v>
      </c>
      <c r="K15" s="2" t="s">
        <v>273</v>
      </c>
      <c r="L15" s="2" t="s">
        <v>274</v>
      </c>
      <c r="M15" s="278">
        <v>45953</v>
      </c>
      <c r="N15" s="278">
        <v>45964</v>
      </c>
      <c r="O15" s="279"/>
      <c r="P15" s="2" t="s">
        <v>51</v>
      </c>
      <c r="Q15" s="2" t="s">
        <v>152</v>
      </c>
      <c r="V15" s="276">
        <v>9</v>
      </c>
      <c r="X15" s="280">
        <v>54061.599999999999</v>
      </c>
      <c r="Y15" s="280">
        <v>54061.599999999999</v>
      </c>
      <c r="Z15" s="2" t="s">
        <v>294</v>
      </c>
      <c r="AA15" s="2" t="str">
        <f t="shared" si="0"/>
        <v>2026</v>
      </c>
      <c r="AB15" s="278" t="s">
        <v>292</v>
      </c>
      <c r="AC15" s="278"/>
      <c r="AD15" s="277">
        <v>46116</v>
      </c>
      <c r="AE15" s="278">
        <v>46116</v>
      </c>
      <c r="AF15" s="2" t="str">
        <f>IF(AD15="","",IF(ISNUMBER(AD15),IF(AND(AD15&gt;='2026 Calendar'!$C$4,AD15&lt;='2026 Calendar'!$E$107),LOOKUP(AD15,'2026 Calendar'!$C$4:$C$107,'2026 Calendar'!$A$4:$A$107),YEAR(AD15-WEEKDAY(AD15,2)+4)&amp;"/W"&amp;TEXT(WEEKNUM(AD15,21),"00")),IF(IFERROR(ISNUMBER(SEARCH("/W",AD15)),FALSE),IF(IFERROR(ISNUMBER(SEARCH("-",AD15)),FALSE),LEFT(AD15,SEARCH("-",AD15)-1),AD15),AD15)))</f>
        <v>2026/W14</v>
      </c>
      <c r="AG15" s="2" t="str">
        <f>IF(AE15="","",IF(ISNUMBER(AE15),IF(AND(AE15&gt;='2026 Calendar'!$C$4,AE15&lt;='2026 Calendar'!$E$107),LOOKUP(AE15,'2026 Calendar'!$C$4:$C$107,'2026 Calendar'!$A$4:$A$107),YEAR(AE15-WEEKDAY(AE15,2)+4)&amp;"/W"&amp;TEXT(WEEKNUM(AE15,21),"00")),IF(IFERROR(ISNUMBER(SEARCH("/W",AE15)),FALSE),IF(IFERROR(ISNUMBER(SEARCH("-",AE15)),FALSE),MID(AE15,SEARCH("-",AE15)+1,100),AE15),AE15)))</f>
        <v>2026/W14</v>
      </c>
      <c r="AH15" s="2" t="s">
        <v>56</v>
      </c>
      <c r="AI15" s="278"/>
      <c r="AJ15" s="278"/>
      <c r="AK15" s="2" t="s">
        <v>56</v>
      </c>
      <c r="AL15" s="278"/>
      <c r="AM15" s="278"/>
      <c r="AN15" s="2" t="s">
        <v>73</v>
      </c>
      <c r="AO15" s="278"/>
      <c r="AP15" s="278"/>
      <c r="AQ15" s="2" t="s">
        <v>56</v>
      </c>
      <c r="AR15" s="278"/>
      <c r="AS15" s="278"/>
      <c r="AT15" s="2" t="s">
        <v>56</v>
      </c>
      <c r="AU15" s="278"/>
      <c r="AV15" s="278"/>
      <c r="AW15" s="2" t="s">
        <v>56</v>
      </c>
      <c r="AX15" s="278"/>
      <c r="AY15" s="278"/>
      <c r="AZ15" s="2" t="s">
        <v>57</v>
      </c>
      <c r="BA15" s="278"/>
      <c r="BB15" s="278"/>
      <c r="BC15" s="2" t="str">
        <f t="shared" si="1"/>
        <v>Complete</v>
      </c>
      <c r="BD15" s="2" t="s">
        <v>279</v>
      </c>
      <c r="BE15" s="119" t="str">
        <f t="shared" si="2"/>
        <v>READY</v>
      </c>
    </row>
    <row r="16" spans="1:58" x14ac:dyDescent="0.35">
      <c r="A16" s="2" t="str">
        <f>IFERROR(VLOOKUP(E16,'Customer '!$A$4:$D$23,3,FALSE),"")</f>
        <v>RH</v>
      </c>
      <c r="B16" s="2" t="s">
        <v>268</v>
      </c>
      <c r="C16" s="2" t="s">
        <v>298</v>
      </c>
      <c r="E16" s="2" t="s">
        <v>61</v>
      </c>
      <c r="F16" s="2" t="str">
        <f>IFERROR(VLOOKUP(E16,'Customer '!$A$4:$D$28,2,FALSE),"")</f>
        <v>RH</v>
      </c>
      <c r="G16" s="2" t="s">
        <v>70</v>
      </c>
      <c r="H1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2025-RH-CHICAGO PENDRY</v>
      </c>
      <c r="I16" s="2">
        <f ca="1">IF(OR($H16="",$B16=""),0,--(COUNTIFS($H$3:$H16,$H16,$B$3:$B16,$B16)=1))</f>
        <v>1</v>
      </c>
      <c r="J16" s="2" t="s">
        <v>300</v>
      </c>
      <c r="K16" s="2" t="s">
        <v>273</v>
      </c>
      <c r="L16" s="2" t="s">
        <v>301</v>
      </c>
      <c r="M16" s="278">
        <v>45828</v>
      </c>
      <c r="N16" s="278"/>
      <c r="O16" s="279"/>
      <c r="P16" s="2" t="s">
        <v>51</v>
      </c>
      <c r="Q16" s="2" t="s">
        <v>302</v>
      </c>
      <c r="V16" s="276">
        <v>2</v>
      </c>
      <c r="X16" s="280">
        <v>135705</v>
      </c>
      <c r="Y16" s="280">
        <v>135705</v>
      </c>
      <c r="Z16" s="2" t="s">
        <v>303</v>
      </c>
      <c r="AA16" s="2" t="str">
        <f t="shared" si="0"/>
        <v>2026</v>
      </c>
      <c r="AB16" s="278" t="s">
        <v>292</v>
      </c>
      <c r="AC16" s="278"/>
      <c r="AD16" s="277">
        <v>46116</v>
      </c>
      <c r="AE16" s="278">
        <v>46116</v>
      </c>
      <c r="AF16" s="2" t="str">
        <f>IF(AD16="","",IF(ISNUMBER(AD16),IF(AND(AD16&gt;='2026 Calendar'!$C$4,AD16&lt;='2026 Calendar'!$E$107),LOOKUP(AD16,'2026 Calendar'!$C$4:$C$107,'2026 Calendar'!$A$4:$A$107),YEAR(AD16-WEEKDAY(AD16,2)+4)&amp;"/W"&amp;TEXT(WEEKNUM(AD16,21),"00")),IF(IFERROR(ISNUMBER(SEARCH("/W",AD16)),FALSE),IF(IFERROR(ISNUMBER(SEARCH("-",AD16)),FALSE),LEFT(AD16,SEARCH("-",AD16)-1),AD16),AD16)))</f>
        <v>2026/W14</v>
      </c>
      <c r="AG16" s="2" t="str">
        <f>IF(AE16="","",IF(ISNUMBER(AE16),IF(AND(AE16&gt;='2026 Calendar'!$C$4,AE16&lt;='2026 Calendar'!$E$107),LOOKUP(AE16,'2026 Calendar'!$C$4:$C$107,'2026 Calendar'!$A$4:$A$107),YEAR(AE16-WEEKDAY(AE16,2)+4)&amp;"/W"&amp;TEXT(WEEKNUM(AE16,21),"00")),IF(IFERROR(ISNUMBER(SEARCH("/W",AE16)),FALSE),IF(IFERROR(ISNUMBER(SEARCH("-",AE16)),FALSE),MID(AE16,SEARCH("-",AE16)+1,100),AE16),AE16)))</f>
        <v>2026/W14</v>
      </c>
      <c r="AH16" s="2" t="s">
        <v>304</v>
      </c>
      <c r="AI16" s="278"/>
      <c r="AJ16" s="278"/>
      <c r="AL16" s="278"/>
      <c r="AM16" s="278"/>
      <c r="AO16" s="278"/>
      <c r="AP16" s="278"/>
      <c r="AR16" s="278"/>
      <c r="AS16" s="278"/>
      <c r="AU16" s="278"/>
      <c r="AV16" s="278"/>
      <c r="AX16" s="278"/>
      <c r="AY16" s="278"/>
      <c r="BA16" s="278"/>
      <c r="BB16" s="278"/>
      <c r="BC16" s="2" t="str">
        <f t="shared" si="1"/>
        <v>Complete</v>
      </c>
      <c r="BD16" s="2" t="s">
        <v>279</v>
      </c>
      <c r="BE16" s="119" t="str">
        <f t="shared" si="2"/>
        <v>NPI: In progress: Drawing for SW14</v>
      </c>
    </row>
    <row r="17" spans="1:58" x14ac:dyDescent="0.35">
      <c r="A17" s="2" t="str">
        <f>IFERROR(VLOOKUP(E17,'Customer '!$A$4:$D$23,3,FALSE),"")</f>
        <v>RH</v>
      </c>
      <c r="B17" s="2" t="s">
        <v>268</v>
      </c>
      <c r="C17" s="2" t="s">
        <v>298</v>
      </c>
      <c r="D17" s="2" t="s">
        <v>270</v>
      </c>
      <c r="E17" s="2" t="s">
        <v>61</v>
      </c>
      <c r="F17" s="2" t="str">
        <f>IFERROR(VLOOKUP(E17,'Customer '!$A$4:$D$28,2,FALSE),"")</f>
        <v>RH</v>
      </c>
      <c r="G17" s="2" t="s">
        <v>74</v>
      </c>
      <c r="H1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2026-RH-CIA O&amp;O GUESTROOMS</v>
      </c>
      <c r="I17" s="2">
        <f ca="1">IF(OR($H17="",$B17=""),0,--(COUNTIFS($H$3:$H17,$H17,$B$3:$B17,$B17)=1))</f>
        <v>1</v>
      </c>
      <c r="J17" s="2" t="s">
        <v>284</v>
      </c>
      <c r="K17" s="2" t="s">
        <v>273</v>
      </c>
      <c r="L17" s="2" t="s">
        <v>301</v>
      </c>
      <c r="M17" s="278"/>
      <c r="N17" s="278"/>
      <c r="O17" s="279"/>
      <c r="P17" s="2" t="s">
        <v>51</v>
      </c>
      <c r="Q17" s="2" t="s">
        <v>152</v>
      </c>
      <c r="R17" s="2">
        <v>0</v>
      </c>
      <c r="S17" s="2">
        <v>0</v>
      </c>
      <c r="V17" s="276">
        <v>12</v>
      </c>
      <c r="X17" s="280">
        <v>143556.08999999997</v>
      </c>
      <c r="Y17" s="280">
        <v>143556.08999999997</v>
      </c>
      <c r="Z17" s="2" t="s">
        <v>288</v>
      </c>
      <c r="AA17" s="2" t="str">
        <f t="shared" si="0"/>
        <v>2027</v>
      </c>
      <c r="AB17" s="278" t="s">
        <v>292</v>
      </c>
      <c r="AC17" s="278"/>
      <c r="AD17" s="277">
        <v>46206</v>
      </c>
      <c r="AE17" s="278">
        <v>46213</v>
      </c>
      <c r="AF17" s="2" t="str">
        <f>IF(AD17="","",IF(ISNUMBER(AD17),IF(AND(AD17&gt;='2026 Calendar'!$C$4,AD17&lt;='2026 Calendar'!$E$107),LOOKUP(AD17,'2026 Calendar'!$C$4:$C$107,'2026 Calendar'!$A$4:$A$107),YEAR(AD17-WEEKDAY(AD17,2)+4)&amp;"/W"&amp;TEXT(WEEKNUM(AD17,21),"00")),IF(IFERROR(ISNUMBER(SEARCH("/W",AD17)),FALSE),IF(IFERROR(ISNUMBER(SEARCH("-",AD17)),FALSE),LEFT(AD17,SEARCH("-",AD17)-1),AD17),AD17)))</f>
        <v>2026/W27</v>
      </c>
      <c r="AG17" s="2" t="str">
        <f>IF(AE17="","",IF(ISNUMBER(AE17),IF(AND(AE17&gt;='2026 Calendar'!$C$4,AE17&lt;='2026 Calendar'!$E$107),LOOKUP(AE17,'2026 Calendar'!$C$4:$C$107,'2026 Calendar'!$A$4:$A$107),YEAR(AE17-WEEKDAY(AE17,2)+4)&amp;"/W"&amp;TEXT(WEEKNUM(AE17,21),"00")),IF(IFERROR(ISNUMBER(SEARCH("/W",AE17)),FALSE),IF(IFERROR(ISNUMBER(SEARCH("-",AE17)),FALSE),MID(AE17,SEARCH("-",AE17)+1,100),AE17),AE17)))</f>
        <v>2026/W28</v>
      </c>
      <c r="AH17" s="2" t="s">
        <v>56</v>
      </c>
      <c r="AI17" s="278"/>
      <c r="AJ17" s="278"/>
      <c r="AK17" s="2" t="s">
        <v>56</v>
      </c>
      <c r="AL17" s="278"/>
      <c r="AM17" s="278"/>
      <c r="AN17" s="2" t="s">
        <v>56</v>
      </c>
      <c r="AO17" s="278"/>
      <c r="AP17" s="278"/>
      <c r="AQ17" s="2" t="s">
        <v>56</v>
      </c>
      <c r="AR17" s="278"/>
      <c r="AS17" s="278"/>
      <c r="AT17" s="2" t="s">
        <v>56</v>
      </c>
      <c r="AU17" s="278"/>
      <c r="AV17" s="278"/>
      <c r="AW17" s="2" t="s">
        <v>73</v>
      </c>
      <c r="AX17" s="278"/>
      <c r="AY17" s="278"/>
      <c r="AZ17" s="2" t="s">
        <v>57</v>
      </c>
      <c r="BA17" s="278"/>
      <c r="BB17" s="278"/>
      <c r="BC17" s="2" t="str">
        <f t="shared" si="1"/>
        <v>Active</v>
      </c>
      <c r="BD17" s="2" t="s">
        <v>279</v>
      </c>
      <c r="BE17" s="119" t="str">
        <f t="shared" si="2"/>
        <v>NPI: Fabric is com for SW28</v>
      </c>
      <c r="BF17" s="2" t="s">
        <v>305</v>
      </c>
    </row>
    <row r="18" spans="1:58" x14ac:dyDescent="0.35">
      <c r="A18" s="2" t="str">
        <f>IFERROR(VLOOKUP(E18,'Customer '!$A$4:$D$23,3,FALSE),"")</f>
        <v>RH</v>
      </c>
      <c r="B18" s="2" t="s">
        <v>268</v>
      </c>
      <c r="C18" s="2" t="s">
        <v>306</v>
      </c>
      <c r="D18" s="2" t="s">
        <v>270</v>
      </c>
      <c r="E18" s="2" t="s">
        <v>61</v>
      </c>
      <c r="F18" s="2" t="str">
        <f>IFERROR(VLOOKUP(E18,'Customer '!$A$4:$D$28,2,FALSE),"")</f>
        <v>RH</v>
      </c>
      <c r="G18" s="2" t="s">
        <v>307</v>
      </c>
      <c r="H1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2026-RH-HA STUDIO PICO/WILKINS</v>
      </c>
      <c r="I18" s="2">
        <f ca="1">IF(OR($H18="",$B18=""),0,--(COUNTIFS($H$3:$H18,$H18,$B$3:$B18,$B18)=1))</f>
        <v>1</v>
      </c>
      <c r="J18" s="2" t="s">
        <v>272</v>
      </c>
      <c r="K18" s="2" t="s">
        <v>273</v>
      </c>
      <c r="L18" s="2" t="s">
        <v>285</v>
      </c>
      <c r="M18" s="278">
        <v>46027</v>
      </c>
      <c r="N18" s="278">
        <v>46048</v>
      </c>
      <c r="O18" s="279"/>
      <c r="P18" s="2" t="s">
        <v>51</v>
      </c>
      <c r="Q18" s="2" t="s">
        <v>152</v>
      </c>
      <c r="V18" s="276">
        <v>1</v>
      </c>
      <c r="X18" s="280">
        <v>12309</v>
      </c>
      <c r="Y18" s="280">
        <v>12309</v>
      </c>
      <c r="Z18" s="2" t="s">
        <v>280</v>
      </c>
      <c r="AA18" s="2" t="str">
        <f t="shared" ref="AA18" si="7">IF(Z18="","",IF(OR(Z18="TBC",Z18="Removed"),Z18,LEFT(Z18,4)))</f>
        <v>2026</v>
      </c>
      <c r="AB18" s="278">
        <v>46171</v>
      </c>
      <c r="AC18" s="278">
        <v>46189</v>
      </c>
      <c r="AD18" s="277">
        <v>46116</v>
      </c>
      <c r="AE18" s="277">
        <v>46116</v>
      </c>
      <c r="AF18" s="2" t="str">
        <f>IF(AD18="","",IF(ISNUMBER(AD18),IF(AND(AD18&gt;='2026 Calendar'!$C$4,AD18&lt;='2026 Calendar'!$E$107),LOOKUP(AD18,'2026 Calendar'!$C$4:$C$107,'2026 Calendar'!$A$4:$A$107),YEAR(AD18-WEEKDAY(AD18,2)+4)&amp;"/W"&amp;TEXT(WEEKNUM(AD18,21),"00")),IF(IFERROR(ISNUMBER(SEARCH("/W",AD18)),FALSE),IF(IFERROR(ISNUMBER(SEARCH("-",AD18)),FALSE),LEFT(AD18,SEARCH("-",AD18)-1),AD18),AD18)))</f>
        <v>2026/W14</v>
      </c>
      <c r="AG18" s="2" t="str">
        <f>IF(AE18="","",IF(ISNUMBER(AE18),IF(AND(AE18&gt;='2026 Calendar'!$C$4,AE18&lt;='2026 Calendar'!$E$107),LOOKUP(AE18,'2026 Calendar'!$C$4:$C$107,'2026 Calendar'!$A$4:$A$107),YEAR(AE18-WEEKDAY(AE18,2)+4)&amp;"/W"&amp;TEXT(WEEKNUM(AE18,21),"00")),IF(IFERROR(ISNUMBER(SEARCH("/W",AE18)),FALSE),IF(IFERROR(ISNUMBER(SEARCH("-",AE18)),FALSE),MID(AE18,SEARCH("-",AE18)+1,100),AE18),AE18)))</f>
        <v>2026/W14</v>
      </c>
      <c r="AH18" s="2" t="s">
        <v>56</v>
      </c>
      <c r="AI18" s="278"/>
      <c r="AJ18" s="278">
        <v>46058</v>
      </c>
      <c r="AK18" s="2" t="s">
        <v>56</v>
      </c>
      <c r="AL18" s="278"/>
      <c r="AM18" s="278">
        <v>46058</v>
      </c>
      <c r="AN18" s="2" t="s">
        <v>73</v>
      </c>
      <c r="AO18" s="278"/>
      <c r="AP18" s="278"/>
      <c r="AQ18" s="2" t="s">
        <v>56</v>
      </c>
      <c r="AR18" s="278"/>
      <c r="AS18" s="278">
        <v>46058</v>
      </c>
      <c r="AT18" s="2" t="s">
        <v>73</v>
      </c>
      <c r="AU18" s="278"/>
      <c r="AV18" s="278"/>
      <c r="AW18" s="2" t="s">
        <v>73</v>
      </c>
      <c r="AX18" s="278"/>
      <c r="AY18" s="278"/>
      <c r="AZ18" s="2" t="s">
        <v>73</v>
      </c>
      <c r="BA18" s="278"/>
      <c r="BB18" s="278"/>
      <c r="BC18" s="2" t="str">
        <f t="shared" si="1"/>
        <v>Complete</v>
      </c>
      <c r="BD18" s="2" t="s">
        <v>279</v>
      </c>
      <c r="BE18" s="119" t="str">
        <f t="shared" si="2"/>
        <v>READY</v>
      </c>
    </row>
    <row r="19" spans="1:58" x14ac:dyDescent="0.35">
      <c r="A19" s="2" t="str">
        <f>IFERROR(VLOOKUP(E19,'Customer '!$A$4:$D$23,3,FALSE),"")</f>
        <v>RH</v>
      </c>
      <c r="B19" s="2" t="s">
        <v>268</v>
      </c>
      <c r="C19" s="2" t="s">
        <v>308</v>
      </c>
      <c r="D19" s="2" t="s">
        <v>270</v>
      </c>
      <c r="E19" s="2" t="s">
        <v>61</v>
      </c>
      <c r="F19" s="2" t="str">
        <f>IFERROR(VLOOKUP(E19,'Customer '!$A$4:$D$28,2,FALSE),"")</f>
        <v>RH</v>
      </c>
      <c r="G19" s="2" t="s">
        <v>1563</v>
      </c>
      <c r="H1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2026-RH-HA STUDIO PICO/WILKINS-REODER</v>
      </c>
      <c r="I19" s="2">
        <f ca="1">IF(OR($H19="",$B19=""),0,--(COUNTIFS($H$3:$H19,$H19,$B$3:$B19,$B19)=1))</f>
        <v>1</v>
      </c>
      <c r="J19" s="2" t="s">
        <v>309</v>
      </c>
      <c r="K19" s="2" t="s">
        <v>291</v>
      </c>
      <c r="L19" s="2" t="s">
        <v>310</v>
      </c>
      <c r="M19" s="278">
        <v>46227</v>
      </c>
      <c r="N19" s="278">
        <v>46230</v>
      </c>
      <c r="O19" s="279"/>
      <c r="P19" s="2" t="s">
        <v>51</v>
      </c>
      <c r="Q19" s="2" t="s">
        <v>152</v>
      </c>
      <c r="R19" s="2">
        <v>0</v>
      </c>
      <c r="S19" s="2">
        <v>0</v>
      </c>
      <c r="V19" s="276">
        <v>1</v>
      </c>
      <c r="W19" s="276">
        <v>20</v>
      </c>
      <c r="X19" s="280">
        <v>3454</v>
      </c>
      <c r="Y19" s="280">
        <v>3454</v>
      </c>
      <c r="Z19" s="2" t="s">
        <v>311</v>
      </c>
      <c r="AA19" s="2" t="str">
        <f t="shared" si="0"/>
        <v>2026</v>
      </c>
      <c r="AB19" s="278"/>
      <c r="AC19" s="278"/>
      <c r="AD19" s="277">
        <v>46346</v>
      </c>
      <c r="AE19" s="277">
        <v>46346</v>
      </c>
      <c r="AF19" s="2" t="str">
        <f>IF(AD19="","",IF(ISNUMBER(AD19),IF(AND(AD19&gt;='2026 Calendar'!$C$4,AD19&lt;='2026 Calendar'!$E$107),LOOKUP(AD19,'2026 Calendar'!$C$4:$C$107,'2026 Calendar'!$A$4:$A$107),YEAR(AD19-WEEKDAY(AD19,2)+4)&amp;"/W"&amp;TEXT(WEEKNUM(AD19,21),"00")),IF(IFERROR(ISNUMBER(SEARCH("/W",AD19)),FALSE),IF(IFERROR(ISNUMBER(SEARCH("-",AD19)),FALSE),LEFT(AD19,SEARCH("-",AD19)-1),AD19),AD19)))</f>
        <v>2026/W47</v>
      </c>
      <c r="AG19" s="2" t="str">
        <f>IF(AE19="","",IF(ISNUMBER(AE19),IF(AND(AE19&gt;='2026 Calendar'!$C$4,AE19&lt;='2026 Calendar'!$E$107),LOOKUP(AE19,'2026 Calendar'!$C$4:$C$107,'2026 Calendar'!$A$4:$A$107),YEAR(AE19-WEEKDAY(AE19,2)+4)&amp;"/W"&amp;TEXT(WEEKNUM(AE19,21),"00")),IF(IFERROR(ISNUMBER(SEARCH("/W",AE19)),FALSE),IF(IFERROR(ISNUMBER(SEARCH("-",AE19)),FALSE),MID(AE19,SEARCH("-",AE19)+1,100),AE19),AE19)))</f>
        <v>2026/W47</v>
      </c>
      <c r="AH19" s="2" t="s">
        <v>56</v>
      </c>
      <c r="AI19" s="278"/>
      <c r="AJ19" s="278">
        <v>46058</v>
      </c>
      <c r="AK19" s="2" t="s">
        <v>56</v>
      </c>
      <c r="AL19" s="278"/>
      <c r="AM19" s="278">
        <v>46058</v>
      </c>
      <c r="AN19" s="2" t="s">
        <v>73</v>
      </c>
      <c r="AO19" s="278"/>
      <c r="AP19" s="278"/>
      <c r="AQ19" s="2" t="s">
        <v>56</v>
      </c>
      <c r="AR19" s="278"/>
      <c r="AS19" s="278">
        <v>46058</v>
      </c>
      <c r="AT19" s="2" t="s">
        <v>73</v>
      </c>
      <c r="AU19" s="278"/>
      <c r="AV19" s="278"/>
      <c r="AW19" s="2" t="s">
        <v>73</v>
      </c>
      <c r="AX19" s="278"/>
      <c r="AY19" s="278"/>
      <c r="AZ19" s="2" t="s">
        <v>73</v>
      </c>
      <c r="BA19" s="278"/>
      <c r="BB19" s="278"/>
      <c r="BC19" s="2" t="str">
        <f t="shared" si="1"/>
        <v>Active</v>
      </c>
      <c r="BD19" s="2" t="s">
        <v>279</v>
      </c>
      <c r="BE19" s="119" t="str">
        <f t="shared" si="2"/>
        <v>NPI: All development items approved/closed for SW47</v>
      </c>
    </row>
    <row r="20" spans="1:58" x14ac:dyDescent="0.35">
      <c r="A20" s="2" t="str">
        <f>IFERROR(VLOOKUP(E20,'Customer '!$A$4:$D$23,3,FALSE),"")</f>
        <v>RH</v>
      </c>
      <c r="B20" s="2" t="s">
        <v>268</v>
      </c>
      <c r="C20" s="2" t="s">
        <v>308</v>
      </c>
      <c r="D20" s="2" t="s">
        <v>312</v>
      </c>
      <c r="E20" s="2" t="s">
        <v>61</v>
      </c>
      <c r="F20" s="2" t="str">
        <f>IFERROR(VLOOKUP(E20,'Customer '!$A$4:$D$28,2,FALSE),"")</f>
        <v>RH</v>
      </c>
      <c r="G20" s="2" t="s">
        <v>146</v>
      </c>
      <c r="H2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2026-RH-NAMA LISBON</v>
      </c>
      <c r="I20" s="2">
        <f ca="1">IF(OR($H20="",$B20=""),0,--(COUNTIFS($H$3:$H20,$H20,$B$3:$B20,$B20)=1))</f>
        <v>1</v>
      </c>
      <c r="J20" s="2" t="s">
        <v>272</v>
      </c>
      <c r="K20" s="2" t="s">
        <v>273</v>
      </c>
      <c r="L20" s="2" t="s">
        <v>310</v>
      </c>
      <c r="M20" s="278">
        <v>46037</v>
      </c>
      <c r="N20" s="278">
        <v>46083</v>
      </c>
      <c r="O20" s="279"/>
      <c r="P20" s="2" t="s">
        <v>147</v>
      </c>
      <c r="Q20" s="2" t="s">
        <v>313</v>
      </c>
      <c r="R20" s="2">
        <v>0</v>
      </c>
      <c r="S20" s="2">
        <v>0</v>
      </c>
      <c r="V20" s="276">
        <v>11</v>
      </c>
      <c r="W20" s="276">
        <v>191</v>
      </c>
      <c r="X20" s="280">
        <v>202175</v>
      </c>
      <c r="Y20" s="280">
        <v>74720</v>
      </c>
      <c r="Z20" s="2" t="s">
        <v>297</v>
      </c>
      <c r="AA20" s="2" t="str">
        <f t="shared" ref="AA20:AA21" si="8">IF(Z20="","",IF(OR(Z20="TBC",Z20="Removed"),Z20,LEFT(Z20,4)))</f>
        <v>2026</v>
      </c>
      <c r="AB20" s="278">
        <v>46163</v>
      </c>
      <c r="AC20" s="278">
        <v>46170</v>
      </c>
      <c r="AD20" s="277">
        <v>46278</v>
      </c>
      <c r="AE20" s="277">
        <v>46278</v>
      </c>
      <c r="AF20" s="2" t="str">
        <f>IF(AD20="","",IF(ISNUMBER(AD20),IF(AND(AD20&gt;='2026 Calendar'!$C$4,AD20&lt;='2026 Calendar'!$E$107),LOOKUP(AD20,'2026 Calendar'!$C$4:$C$107,'2026 Calendar'!$A$4:$A$107),YEAR(AD20-WEEKDAY(AD20,2)+4)&amp;"/W"&amp;TEXT(WEEKNUM(AD20,21),"00")),IF(IFERROR(ISNUMBER(SEARCH("/W",AD20)),FALSE),IF(IFERROR(ISNUMBER(SEARCH("-",AD20)),FALSE),LEFT(AD20,SEARCH("-",AD20)-1),AD20),AD20)))</f>
        <v>2026/W37</v>
      </c>
      <c r="AG20" s="2" t="str">
        <f>IF(AE20="","",IF(ISNUMBER(AE20),IF(AND(AE20&gt;='2026 Calendar'!$C$4,AE20&lt;='2026 Calendar'!$E$107),LOOKUP(AE20,'2026 Calendar'!$C$4:$C$107,'2026 Calendar'!$A$4:$A$107),YEAR(AE20-WEEKDAY(AE20,2)+4)&amp;"/W"&amp;TEXT(WEEKNUM(AE20,21),"00")),IF(IFERROR(ISNUMBER(SEARCH("/W",AE20)),FALSE),IF(IFERROR(ISNUMBER(SEARCH("-",AE20)),FALSE),MID(AE20,SEARCH("-",AE20)+1,100),AE20),AE20)))</f>
        <v>2026/W37</v>
      </c>
      <c r="AH20" s="2" t="s">
        <v>56</v>
      </c>
      <c r="AI20" s="278"/>
      <c r="AJ20" s="278">
        <v>46083</v>
      </c>
      <c r="AK20" s="2" t="s">
        <v>56</v>
      </c>
      <c r="AL20" s="278"/>
      <c r="AM20" s="278">
        <v>46083</v>
      </c>
      <c r="AN20" s="2" t="s">
        <v>73</v>
      </c>
      <c r="AO20" s="278"/>
      <c r="AP20" s="278"/>
      <c r="AQ20" s="2" t="s">
        <v>56</v>
      </c>
      <c r="AR20" s="278"/>
      <c r="AS20" s="278"/>
      <c r="AT20" s="2" t="s">
        <v>73</v>
      </c>
      <c r="AU20" s="278"/>
      <c r="AV20" s="278"/>
      <c r="AW20" s="2" t="s">
        <v>73</v>
      </c>
      <c r="AX20" s="278"/>
      <c r="AY20" s="278"/>
      <c r="AZ20" s="2" t="s">
        <v>73</v>
      </c>
      <c r="BA20" s="278"/>
      <c r="BB20" s="278"/>
      <c r="BC20" s="2" t="str">
        <f t="shared" si="1"/>
        <v>Complete</v>
      </c>
      <c r="BD20" s="2" t="s">
        <v>279</v>
      </c>
      <c r="BE20" s="119" t="str">
        <f t="shared" si="2"/>
        <v>READY</v>
      </c>
    </row>
    <row r="21" spans="1:58" x14ac:dyDescent="0.35">
      <c r="A21" s="2" t="str">
        <f>IFERROR(VLOOKUP(E21,'Customer '!$A$4:$D$23,3,FALSE),"")</f>
        <v>RH</v>
      </c>
      <c r="B21" s="2" t="s">
        <v>268</v>
      </c>
      <c r="C21" s="2" t="s">
        <v>308</v>
      </c>
      <c r="D21" s="2" t="s">
        <v>312</v>
      </c>
      <c r="E21" s="2" t="s">
        <v>61</v>
      </c>
      <c r="F21" s="2" t="str">
        <f>IFERROR(VLOOKUP(E21,'Customer '!$A$4:$D$28,2,FALSE),"")</f>
        <v>RH</v>
      </c>
      <c r="G21" s="2" t="s">
        <v>146</v>
      </c>
      <c r="H2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2026-RH-NAMA LISBON</v>
      </c>
      <c r="I21" s="2">
        <f ca="1">IF(OR($H21="",$B21=""),0,--(COUNTIFS($H$3:$H21,$H21,$B$3:$B21,$B21)=1))</f>
        <v>0</v>
      </c>
      <c r="J21" s="2" t="s">
        <v>309</v>
      </c>
      <c r="K21" s="2" t="s">
        <v>273</v>
      </c>
      <c r="L21" s="2" t="s">
        <v>310</v>
      </c>
      <c r="M21" s="278">
        <v>46037</v>
      </c>
      <c r="N21" s="278">
        <v>46083</v>
      </c>
      <c r="O21" s="279"/>
      <c r="P21" s="2" t="s">
        <v>147</v>
      </c>
      <c r="Q21" s="2" t="s">
        <v>313</v>
      </c>
      <c r="R21" s="2">
        <v>0</v>
      </c>
      <c r="S21" s="2">
        <v>0</v>
      </c>
      <c r="V21" s="276">
        <v>11</v>
      </c>
      <c r="W21" s="276">
        <v>271</v>
      </c>
      <c r="X21" s="280">
        <v>202175</v>
      </c>
      <c r="Y21" s="280">
        <v>127455</v>
      </c>
      <c r="Z21" s="2" t="s">
        <v>303</v>
      </c>
      <c r="AA21" s="2" t="str">
        <f t="shared" si="8"/>
        <v>2026</v>
      </c>
      <c r="AB21" s="278">
        <v>46163</v>
      </c>
      <c r="AC21" s="278">
        <v>46170</v>
      </c>
      <c r="AD21" s="277">
        <v>46325</v>
      </c>
      <c r="AE21" s="277">
        <v>46325</v>
      </c>
      <c r="AF21" s="2" t="str">
        <f>IF(AD21="","",IF(ISNUMBER(AD21),IF(AND(AD21&gt;='2026 Calendar'!$C$4,AD21&lt;='2026 Calendar'!$E$107),LOOKUP(AD21,'2026 Calendar'!$C$4:$C$107,'2026 Calendar'!$A$4:$A$107),YEAR(AD21-WEEKDAY(AD21,2)+4)&amp;"/W"&amp;TEXT(WEEKNUM(AD21,21),"00")),IF(IFERROR(ISNUMBER(SEARCH("/W",AD21)),FALSE),IF(IFERROR(ISNUMBER(SEARCH("-",AD21)),FALSE),LEFT(AD21,SEARCH("-",AD21)-1),AD21),AD21)))</f>
        <v>2026/W44</v>
      </c>
      <c r="AG21" s="2" t="str">
        <f>IF(AE21="","",IF(ISNUMBER(AE21),IF(AND(AE21&gt;='2026 Calendar'!$C$4,AE21&lt;='2026 Calendar'!$E$107),LOOKUP(AE21,'2026 Calendar'!$C$4:$C$107,'2026 Calendar'!$A$4:$A$107),YEAR(AE21-WEEKDAY(AE21,2)+4)&amp;"/W"&amp;TEXT(WEEKNUM(AE21,21),"00")),IF(IFERROR(ISNUMBER(SEARCH("/W",AE21)),FALSE),IF(IFERROR(ISNUMBER(SEARCH("-",AE21)),FALSE),MID(AE21,SEARCH("-",AE21)+1,100),AE21),AE21)))</f>
        <v>2026/W44</v>
      </c>
      <c r="AH21" s="2" t="s">
        <v>56</v>
      </c>
      <c r="AI21" s="278"/>
      <c r="AJ21" s="278">
        <v>46083</v>
      </c>
      <c r="AK21" s="2" t="s">
        <v>56</v>
      </c>
      <c r="AL21" s="278"/>
      <c r="AM21" s="278">
        <v>46083</v>
      </c>
      <c r="AN21" s="2" t="s">
        <v>73</v>
      </c>
      <c r="AO21" s="278"/>
      <c r="AP21" s="278"/>
      <c r="AQ21" s="2" t="s">
        <v>56</v>
      </c>
      <c r="AR21" s="278"/>
      <c r="AS21" s="278"/>
      <c r="AT21" s="2" t="s">
        <v>73</v>
      </c>
      <c r="AU21" s="278"/>
      <c r="AV21" s="278"/>
      <c r="AW21" s="2" t="s">
        <v>73</v>
      </c>
      <c r="AX21" s="278"/>
      <c r="AY21" s="278"/>
      <c r="AZ21" s="2" t="s">
        <v>73</v>
      </c>
      <c r="BA21" s="278"/>
      <c r="BB21" s="278"/>
      <c r="BC21" s="2" t="str">
        <f t="shared" si="1"/>
        <v>Active</v>
      </c>
      <c r="BD21" s="2" t="s">
        <v>279</v>
      </c>
      <c r="BE21" s="119" t="str">
        <f t="shared" si="2"/>
        <v>NPI: All development items approved/closed for SW44</v>
      </c>
    </row>
    <row r="22" spans="1:58" ht="29" x14ac:dyDescent="0.35">
      <c r="A22" s="2" t="str">
        <f>IFERROR(VLOOKUP(E22,'Customer '!$A$4:$D$23,3,FALSE),"")</f>
        <v>RH</v>
      </c>
      <c r="B22" s="2" t="s">
        <v>268</v>
      </c>
      <c r="C22" s="2" t="s">
        <v>308</v>
      </c>
      <c r="D22" s="2" t="s">
        <v>312</v>
      </c>
      <c r="E22" s="2" t="s">
        <v>61</v>
      </c>
      <c r="F22" s="2" t="str">
        <f>IFERROR(VLOOKUP(E22,'Customer '!$A$4:$D$28,2,FALSE),"")</f>
        <v>RH</v>
      </c>
      <c r="G22" s="2" t="s">
        <v>314</v>
      </c>
      <c r="H2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2026-RH-NAMA LISBON-PUBLIC SPACE </v>
      </c>
      <c r="I22" s="2">
        <f ca="1">IF(OR($H22="",$B22=""),0,--(COUNTIFS($H$3:$H22,$H22,$B$3:$B22,$B22)=1))</f>
        <v>1</v>
      </c>
      <c r="J22" s="2" t="s">
        <v>477</v>
      </c>
      <c r="K22" s="2" t="s">
        <v>273</v>
      </c>
      <c r="L22" s="2" t="s">
        <v>317</v>
      </c>
      <c r="M22" s="278">
        <v>46297</v>
      </c>
      <c r="N22" s="278" t="s">
        <v>1557</v>
      </c>
      <c r="O22" s="279"/>
      <c r="P22" s="2" t="s">
        <v>147</v>
      </c>
      <c r="Q22" s="2" t="s">
        <v>313</v>
      </c>
      <c r="R22" s="276">
        <v>1</v>
      </c>
      <c r="S22" s="276">
        <v>1</v>
      </c>
      <c r="V22" s="276">
        <v>1</v>
      </c>
      <c r="W22" s="276">
        <v>1</v>
      </c>
      <c r="X22" s="280">
        <v>2190.15</v>
      </c>
      <c r="Y22" s="280">
        <v>2190.15</v>
      </c>
      <c r="Z22" s="2" t="s">
        <v>315</v>
      </c>
      <c r="AA22" s="2" t="str">
        <f t="shared" ref="AA22" si="9">IF(Z22="","",IF(OR(Z22="TBC",Z22="Removed"),Z22,LEFT(Z22,4)))</f>
        <v>2027</v>
      </c>
      <c r="AB22" s="278">
        <v>46163</v>
      </c>
      <c r="AC22" s="278">
        <v>46170</v>
      </c>
      <c r="AD22" s="277">
        <v>46409</v>
      </c>
      <c r="AE22" s="277">
        <v>46409</v>
      </c>
      <c r="AF22" s="2" t="str">
        <f>IF(AD22="","",IF(ISNUMBER(AD22),IF(AND(AD22&gt;='2026 Calendar'!$C$4,AD22&lt;='2026 Calendar'!$E$107),LOOKUP(AD22,'2026 Calendar'!$C$4:$C$107,'2026 Calendar'!$A$4:$A$107),YEAR(AD22-WEEKDAY(AD22,2)+4)&amp;"/W"&amp;TEXT(WEEKNUM(AD22,21),"00")),IF(IFERROR(ISNUMBER(SEARCH("/W",AD22)),FALSE),IF(IFERROR(ISNUMBER(SEARCH("-",AD22)),FALSE),LEFT(AD22,SEARCH("-",AD22)-1),AD22),AD22)))</f>
        <v>2027/W04</v>
      </c>
      <c r="AG22" s="2" t="str">
        <f>IF(AE22="","",IF(ISNUMBER(AE22),IF(AND(AE22&gt;='2026 Calendar'!$C$4,AE22&lt;='2026 Calendar'!$E$107),LOOKUP(AE22,'2026 Calendar'!$C$4:$C$107,'2026 Calendar'!$A$4:$A$107),YEAR(AE22-WEEKDAY(AE22,2)+4)&amp;"/W"&amp;TEXT(WEEKNUM(AE22,21),"00")),IF(IFERROR(ISNUMBER(SEARCH("/W",AE22)),FALSE),IF(IFERROR(ISNUMBER(SEARCH("-",AE22)),FALSE),MID(AE22,SEARCH("-",AE22)+1,100),AE22),AE22)))</f>
        <v>2027/W04</v>
      </c>
      <c r="AH22" s="2" t="s">
        <v>318</v>
      </c>
      <c r="AI22" s="278">
        <v>46311</v>
      </c>
      <c r="AJ22" s="278"/>
      <c r="AK22" s="2" t="s">
        <v>318</v>
      </c>
      <c r="AL22" s="278">
        <v>46311</v>
      </c>
      <c r="AM22" s="278"/>
      <c r="AN22" s="2" t="s">
        <v>73</v>
      </c>
      <c r="AO22" s="278"/>
      <c r="AP22" s="278"/>
      <c r="AQ22" s="2" t="s">
        <v>73</v>
      </c>
      <c r="AR22" s="278"/>
      <c r="AS22" s="278"/>
      <c r="AT22" s="2" t="s">
        <v>73</v>
      </c>
      <c r="AU22" s="278"/>
      <c r="AV22" s="278"/>
      <c r="AW22" s="2" t="s">
        <v>304</v>
      </c>
      <c r="AX22" s="278"/>
      <c r="AY22" s="278"/>
      <c r="AZ22" s="2" t="s">
        <v>73</v>
      </c>
      <c r="BA22" s="278"/>
      <c r="BB22" s="278"/>
      <c r="BC22" s="2" t="str">
        <f t="shared" si="1"/>
        <v>Active</v>
      </c>
      <c r="BD22" s="2" t="s">
        <v>279</v>
      </c>
      <c r="BE22" s="119" t="str">
        <f t="shared" si="2"/>
        <v>NPI: In progress: Electrical; Pending approval: Drawing, Veneer/Wood; need approval by 16-Oct-26 for SW04</v>
      </c>
      <c r="BF22" s="2" t="s">
        <v>1597</v>
      </c>
    </row>
    <row r="23" spans="1:58" x14ac:dyDescent="0.35">
      <c r="A23" s="2" t="str">
        <f>IFERROR(VLOOKUP(E23,'Customer '!$A$4:$D$23,3,FALSE),"")</f>
        <v>RH</v>
      </c>
      <c r="B23" s="2" t="s">
        <v>268</v>
      </c>
      <c r="C23" s="2" t="s">
        <v>269</v>
      </c>
      <c r="E23" s="2" t="s">
        <v>61</v>
      </c>
      <c r="F23" s="2" t="str">
        <f>IFERROR(VLOOKUP(E23,'Customer '!$A$4:$D$28,2,FALSE),"")</f>
        <v>RH</v>
      </c>
      <c r="G23" s="2" t="s">
        <v>154</v>
      </c>
      <c r="H2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2026-RH-RANCHO VALENCIA</v>
      </c>
      <c r="I23" s="2">
        <f ca="1">IF(OR($H23="",$B23=""),0,--(COUNTIFS($H$3:$H23,$H23,$B$3:$B23,$B23)=1))</f>
        <v>1</v>
      </c>
      <c r="J23" s="2" t="s">
        <v>316</v>
      </c>
      <c r="K23" s="2" t="s">
        <v>273</v>
      </c>
      <c r="L23" s="2" t="s">
        <v>317</v>
      </c>
      <c r="M23" s="278">
        <v>46029</v>
      </c>
      <c r="N23" s="278" t="s">
        <v>292</v>
      </c>
      <c r="O23" s="279"/>
      <c r="P23" s="2" t="s">
        <v>51</v>
      </c>
      <c r="Q23" s="2" t="s">
        <v>152</v>
      </c>
      <c r="R23" s="2" t="s">
        <v>149</v>
      </c>
      <c r="S23" s="2" t="s">
        <v>149</v>
      </c>
      <c r="V23" s="276">
        <v>1</v>
      </c>
      <c r="X23" s="280">
        <v>14520</v>
      </c>
      <c r="Y23" s="280">
        <v>14520</v>
      </c>
      <c r="Z23" s="2" t="s">
        <v>149</v>
      </c>
      <c r="AA23" s="2" t="str">
        <f t="shared" si="0"/>
        <v>TBC</v>
      </c>
      <c r="AB23" s="278" t="s">
        <v>292</v>
      </c>
      <c r="AC23" s="278"/>
      <c r="AD23" s="277" t="s">
        <v>149</v>
      </c>
      <c r="AE23" s="278" t="s">
        <v>149</v>
      </c>
      <c r="AF23" s="2" t="str">
        <f>IF(AD23="","",IF(ISNUMBER(AD23),IF(AND(AD23&gt;='2026 Calendar'!$C$4,AD23&lt;='2026 Calendar'!$E$107),LOOKUP(AD23,'2026 Calendar'!$C$4:$C$107,'2026 Calendar'!$A$4:$A$107),YEAR(AD23-WEEKDAY(AD23,2)+4)&amp;"/W"&amp;TEXT(WEEKNUM(AD23,21),"00")),IF(IFERROR(ISNUMBER(SEARCH("/W",AD23)),FALSE),IF(IFERROR(ISNUMBER(SEARCH("-",AD23)),FALSE),LEFT(AD23,SEARCH("-",AD23)-1),AD23),AD23)))</f>
        <v>TBC</v>
      </c>
      <c r="AG23" s="2" t="str">
        <f>IF(AE23="","",IF(ISNUMBER(AE23),IF(AND(AE23&gt;='2026 Calendar'!$C$4,AE23&lt;='2026 Calendar'!$E$107),LOOKUP(AE23,'2026 Calendar'!$C$4:$C$107,'2026 Calendar'!$A$4:$A$107),YEAR(AE23-WEEKDAY(AE23,2)+4)&amp;"/W"&amp;TEXT(WEEKNUM(AE23,21),"00")),IF(IFERROR(ISNUMBER(SEARCH("/W",AE23)),FALSE),IF(IFERROR(ISNUMBER(SEARCH("-",AE23)),FALSE),MID(AE23,SEARCH("-",AE23)+1,100),AE23),AE23)))</f>
        <v>TBC</v>
      </c>
      <c r="AH23" s="2" t="s">
        <v>318</v>
      </c>
      <c r="AI23" s="278"/>
      <c r="AJ23" s="278"/>
      <c r="AK23" s="2" t="s">
        <v>56</v>
      </c>
      <c r="AL23" s="278"/>
      <c r="AM23" s="278"/>
      <c r="AN23" s="2" t="s">
        <v>73</v>
      </c>
      <c r="AO23" s="278"/>
      <c r="AP23" s="278"/>
      <c r="AQ23" s="2" t="s">
        <v>73</v>
      </c>
      <c r="AR23" s="278"/>
      <c r="AS23" s="278"/>
      <c r="AT23" s="2" t="s">
        <v>73</v>
      </c>
      <c r="AU23" s="278"/>
      <c r="AV23" s="278"/>
      <c r="AW23" s="2" t="s">
        <v>73</v>
      </c>
      <c r="AX23" s="278"/>
      <c r="AY23" s="278"/>
      <c r="AZ23" s="2" t="s">
        <v>57</v>
      </c>
      <c r="BA23" s="278"/>
      <c r="BB23" s="278"/>
      <c r="BC23" s="2" t="str">
        <f t="shared" si="1"/>
        <v>Active</v>
      </c>
      <c r="BD23" s="2" t="s">
        <v>279</v>
      </c>
      <c r="BE23" s="119" t="str">
        <f t="shared" si="2"/>
        <v>NPI: Pending approval: Drawing; Fabric is com for SW TBC</v>
      </c>
    </row>
    <row r="24" spans="1:58" x14ac:dyDescent="0.35">
      <c r="A24" s="2" t="str">
        <f>IFERROR(VLOOKUP(E24,'Customer '!$A$4:$D$23,3,FALSE),"")</f>
        <v>RH</v>
      </c>
      <c r="B24" s="2" t="s">
        <v>268</v>
      </c>
      <c r="C24" s="2" t="s">
        <v>319</v>
      </c>
      <c r="D24" s="2" t="s">
        <v>270</v>
      </c>
      <c r="E24" s="2" t="s">
        <v>61</v>
      </c>
      <c r="F24" s="2" t="str">
        <f>IFERROR(VLOOKUP(E24,'Customer '!$A$4:$D$28,2,FALSE),"")</f>
        <v>RH</v>
      </c>
      <c r="G24" s="2" t="s">
        <v>320</v>
      </c>
      <c r="H2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2026-RH-RH CONTRACT (LARA CHAIR 25)</v>
      </c>
      <c r="I24" s="2">
        <f ca="1">IF(OR($H24="",$B24=""),0,--(COUNTIFS($H$3:$H24,$H24,$B$3:$B24,$B24)=1))</f>
        <v>1</v>
      </c>
      <c r="J24" s="2" t="s">
        <v>272</v>
      </c>
      <c r="K24" s="2" t="s">
        <v>291</v>
      </c>
      <c r="L24" s="2" t="s">
        <v>274</v>
      </c>
      <c r="M24" s="278"/>
      <c r="N24" s="278">
        <v>46034</v>
      </c>
      <c r="O24" s="279"/>
      <c r="P24" s="2" t="s">
        <v>51</v>
      </c>
      <c r="Q24" s="2" t="s">
        <v>152</v>
      </c>
      <c r="V24" s="276">
        <v>1</v>
      </c>
      <c r="X24" s="280">
        <v>4200</v>
      </c>
      <c r="Y24" s="280">
        <v>4200</v>
      </c>
      <c r="Z24" s="2" t="s">
        <v>321</v>
      </c>
      <c r="AA24" s="2" t="str">
        <f t="shared" si="0"/>
        <v>2026</v>
      </c>
      <c r="AB24" s="278" t="s">
        <v>322</v>
      </c>
      <c r="AC24" s="278"/>
      <c r="AD24" s="277">
        <v>46116</v>
      </c>
      <c r="AE24" s="278">
        <v>46116</v>
      </c>
      <c r="AF24" s="2" t="str">
        <f>IF(AD24="","",IF(ISNUMBER(AD24),IF(AND(AD24&gt;='2026 Calendar'!$C$4,AD24&lt;='2026 Calendar'!$E$107),LOOKUP(AD24,'2026 Calendar'!$C$4:$C$107,'2026 Calendar'!$A$4:$A$107),YEAR(AD24-WEEKDAY(AD24,2)+4)&amp;"/W"&amp;TEXT(WEEKNUM(AD24,21),"00")),IF(IFERROR(ISNUMBER(SEARCH("/W",AD24)),FALSE),IF(IFERROR(ISNUMBER(SEARCH("-",AD24)),FALSE),LEFT(AD24,SEARCH("-",AD24)-1),AD24),AD24)))</f>
        <v>2026/W14</v>
      </c>
      <c r="AG24" s="2" t="str">
        <f>IF(AE24="","",IF(ISNUMBER(AE24),IF(AND(AE24&gt;='2026 Calendar'!$C$4,AE24&lt;='2026 Calendar'!$E$107),LOOKUP(AE24,'2026 Calendar'!$C$4:$C$107,'2026 Calendar'!$A$4:$A$107),YEAR(AE24-WEEKDAY(AE24,2)+4)&amp;"/W"&amp;TEXT(WEEKNUM(AE24,21),"00")),IF(IFERROR(ISNUMBER(SEARCH("/W",AE24)),FALSE),IF(IFERROR(ISNUMBER(SEARCH("-",AE24)),FALSE),MID(AE24,SEARCH("-",AE24)+1,100),AE24),AE24)))</f>
        <v>2026/W14</v>
      </c>
      <c r="AH24" s="2" t="s">
        <v>56</v>
      </c>
      <c r="AI24" s="278"/>
      <c r="AJ24" s="278"/>
      <c r="AK24" s="2" t="s">
        <v>56</v>
      </c>
      <c r="AL24" s="278"/>
      <c r="AM24" s="278"/>
      <c r="AN24" s="2" t="s">
        <v>73</v>
      </c>
      <c r="AO24" s="278"/>
      <c r="AP24" s="278"/>
      <c r="AQ24" s="2" t="s">
        <v>73</v>
      </c>
      <c r="AR24" s="278"/>
      <c r="AS24" s="278"/>
      <c r="AT24" s="2" t="s">
        <v>73</v>
      </c>
      <c r="AU24" s="278"/>
      <c r="AV24" s="278"/>
      <c r="AW24" s="2" t="s">
        <v>73</v>
      </c>
      <c r="AX24" s="278"/>
      <c r="AY24" s="278"/>
      <c r="AZ24" s="2" t="s">
        <v>57</v>
      </c>
      <c r="BA24" s="278"/>
      <c r="BB24" s="278"/>
      <c r="BC24" s="2" t="str">
        <f t="shared" si="1"/>
        <v>Complete</v>
      </c>
      <c r="BD24" s="2" t="s">
        <v>279</v>
      </c>
      <c r="BE24" s="119" t="str">
        <f t="shared" si="2"/>
        <v>READY</v>
      </c>
    </row>
    <row r="25" spans="1:58" x14ac:dyDescent="0.35">
      <c r="A25" s="2" t="str">
        <f>IFERROR(VLOOKUP(E25,'Customer '!$A$4:$D$23,3,FALSE),"")</f>
        <v>RH</v>
      </c>
      <c r="B25" s="2" t="s">
        <v>323</v>
      </c>
      <c r="C25" s="2" t="s">
        <v>324</v>
      </c>
      <c r="D25" s="2" t="s">
        <v>270</v>
      </c>
      <c r="E25" s="2" t="s">
        <v>61</v>
      </c>
      <c r="F25" s="2" t="str">
        <f>IFERROR(VLOOKUP(E25,'Customer '!$A$4:$D$28,2,FALSE),"")</f>
        <v>RH</v>
      </c>
      <c r="G25" s="2" t="s">
        <v>160</v>
      </c>
      <c r="H2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2025-RH-RH TRUMP SUITES NYC</v>
      </c>
      <c r="I25" s="2">
        <f ca="1">IF(OR($H25="",$B25=""),0,--(COUNTIFS($H$3:$H25,$H25,$B$3:$B25,$B25)=1))</f>
        <v>1</v>
      </c>
      <c r="J25" s="2" t="s">
        <v>272</v>
      </c>
      <c r="K25" s="2" t="s">
        <v>273</v>
      </c>
      <c r="L25" s="2" t="s">
        <v>274</v>
      </c>
      <c r="M25" s="278">
        <v>45831</v>
      </c>
      <c r="N25" s="278">
        <v>46078</v>
      </c>
      <c r="O25" s="279"/>
      <c r="P25" s="2" t="s">
        <v>51</v>
      </c>
      <c r="Q25" s="2" t="s">
        <v>325</v>
      </c>
      <c r="V25" s="276">
        <v>1</v>
      </c>
      <c r="X25" s="280">
        <v>1234.8599999999999</v>
      </c>
      <c r="Y25" s="280">
        <v>1234.8599999999999</v>
      </c>
      <c r="Z25" s="2" t="s">
        <v>280</v>
      </c>
      <c r="AA25" s="2" t="str">
        <f t="shared" si="0"/>
        <v>2026</v>
      </c>
      <c r="AB25" s="281">
        <v>46192</v>
      </c>
      <c r="AC25" s="281">
        <v>46192</v>
      </c>
      <c r="AD25" s="282">
        <v>46116</v>
      </c>
      <c r="AE25" s="281">
        <v>46116</v>
      </c>
      <c r="AF25" s="2" t="str">
        <f>IF(AD25="","",IF(ISNUMBER(AD25),IF(AND(AD25&gt;='2026 Calendar'!$C$4,AD25&lt;='2026 Calendar'!$E$107),LOOKUP(AD25,'2026 Calendar'!$C$4:$C$107,'2026 Calendar'!$A$4:$A$107),YEAR(AD25-WEEKDAY(AD25,2)+4)&amp;"/W"&amp;TEXT(WEEKNUM(AD25,21),"00")),IF(IFERROR(ISNUMBER(SEARCH("/W",AD25)),FALSE),IF(IFERROR(ISNUMBER(SEARCH("-",AD25)),FALSE),LEFT(AD25,SEARCH("-",AD25)-1),AD25),AD25)))</f>
        <v>2026/W14</v>
      </c>
      <c r="AG25" s="2" t="str">
        <f>IF(AE25="","",IF(ISNUMBER(AE25),IF(AND(AE25&gt;='2026 Calendar'!$C$4,AE25&lt;='2026 Calendar'!$E$107),LOOKUP(AE25,'2026 Calendar'!$C$4:$C$107,'2026 Calendar'!$A$4:$A$107),YEAR(AE25-WEEKDAY(AE25,2)+4)&amp;"/W"&amp;TEXT(WEEKNUM(AE25,21),"00")),IF(IFERROR(ISNUMBER(SEARCH("/W",AE25)),FALSE),IF(IFERROR(ISNUMBER(SEARCH("-",AE25)),FALSE),MID(AE25,SEARCH("-",AE25)+1,100),AE25),AE25)))</f>
        <v>2026/W14</v>
      </c>
      <c r="AH25" s="2" t="s">
        <v>56</v>
      </c>
      <c r="AI25" s="278"/>
      <c r="AJ25" s="278"/>
      <c r="AK25" s="2" t="s">
        <v>56</v>
      </c>
      <c r="AL25" s="278"/>
      <c r="AM25" s="278"/>
      <c r="AN25" s="2" t="s">
        <v>73</v>
      </c>
      <c r="AO25" s="278"/>
      <c r="AP25" s="278"/>
      <c r="AQ25" s="2" t="s">
        <v>56</v>
      </c>
      <c r="AR25" s="278"/>
      <c r="AS25" s="278"/>
      <c r="AT25" s="2" t="s">
        <v>73</v>
      </c>
      <c r="AU25" s="278"/>
      <c r="AV25" s="278"/>
      <c r="AW25" s="2" t="s">
        <v>73</v>
      </c>
      <c r="AX25" s="278"/>
      <c r="AY25" s="278"/>
      <c r="AZ25" s="2" t="s">
        <v>73</v>
      </c>
      <c r="BA25" s="278"/>
      <c r="BB25" s="278"/>
      <c r="BC25" s="2" t="str">
        <f t="shared" si="1"/>
        <v>Complete</v>
      </c>
      <c r="BD25" s="2" t="s">
        <v>279</v>
      </c>
      <c r="BE25" s="119" t="str">
        <f t="shared" si="2"/>
        <v>READY</v>
      </c>
    </row>
    <row r="26" spans="1:58" x14ac:dyDescent="0.35">
      <c r="A26" s="2" t="str">
        <f>IFERROR(VLOOKUP(E26,'Customer '!$A$4:$D$23,3,FALSE),"")</f>
        <v>RH</v>
      </c>
      <c r="B26" s="2" t="s">
        <v>268</v>
      </c>
      <c r="C26" s="2" t="s">
        <v>290</v>
      </c>
      <c r="D26" s="2" t="s">
        <v>312</v>
      </c>
      <c r="E26" s="2" t="s">
        <v>61</v>
      </c>
      <c r="F26" s="2" t="str">
        <f>IFERROR(VLOOKUP(E26,'Customer '!$A$4:$D$28,2,FALSE),"")</f>
        <v>RH</v>
      </c>
      <c r="G26" s="2" t="s">
        <v>326</v>
      </c>
      <c r="H2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2024-RH-TRUMP DORAL</v>
      </c>
      <c r="I26" s="2">
        <f ca="1">IF(OR($H26="",$B26=""),0,--(COUNTIFS($H$3:$H26,$H26,$B$3:$B26,$B26)=1))</f>
        <v>1</v>
      </c>
      <c r="J26" s="2" t="s">
        <v>272</v>
      </c>
      <c r="K26" s="2" t="s">
        <v>291</v>
      </c>
      <c r="L26" s="2" t="s">
        <v>274</v>
      </c>
      <c r="M26" s="278">
        <v>45597</v>
      </c>
      <c r="N26" s="278">
        <v>46120</v>
      </c>
      <c r="O26" s="279"/>
      <c r="P26" s="2" t="s">
        <v>51</v>
      </c>
      <c r="Q26" s="2" t="s">
        <v>295</v>
      </c>
      <c r="V26" s="276">
        <v>1</v>
      </c>
      <c r="X26" s="280">
        <v>1375.5</v>
      </c>
      <c r="Y26" s="280">
        <v>1375.5</v>
      </c>
      <c r="Z26" s="2" t="s">
        <v>281</v>
      </c>
      <c r="AA26" s="2" t="str">
        <f t="shared" si="0"/>
        <v>2026</v>
      </c>
      <c r="AB26" s="281">
        <v>46192</v>
      </c>
      <c r="AC26" s="281">
        <v>46192</v>
      </c>
      <c r="AD26" s="281">
        <v>46116</v>
      </c>
      <c r="AE26" s="281">
        <v>46116</v>
      </c>
      <c r="AF26" s="2" t="str">
        <f>IF(AD26="","",IF(ISNUMBER(AD26),IF(AND(AD26&gt;='2026 Calendar'!$C$4,AD26&lt;='2026 Calendar'!$E$107),LOOKUP(AD26,'2026 Calendar'!$C$4:$C$107,'2026 Calendar'!$A$4:$A$107),YEAR(AD26-WEEKDAY(AD26,2)+4)&amp;"/W"&amp;TEXT(WEEKNUM(AD26,21),"00")),IF(IFERROR(ISNUMBER(SEARCH("/W",AD26)),FALSE),IF(IFERROR(ISNUMBER(SEARCH("-",AD26)),FALSE),LEFT(AD26,SEARCH("-",AD26)-1),AD26),AD26)))</f>
        <v>2026/W14</v>
      </c>
      <c r="AG26" s="2" t="str">
        <f>IF(AE26="","",IF(ISNUMBER(AE26),IF(AND(AE26&gt;='2026 Calendar'!$C$4,AE26&lt;='2026 Calendar'!$E$107),LOOKUP(AE26,'2026 Calendar'!$C$4:$C$107,'2026 Calendar'!$A$4:$A$107),YEAR(AE26-WEEKDAY(AE26,2)+4)&amp;"/W"&amp;TEXT(WEEKNUM(AE26,21),"00")),IF(IFERROR(ISNUMBER(SEARCH("/W",AE26)),FALSE),IF(IFERROR(ISNUMBER(SEARCH("-",AE26)),FALSE),MID(AE26,SEARCH("-",AE26)+1,100),AE26),AE26)))</f>
        <v>2026/W14</v>
      </c>
      <c r="AH26" s="2" t="s">
        <v>56</v>
      </c>
      <c r="AI26" s="278"/>
      <c r="AJ26" s="278"/>
      <c r="AK26" s="2" t="s">
        <v>56</v>
      </c>
      <c r="AL26" s="278"/>
      <c r="AM26" s="278"/>
      <c r="AN26" s="2" t="s">
        <v>73</v>
      </c>
      <c r="AO26" s="278"/>
      <c r="AP26" s="278"/>
      <c r="AQ26" s="2" t="s">
        <v>56</v>
      </c>
      <c r="AR26" s="278"/>
      <c r="AS26" s="278"/>
      <c r="AT26" s="2" t="s">
        <v>73</v>
      </c>
      <c r="AU26" s="278"/>
      <c r="AV26" s="278"/>
      <c r="AW26" s="2" t="s">
        <v>73</v>
      </c>
      <c r="AX26" s="278"/>
      <c r="AY26" s="278"/>
      <c r="AZ26" s="2" t="s">
        <v>57</v>
      </c>
      <c r="BA26" s="278"/>
      <c r="BB26" s="278"/>
      <c r="BC26" s="2" t="str">
        <f t="shared" si="1"/>
        <v>Complete</v>
      </c>
      <c r="BD26" s="2" t="s">
        <v>279</v>
      </c>
      <c r="BE26" s="119" t="str">
        <f t="shared" si="2"/>
        <v>READY</v>
      </c>
    </row>
    <row r="27" spans="1:58" ht="29" x14ac:dyDescent="0.35">
      <c r="A27" s="2" t="str">
        <f>IFERROR(VLOOKUP(E27,'Customer '!$A$4:$D$23,3,FALSE),"")</f>
        <v>RH</v>
      </c>
      <c r="B27" s="2" t="s">
        <v>268</v>
      </c>
      <c r="C27" s="2" t="s">
        <v>149</v>
      </c>
      <c r="D27" s="2" t="s">
        <v>270</v>
      </c>
      <c r="E27" s="2" t="s">
        <v>61</v>
      </c>
      <c r="F27" s="2" t="str">
        <f>IFERROR(VLOOKUP(E27,'Customer '!$A$4:$D$28,2,FALSE),"")</f>
        <v>RH</v>
      </c>
      <c r="G27" s="2" t="s">
        <v>160</v>
      </c>
      <c r="H2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2026-RH-RH TRUMP SUITES NYC</v>
      </c>
      <c r="I27" s="2">
        <f ca="1">IF(OR($H27="",$B27=""),0,--(COUNTIFS($H$3:$H27,$H27,$B$3:$B27,$B27)=1))</f>
        <v>1</v>
      </c>
      <c r="J27" s="2" t="s">
        <v>284</v>
      </c>
      <c r="K27" s="2" t="s">
        <v>273</v>
      </c>
      <c r="L27" s="2" t="s">
        <v>327</v>
      </c>
      <c r="M27" s="278">
        <v>46136</v>
      </c>
      <c r="N27" s="278"/>
      <c r="O27" s="279"/>
      <c r="P27" s="2" t="s">
        <v>51</v>
      </c>
      <c r="Q27" s="2" t="s">
        <v>325</v>
      </c>
      <c r="R27" s="2">
        <v>2</v>
      </c>
      <c r="S27" s="2">
        <v>4</v>
      </c>
      <c r="V27" s="276">
        <v>24</v>
      </c>
      <c r="X27" s="280">
        <v>1074318.51</v>
      </c>
      <c r="Y27" s="280">
        <v>537160</v>
      </c>
      <c r="Z27" s="2" t="s">
        <v>328</v>
      </c>
      <c r="AA27" s="2" t="str">
        <f t="shared" si="0"/>
        <v>2027</v>
      </c>
      <c r="AB27" s="278" t="s">
        <v>292</v>
      </c>
      <c r="AC27" s="278"/>
      <c r="AD27" s="277">
        <v>46515</v>
      </c>
      <c r="AE27" s="278">
        <v>46564</v>
      </c>
      <c r="AF27" s="2" t="str">
        <f>IF(AD27="","",IF(ISNUMBER(AD27),IF(AND(AD27&gt;='2026 Calendar'!$C$4,AD27&lt;='2026 Calendar'!$E$107),LOOKUP(AD27,'2026 Calendar'!$C$4:$C$107,'2026 Calendar'!$A$4:$A$107),YEAR(AD27-WEEKDAY(AD27,2)+4)&amp;"/W"&amp;TEXT(WEEKNUM(AD27,21),"00")),IF(IFERROR(ISNUMBER(SEARCH("/W",AD27)),FALSE),IF(IFERROR(ISNUMBER(SEARCH("-",AD27)),FALSE),LEFT(AD27,SEARCH("-",AD27)-1),AD27),AD27)))</f>
        <v>2027/W19</v>
      </c>
      <c r="AG27" s="2" t="str">
        <f>IF(AE27="","",IF(ISNUMBER(AE27),IF(AND(AE27&gt;='2026 Calendar'!$C$4,AE27&lt;='2026 Calendar'!$E$107),LOOKUP(AE27,'2026 Calendar'!$C$4:$C$107,'2026 Calendar'!$A$4:$A$107),YEAR(AE27-WEEKDAY(AE27,2)+4)&amp;"/W"&amp;TEXT(WEEKNUM(AE27,21),"00")),IF(IFERROR(ISNUMBER(SEARCH("/W",AE27)),FALSE),IF(IFERROR(ISNUMBER(SEARCH("-",AE27)),FALSE),MID(AE27,SEARCH("-",AE27)+1,100),AE27),AE27)))</f>
        <v>2027/W26</v>
      </c>
      <c r="AH27" s="2" t="s">
        <v>318</v>
      </c>
      <c r="AI27" s="278"/>
      <c r="AJ27" s="278"/>
      <c r="AK27" s="2" t="s">
        <v>56</v>
      </c>
      <c r="AL27" s="278"/>
      <c r="AM27" s="278"/>
      <c r="AN27" s="2" t="s">
        <v>73</v>
      </c>
      <c r="AO27" s="278"/>
      <c r="AP27" s="278"/>
      <c r="AQ27" s="2" t="s">
        <v>56</v>
      </c>
      <c r="AR27" s="278"/>
      <c r="AS27" s="278"/>
      <c r="AT27" s="2" t="s">
        <v>73</v>
      </c>
      <c r="AU27" s="278"/>
      <c r="AV27" s="278"/>
      <c r="AW27" s="2" t="s">
        <v>304</v>
      </c>
      <c r="AX27" s="278"/>
      <c r="AY27" s="278"/>
      <c r="AZ27" s="2" t="s">
        <v>57</v>
      </c>
      <c r="BA27" s="278"/>
      <c r="BB27" s="278"/>
      <c r="BC27" s="2" t="str">
        <f t="shared" si="1"/>
        <v>Active</v>
      </c>
      <c r="BD27" s="2" t="s">
        <v>279</v>
      </c>
      <c r="BE27" s="119" t="str">
        <f t="shared" si="2"/>
        <v>NPI: In progress: Electrical; Pending approval: Drawing; Fabric is com for SW26</v>
      </c>
    </row>
    <row r="28" spans="1:58" ht="29" x14ac:dyDescent="0.35">
      <c r="A28" s="2" t="str">
        <f>IFERROR(VLOOKUP(E28,'Customer '!$A$4:$D$23,3,FALSE),"")</f>
        <v>RH</v>
      </c>
      <c r="B28" s="2" t="s">
        <v>268</v>
      </c>
      <c r="C28" s="2" t="s">
        <v>149</v>
      </c>
      <c r="D28" s="2" t="s">
        <v>270</v>
      </c>
      <c r="E28" s="2" t="s">
        <v>61</v>
      </c>
      <c r="F28" s="2" t="str">
        <f>IFERROR(VLOOKUP(E28,'Customer '!$A$4:$D$28,2,FALSE),"")</f>
        <v>RH</v>
      </c>
      <c r="G28" s="2" t="s">
        <v>160</v>
      </c>
      <c r="H2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2026-RH-RH TRUMP SUITES NYC</v>
      </c>
      <c r="I28" s="2">
        <f ca="1">IF(OR($H28="",$B28=""),0,--(COUNTIFS($H$3:$H28,$H28,$B$3:$B28,$B28)=1))</f>
        <v>0</v>
      </c>
      <c r="J28" s="2" t="s">
        <v>284</v>
      </c>
      <c r="K28" s="2" t="s">
        <v>273</v>
      </c>
      <c r="L28" s="2" t="s">
        <v>327</v>
      </c>
      <c r="M28" s="278">
        <v>46136</v>
      </c>
      <c r="N28" s="278"/>
      <c r="O28" s="279"/>
      <c r="P28" s="2" t="s">
        <v>51</v>
      </c>
      <c r="Q28" s="2" t="s">
        <v>325</v>
      </c>
      <c r="R28" s="2">
        <v>2</v>
      </c>
      <c r="S28" s="2">
        <v>4</v>
      </c>
      <c r="V28" s="276">
        <v>24</v>
      </c>
      <c r="X28" s="280">
        <v>1074318.51</v>
      </c>
      <c r="Y28" s="280">
        <f>DetailTracker[[#This Row],[PROJECT VALUE $]]-Y27</f>
        <v>537158.51</v>
      </c>
      <c r="Z28" s="2" t="s">
        <v>286</v>
      </c>
      <c r="AA28" s="2" t="str">
        <f t="shared" si="0"/>
        <v>2027</v>
      </c>
      <c r="AB28" s="278" t="s">
        <v>292</v>
      </c>
      <c r="AC28" s="278"/>
      <c r="AD28" s="277">
        <v>46515</v>
      </c>
      <c r="AE28" s="278">
        <v>46564</v>
      </c>
      <c r="AF28" s="2" t="str">
        <f>IF(AD28="","",IF(ISNUMBER(AD28),IF(AND(AD28&gt;='2026 Calendar'!$C$4,AD28&lt;='2026 Calendar'!$E$107),LOOKUP(AD28,'2026 Calendar'!$C$4:$C$107,'2026 Calendar'!$A$4:$A$107),YEAR(AD28-WEEKDAY(AD28,2)+4)&amp;"/W"&amp;TEXT(WEEKNUM(AD28,21),"00")),IF(IFERROR(ISNUMBER(SEARCH("/W",AD28)),FALSE),IF(IFERROR(ISNUMBER(SEARCH("-",AD28)),FALSE),LEFT(AD28,SEARCH("-",AD28)-1),AD28),AD28)))</f>
        <v>2027/W19</v>
      </c>
      <c r="AG28" s="2" t="str">
        <f>IF(AE28="","",IF(ISNUMBER(AE28),IF(AND(AE28&gt;='2026 Calendar'!$C$4,AE28&lt;='2026 Calendar'!$E$107),LOOKUP(AE28,'2026 Calendar'!$C$4:$C$107,'2026 Calendar'!$A$4:$A$107),YEAR(AE28-WEEKDAY(AE28,2)+4)&amp;"/W"&amp;TEXT(WEEKNUM(AE28,21),"00")),IF(IFERROR(ISNUMBER(SEARCH("/W",AE28)),FALSE),IF(IFERROR(ISNUMBER(SEARCH("-",AE28)),FALSE),MID(AE28,SEARCH("-",AE28)+1,100),AE28),AE28)))</f>
        <v>2027/W26</v>
      </c>
      <c r="AH28" s="2" t="s">
        <v>318</v>
      </c>
      <c r="AI28" s="278"/>
      <c r="AJ28" s="278"/>
      <c r="AK28" s="2" t="s">
        <v>56</v>
      </c>
      <c r="AL28" s="278"/>
      <c r="AM28" s="278"/>
      <c r="AN28" s="2" t="s">
        <v>73</v>
      </c>
      <c r="AO28" s="278"/>
      <c r="AP28" s="278"/>
      <c r="AQ28" s="2" t="s">
        <v>56</v>
      </c>
      <c r="AR28" s="278"/>
      <c r="AS28" s="278"/>
      <c r="AT28" s="2" t="s">
        <v>73</v>
      </c>
      <c r="AU28" s="278"/>
      <c r="AV28" s="278"/>
      <c r="AW28" s="2" t="s">
        <v>304</v>
      </c>
      <c r="AX28" s="278"/>
      <c r="AY28" s="278"/>
      <c r="AZ28" s="2" t="s">
        <v>57</v>
      </c>
      <c r="BA28" s="278"/>
      <c r="BB28" s="278"/>
      <c r="BC28" s="2" t="str">
        <f t="shared" si="1"/>
        <v>Active</v>
      </c>
      <c r="BD28" s="2" t="s">
        <v>279</v>
      </c>
      <c r="BE28" s="119" t="str">
        <f t="shared" si="2"/>
        <v>NPI: In progress: Electrical; Pending approval: Drawing; Fabric is com for SW26</v>
      </c>
    </row>
    <row r="29" spans="1:58" x14ac:dyDescent="0.35">
      <c r="A29" s="2" t="str">
        <f>IFERROR(VLOOKUP(E29,'Customer '!$A$4:$D$23,3,FALSE),"")</f>
        <v>RH</v>
      </c>
      <c r="B29" s="2" t="s">
        <v>323</v>
      </c>
      <c r="C29" s="2" t="s">
        <v>329</v>
      </c>
      <c r="D29" s="2" t="s">
        <v>270</v>
      </c>
      <c r="E29" s="2" t="s">
        <v>61</v>
      </c>
      <c r="F29" s="2" t="str">
        <f>IFERROR(VLOOKUP(E29,'Customer '!$A$4:$D$28,2,FALSE),"")</f>
        <v>RH</v>
      </c>
      <c r="G29" s="2" t="s">
        <v>165</v>
      </c>
      <c r="H2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2026-RH-ROSEWOOD CALISTOGA</v>
      </c>
      <c r="I29" s="2">
        <f ca="1">IF(OR($H29="",$B29=""),0,--(COUNTIFS($H$3:$H29,$H29,$B$3:$B29,$B29)=1))</f>
        <v>1</v>
      </c>
      <c r="J29" s="2" t="s">
        <v>272</v>
      </c>
      <c r="K29" s="2" t="s">
        <v>273</v>
      </c>
      <c r="L29" s="2" t="s">
        <v>274</v>
      </c>
      <c r="M29" s="278">
        <v>46136</v>
      </c>
      <c r="N29" s="278">
        <v>46147</v>
      </c>
      <c r="O29" s="279"/>
      <c r="P29" s="2" t="s">
        <v>51</v>
      </c>
      <c r="Q29" s="2" t="s">
        <v>152</v>
      </c>
      <c r="V29" s="276">
        <v>6</v>
      </c>
      <c r="X29" s="280">
        <v>1046.75</v>
      </c>
      <c r="Y29" s="280">
        <v>1046.75</v>
      </c>
      <c r="Z29" s="2" t="s">
        <v>280</v>
      </c>
      <c r="AA29" s="2" t="str">
        <f t="shared" si="0"/>
        <v>2026</v>
      </c>
      <c r="AB29" s="278">
        <v>46183</v>
      </c>
      <c r="AC29" s="278">
        <v>46183</v>
      </c>
      <c r="AD29" s="277">
        <v>46116</v>
      </c>
      <c r="AE29" s="277">
        <v>46116</v>
      </c>
      <c r="AF29" s="2" t="str">
        <f>IF(AD29="","",IF(ISNUMBER(AD29),IF(AND(AD29&gt;='2026 Calendar'!$C$4,AD29&lt;='2026 Calendar'!$E$107),LOOKUP(AD29,'2026 Calendar'!$C$4:$C$107,'2026 Calendar'!$A$4:$A$107),YEAR(AD29-WEEKDAY(AD29,2)+4)&amp;"/W"&amp;TEXT(WEEKNUM(AD29,21),"00")),IF(IFERROR(ISNUMBER(SEARCH("/W",AD29)),FALSE),IF(IFERROR(ISNUMBER(SEARCH("-",AD29)),FALSE),LEFT(AD29,SEARCH("-",AD29)-1),AD29),AD29)))</f>
        <v>2026/W14</v>
      </c>
      <c r="AG29" s="2" t="str">
        <f>IF(AE29="","",IF(ISNUMBER(AE29),IF(AND(AE29&gt;='2026 Calendar'!$C$4,AE29&lt;='2026 Calendar'!$E$107),LOOKUP(AE29,'2026 Calendar'!$C$4:$C$107,'2026 Calendar'!$A$4:$A$107),YEAR(AE29-WEEKDAY(AE29,2)+4)&amp;"/W"&amp;TEXT(WEEKNUM(AE29,21),"00")),IF(IFERROR(ISNUMBER(SEARCH("/W",AE29)),FALSE),IF(IFERROR(ISNUMBER(SEARCH("-",AE29)),FALSE),MID(AE29,SEARCH("-",AE29)+1,100),AE29),AE29)))</f>
        <v>2026/W14</v>
      </c>
      <c r="AH29" s="2" t="s">
        <v>56</v>
      </c>
      <c r="AI29" s="278"/>
      <c r="AJ29" s="278">
        <v>46164</v>
      </c>
      <c r="AK29" s="2" t="s">
        <v>56</v>
      </c>
      <c r="AL29" s="278"/>
      <c r="AM29" s="278">
        <v>46199</v>
      </c>
      <c r="AN29" s="2" t="s">
        <v>73</v>
      </c>
      <c r="AO29" s="278"/>
      <c r="AP29" s="278"/>
      <c r="AQ29" s="2" t="s">
        <v>56</v>
      </c>
      <c r="AR29" s="278"/>
      <c r="AS29" s="278">
        <v>46191</v>
      </c>
      <c r="AT29" s="2" t="s">
        <v>73</v>
      </c>
      <c r="AU29" s="278"/>
      <c r="AV29" s="278"/>
      <c r="AW29" s="2" t="s">
        <v>73</v>
      </c>
      <c r="AX29" s="278"/>
      <c r="AY29" s="278"/>
      <c r="AZ29" s="2" t="s">
        <v>57</v>
      </c>
      <c r="BA29" s="278"/>
      <c r="BB29" s="278">
        <v>46175</v>
      </c>
      <c r="BC29" s="2" t="str">
        <f t="shared" si="1"/>
        <v>Complete</v>
      </c>
      <c r="BD29" s="2" t="s">
        <v>279</v>
      </c>
      <c r="BE29" s="119" t="str">
        <f t="shared" si="2"/>
        <v>READY</v>
      </c>
    </row>
    <row r="30" spans="1:58" x14ac:dyDescent="0.35">
      <c r="A30" s="2" t="str">
        <f>IFERROR(VLOOKUP(E30,'Customer '!$A$4:$D$23,3,FALSE),"")</f>
        <v>RH</v>
      </c>
      <c r="B30" s="2" t="s">
        <v>268</v>
      </c>
      <c r="C30" s="2" t="s">
        <v>329</v>
      </c>
      <c r="D30" s="2" t="s">
        <v>270</v>
      </c>
      <c r="E30" s="2" t="s">
        <v>61</v>
      </c>
      <c r="F30" s="2" t="str">
        <f>IFERROR(VLOOKUP(E30,'Customer '!$A$4:$D$28,2,FALSE),"")</f>
        <v>RH</v>
      </c>
      <c r="G30" s="2" t="s">
        <v>165</v>
      </c>
      <c r="H3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2025-RH-ROSEWOOD CALISTOGA</v>
      </c>
      <c r="I30" s="2">
        <f ca="1">IF(OR($H30="",$B30=""),0,--(COUNTIFS($H$3:$H30,$H30,$B$3:$B30,$B30)=1))</f>
        <v>1</v>
      </c>
      <c r="J30" s="2" t="s">
        <v>309</v>
      </c>
      <c r="K30" s="2" t="s">
        <v>273</v>
      </c>
      <c r="L30" s="2" t="s">
        <v>310</v>
      </c>
      <c r="M30" s="278">
        <v>45861</v>
      </c>
      <c r="N30" s="278">
        <v>46170</v>
      </c>
      <c r="O30" s="279"/>
      <c r="P30" s="2" t="s">
        <v>51</v>
      </c>
      <c r="Q30" s="2" t="s">
        <v>152</v>
      </c>
      <c r="R30" s="2">
        <v>0</v>
      </c>
      <c r="S30" s="2">
        <v>0</v>
      </c>
      <c r="V30" s="276">
        <v>38</v>
      </c>
      <c r="W30" s="276">
        <v>756</v>
      </c>
      <c r="X30" s="280">
        <v>311473.76000000007</v>
      </c>
      <c r="Y30" s="280">
        <v>239023</v>
      </c>
      <c r="Z30" s="2" t="s">
        <v>311</v>
      </c>
      <c r="AA30" s="2" t="str">
        <f t="shared" si="0"/>
        <v>2026</v>
      </c>
      <c r="AB30" s="278">
        <v>46321</v>
      </c>
      <c r="AC30" s="278">
        <v>46325</v>
      </c>
      <c r="AD30" s="278">
        <v>46332</v>
      </c>
      <c r="AE30" s="278">
        <v>46367</v>
      </c>
      <c r="AF30" s="2" t="str">
        <f>IF(AD30="","",IF(ISNUMBER(AD30),IF(AND(AD30&gt;='2026 Calendar'!$C$4,AD30&lt;='2026 Calendar'!$E$107),LOOKUP(AD30,'2026 Calendar'!$C$4:$C$107,'2026 Calendar'!$A$4:$A$107),YEAR(AD30-WEEKDAY(AD30,2)+4)&amp;"/W"&amp;TEXT(WEEKNUM(AD30,21),"00")),IF(IFERROR(ISNUMBER(SEARCH("/W",AD30)),FALSE),IF(IFERROR(ISNUMBER(SEARCH("-",AD30)),FALSE),LEFT(AD30,SEARCH("-",AD30)-1),AD30),AD30)))</f>
        <v>2026/W45</v>
      </c>
      <c r="AG30" s="2" t="str">
        <f>IF(AE30="","",IF(ISNUMBER(AE30),IF(AND(AE30&gt;='2026 Calendar'!$C$4,AE30&lt;='2026 Calendar'!$E$107),LOOKUP(AE30,'2026 Calendar'!$C$4:$C$107,'2026 Calendar'!$A$4:$A$107),YEAR(AE30-WEEKDAY(AE30,2)+4)&amp;"/W"&amp;TEXT(WEEKNUM(AE30,21),"00")),IF(IFERROR(ISNUMBER(SEARCH("/W",AE30)),FALSE),IF(IFERROR(ISNUMBER(SEARCH("-",AE30)),FALSE),MID(AE30,SEARCH("-",AE30)+1,100),AE30),AE30)))</f>
        <v>2026/W50</v>
      </c>
      <c r="AH30" s="2" t="s">
        <v>56</v>
      </c>
      <c r="AI30" s="278"/>
      <c r="AJ30" s="278">
        <v>46176</v>
      </c>
      <c r="AK30" s="2" t="s">
        <v>56</v>
      </c>
      <c r="AL30" s="278"/>
      <c r="AM30" s="278">
        <v>46205</v>
      </c>
      <c r="AN30" s="2" t="s">
        <v>56</v>
      </c>
      <c r="AO30" s="278"/>
      <c r="AP30" s="278">
        <v>46168</v>
      </c>
      <c r="AQ30" s="2" t="s">
        <v>56</v>
      </c>
      <c r="AR30" s="278"/>
      <c r="AS30" s="278">
        <v>46191</v>
      </c>
      <c r="AT30" s="2" t="s">
        <v>73</v>
      </c>
      <c r="AU30" s="278"/>
      <c r="AV30" s="278"/>
      <c r="AW30" s="2" t="s">
        <v>73</v>
      </c>
      <c r="AX30" s="278"/>
      <c r="AY30" s="278"/>
      <c r="AZ30" s="2" t="s">
        <v>278</v>
      </c>
      <c r="BA30" s="278"/>
      <c r="BB30" s="278" t="s">
        <v>92</v>
      </c>
      <c r="BC30" s="2" t="str">
        <f t="shared" si="1"/>
        <v>Active</v>
      </c>
      <c r="BD30" s="2" t="s">
        <v>279</v>
      </c>
      <c r="BE30" s="119" t="str">
        <f t="shared" si="2"/>
        <v>NPI: Fabric is com received for SW50</v>
      </c>
    </row>
    <row r="31" spans="1:58" x14ac:dyDescent="0.35">
      <c r="A31" s="2" t="str">
        <f>IFERROR(VLOOKUP(E31,'Customer '!$A$4:$D$23,3,FALSE),"")</f>
        <v>RH</v>
      </c>
      <c r="B31" s="2" t="s">
        <v>268</v>
      </c>
      <c r="C31" s="2" t="s">
        <v>329</v>
      </c>
      <c r="D31" s="2" t="s">
        <v>270</v>
      </c>
      <c r="E31" s="2" t="s">
        <v>61</v>
      </c>
      <c r="F31" s="2" t="str">
        <f>IFERROR(VLOOKUP(E31,'Customer '!$A$4:$D$28,2,FALSE),"")</f>
        <v>RH</v>
      </c>
      <c r="G31" s="2" t="s">
        <v>165</v>
      </c>
      <c r="H3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2025-RH-ROSEWOOD CALISTOGA</v>
      </c>
      <c r="I31" s="2">
        <f ca="1">IF(OR($H31="",$B31=""),0,--(COUNTIFS($H$3:$H31,$H31,$B$3:$B31,$B31)=1))</f>
        <v>0</v>
      </c>
      <c r="J31" s="2" t="s">
        <v>309</v>
      </c>
      <c r="K31" s="2" t="s">
        <v>273</v>
      </c>
      <c r="L31" s="2" t="s">
        <v>310</v>
      </c>
      <c r="M31" s="278">
        <v>45861</v>
      </c>
      <c r="N31" s="278">
        <v>46170</v>
      </c>
      <c r="O31" s="279"/>
      <c r="P31" s="2" t="s">
        <v>51</v>
      </c>
      <c r="Q31" s="2" t="s">
        <v>152</v>
      </c>
      <c r="R31" s="2">
        <v>0</v>
      </c>
      <c r="S31" s="2">
        <v>0</v>
      </c>
      <c r="V31" s="276">
        <v>38</v>
      </c>
      <c r="W31" s="276">
        <v>756</v>
      </c>
      <c r="X31" s="280">
        <v>311473.76000000007</v>
      </c>
      <c r="Y31" s="280">
        <v>72450.760000000068</v>
      </c>
      <c r="Z31" s="2" t="s">
        <v>330</v>
      </c>
      <c r="AA31" s="2" t="str">
        <f t="shared" si="0"/>
        <v>2026</v>
      </c>
      <c r="AB31" s="278">
        <v>46328</v>
      </c>
      <c r="AC31" s="278">
        <v>46339</v>
      </c>
      <c r="AD31" s="278">
        <v>46332</v>
      </c>
      <c r="AE31" s="278">
        <v>46367</v>
      </c>
      <c r="AF31" s="2" t="str">
        <f>IF(AD31="","",IF(ISNUMBER(AD31),IF(AND(AD31&gt;='2026 Calendar'!$C$4,AD31&lt;='2026 Calendar'!$E$107),LOOKUP(AD31,'2026 Calendar'!$C$4:$C$107,'2026 Calendar'!$A$4:$A$107),YEAR(AD31-WEEKDAY(AD31,2)+4)&amp;"/W"&amp;TEXT(WEEKNUM(AD31,21),"00")),IF(IFERROR(ISNUMBER(SEARCH("/W",AD31)),FALSE),IF(IFERROR(ISNUMBER(SEARCH("-",AD31)),FALSE),LEFT(AD31,SEARCH("-",AD31)-1),AD31),AD31)))</f>
        <v>2026/W45</v>
      </c>
      <c r="AG31" s="2" t="str">
        <f>IF(AE31="","",IF(ISNUMBER(AE31),IF(AND(AE31&gt;='2026 Calendar'!$C$4,AE31&lt;='2026 Calendar'!$E$107),LOOKUP(AE31,'2026 Calendar'!$C$4:$C$107,'2026 Calendar'!$A$4:$A$107),YEAR(AE31-WEEKDAY(AE31,2)+4)&amp;"/W"&amp;TEXT(WEEKNUM(AE31,21),"00")),IF(IFERROR(ISNUMBER(SEARCH("/W",AE31)),FALSE),IF(IFERROR(ISNUMBER(SEARCH("-",AE31)),FALSE),MID(AE31,SEARCH("-",AE31)+1,100),AE31),AE31)))</f>
        <v>2026/W50</v>
      </c>
      <c r="AH31" s="2" t="s">
        <v>56</v>
      </c>
      <c r="AI31" s="278"/>
      <c r="AJ31" s="278"/>
      <c r="AK31" s="2" t="s">
        <v>56</v>
      </c>
      <c r="AL31" s="278"/>
      <c r="AM31" s="278"/>
      <c r="AN31" s="2" t="s">
        <v>56</v>
      </c>
      <c r="AO31" s="278"/>
      <c r="AP31" s="278">
        <v>46168</v>
      </c>
      <c r="AQ31" s="2" t="s">
        <v>56</v>
      </c>
      <c r="AR31" s="278"/>
      <c r="AS31" s="278">
        <v>46191</v>
      </c>
      <c r="AT31" s="2" t="s">
        <v>73</v>
      </c>
      <c r="AU31" s="278"/>
      <c r="AV31" s="278"/>
      <c r="AW31" s="2" t="s">
        <v>73</v>
      </c>
      <c r="AX31" s="278"/>
      <c r="AY31" s="278"/>
      <c r="AZ31" s="2" t="s">
        <v>278</v>
      </c>
      <c r="BA31" s="278"/>
      <c r="BB31" s="278" t="s">
        <v>92</v>
      </c>
      <c r="BC31" s="2" t="str">
        <f t="shared" si="1"/>
        <v>Active</v>
      </c>
      <c r="BD31" s="2" t="s">
        <v>279</v>
      </c>
      <c r="BE31" s="119" t="str">
        <f t="shared" si="2"/>
        <v>NPI: Fabric is com received for SW50</v>
      </c>
    </row>
    <row r="32" spans="1:58" x14ac:dyDescent="0.35">
      <c r="A32" s="2" t="str">
        <f>IFERROR(VLOOKUP(E32,'Customer '!$A$4:$D$23,3,FALSE),"")</f>
        <v>RH</v>
      </c>
      <c r="B32" s="2" t="s">
        <v>268</v>
      </c>
      <c r="C32" s="2" t="s">
        <v>308</v>
      </c>
      <c r="D32" s="2" t="s">
        <v>312</v>
      </c>
      <c r="E32" s="2" t="s">
        <v>61</v>
      </c>
      <c r="F32" s="2" t="str">
        <f>IFERROR(VLOOKUP(E32,'Customer '!$A$4:$D$28,2,FALSE),"")</f>
        <v>RH</v>
      </c>
      <c r="G32" s="2" t="s">
        <v>166</v>
      </c>
      <c r="H3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2026-RH-SNAKE RIVER LODGE BLUEFLAG</v>
      </c>
      <c r="I32" s="2">
        <f ca="1">IF(OR($H32="",$B32=""),0,--(COUNTIFS($H$3:$H32,$H32,$B$3:$B32,$B32)=1))</f>
        <v>1</v>
      </c>
      <c r="J32" s="2" t="s">
        <v>272</v>
      </c>
      <c r="K32" s="2" t="s">
        <v>273</v>
      </c>
      <c r="L32" s="2" t="s">
        <v>274</v>
      </c>
      <c r="M32" s="278">
        <v>46147</v>
      </c>
      <c r="N32" s="278">
        <v>46125</v>
      </c>
      <c r="O32" s="279"/>
      <c r="P32" s="2" t="s">
        <v>51</v>
      </c>
      <c r="Q32" s="2" t="s">
        <v>332</v>
      </c>
      <c r="V32" s="276">
        <v>12</v>
      </c>
      <c r="X32" s="280">
        <v>203436.01</v>
      </c>
      <c r="Y32" s="280">
        <v>136716</v>
      </c>
      <c r="Z32" s="2" t="s">
        <v>282</v>
      </c>
      <c r="AA32" s="2" t="str">
        <f t="shared" ref="AA32" si="10">IF(Z32="","",IF(OR(Z32="TBC",Z32="Removed"),Z32,LEFT(Z32,4)))</f>
        <v>2026</v>
      </c>
      <c r="AB32" s="278">
        <v>46242</v>
      </c>
      <c r="AC32" s="278">
        <v>46249</v>
      </c>
      <c r="AD32" s="277">
        <v>46242</v>
      </c>
      <c r="AE32" s="277">
        <v>46263</v>
      </c>
      <c r="AF32" s="2" t="str">
        <f>IF(AD32="","",IF(ISNUMBER(AD32),IF(AND(AD32&gt;='2026 Calendar'!$C$4,AD32&lt;='2026 Calendar'!$E$107),LOOKUP(AD32,'2026 Calendar'!$C$4:$C$107,'2026 Calendar'!$A$4:$A$107),YEAR(AD32-WEEKDAY(AD32,2)+4)&amp;"/W"&amp;TEXT(WEEKNUM(AD32,21),"00")),IF(IFERROR(ISNUMBER(SEARCH("/W",AD32)),FALSE),IF(IFERROR(ISNUMBER(SEARCH("-",AD32)),FALSE),LEFT(AD32,SEARCH("-",AD32)-1),AD32),AD32)))</f>
        <v>2026/W32</v>
      </c>
      <c r="AG32" s="2" t="str">
        <f>IF(AE32="","",IF(ISNUMBER(AE32),IF(AND(AE32&gt;='2026 Calendar'!$C$4,AE32&lt;='2026 Calendar'!$E$107),LOOKUP(AE32,'2026 Calendar'!$C$4:$C$107,'2026 Calendar'!$A$4:$A$107),YEAR(AE32-WEEKDAY(AE32,2)+4)&amp;"/W"&amp;TEXT(WEEKNUM(AE32,21),"00")),IF(IFERROR(ISNUMBER(SEARCH("/W",AE32)),FALSE),IF(IFERROR(ISNUMBER(SEARCH("-",AE32)),FALSE),MID(AE32,SEARCH("-",AE32)+1,100),AE32),AE32)))</f>
        <v>2026/W35</v>
      </c>
      <c r="AH32" s="2" t="s">
        <v>56</v>
      </c>
      <c r="AI32" s="278"/>
      <c r="AJ32" s="278">
        <v>46163</v>
      </c>
      <c r="AK32" s="2" t="s">
        <v>56</v>
      </c>
      <c r="AL32" s="278"/>
      <c r="AM32" s="278">
        <v>45813</v>
      </c>
      <c r="AN32" s="2" t="s">
        <v>56</v>
      </c>
      <c r="AO32" s="278"/>
      <c r="AP32" s="278"/>
      <c r="AQ32" s="2" t="s">
        <v>56</v>
      </c>
      <c r="AR32" s="278"/>
      <c r="AS32" s="278"/>
      <c r="AT32" s="2" t="s">
        <v>73</v>
      </c>
      <c r="AU32" s="278"/>
      <c r="AV32" s="278"/>
      <c r="AW32" s="2" t="s">
        <v>56</v>
      </c>
      <c r="AX32" s="278"/>
      <c r="AY32" s="278"/>
      <c r="AZ32" s="2" t="s">
        <v>278</v>
      </c>
      <c r="BA32" s="278"/>
      <c r="BB32" s="278"/>
      <c r="BC32" s="2" t="str">
        <f t="shared" si="1"/>
        <v>Complete</v>
      </c>
      <c r="BD32" s="2" t="s">
        <v>279</v>
      </c>
      <c r="BE32" s="119" t="str">
        <f t="shared" si="2"/>
        <v>READY</v>
      </c>
    </row>
    <row r="33" spans="1:57" x14ac:dyDescent="0.35">
      <c r="A33" s="2" t="str">
        <f>IFERROR(VLOOKUP(E33,'Customer '!$A$4:$D$23,3,FALSE),"")</f>
        <v>RH</v>
      </c>
      <c r="B33" s="2" t="s">
        <v>268</v>
      </c>
      <c r="C33" s="2" t="s">
        <v>308</v>
      </c>
      <c r="D33" s="2" t="s">
        <v>312</v>
      </c>
      <c r="E33" s="2" t="s">
        <v>61</v>
      </c>
      <c r="F33" s="2" t="str">
        <f>IFERROR(VLOOKUP(E33,'Customer '!$A$4:$D$28,2,FALSE),"")</f>
        <v>RH</v>
      </c>
      <c r="G33" s="2" t="s">
        <v>166</v>
      </c>
      <c r="H3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2026-RH-SNAKE RIVER LODGE BLUEFLAG</v>
      </c>
      <c r="I33" s="2">
        <f ca="1">IF(OR($H33="",$B33=""),0,--(COUNTIFS($H$3:$H33,$H33,$B$3:$B33,$B33)=1))</f>
        <v>0</v>
      </c>
      <c r="J33" s="2" t="s">
        <v>272</v>
      </c>
      <c r="K33" s="2" t="s">
        <v>273</v>
      </c>
      <c r="L33" s="2" t="s">
        <v>274</v>
      </c>
      <c r="M33" s="278">
        <v>46147</v>
      </c>
      <c r="N33" s="278">
        <v>46125</v>
      </c>
      <c r="O33" s="279"/>
      <c r="P33" s="2" t="s">
        <v>51</v>
      </c>
      <c r="Q33" s="2" t="s">
        <v>332</v>
      </c>
      <c r="R33" s="2">
        <v>0</v>
      </c>
      <c r="S33" s="2">
        <v>0</v>
      </c>
      <c r="V33" s="276">
        <v>12</v>
      </c>
      <c r="X33" s="280">
        <v>203436.01</v>
      </c>
      <c r="Y33" s="280">
        <v>66720.490000000005</v>
      </c>
      <c r="Z33" s="2" t="s">
        <v>282</v>
      </c>
      <c r="AA33" s="2" t="str">
        <f t="shared" si="0"/>
        <v>2026</v>
      </c>
      <c r="AB33" s="278">
        <v>46242</v>
      </c>
      <c r="AC33" s="278">
        <v>46249</v>
      </c>
      <c r="AD33" s="277">
        <v>46242</v>
      </c>
      <c r="AE33" s="277">
        <v>46263</v>
      </c>
      <c r="AF33" s="2" t="str">
        <f>IF(AD33="","",IF(ISNUMBER(AD33),IF(AND(AD33&gt;='2026 Calendar'!$C$4,AD33&lt;='2026 Calendar'!$E$107),LOOKUP(AD33,'2026 Calendar'!$C$4:$C$107,'2026 Calendar'!$A$4:$A$107),YEAR(AD33-WEEKDAY(AD33,2)+4)&amp;"/W"&amp;TEXT(WEEKNUM(AD33,21),"00")),IF(IFERROR(ISNUMBER(SEARCH("/W",AD33)),FALSE),IF(IFERROR(ISNUMBER(SEARCH("-",AD33)),FALSE),LEFT(AD33,SEARCH("-",AD33)-1),AD33),AD33)))</f>
        <v>2026/W32</v>
      </c>
      <c r="AG33" s="2" t="str">
        <f>IF(AE33="","",IF(ISNUMBER(AE33),IF(AND(AE33&gt;='2026 Calendar'!$C$4,AE33&lt;='2026 Calendar'!$E$107),LOOKUP(AE33,'2026 Calendar'!$C$4:$C$107,'2026 Calendar'!$A$4:$A$107),YEAR(AE33-WEEKDAY(AE33,2)+4)&amp;"/W"&amp;TEXT(WEEKNUM(AE33,21),"00")),IF(IFERROR(ISNUMBER(SEARCH("/W",AE33)),FALSE),IF(IFERROR(ISNUMBER(SEARCH("-",AE33)),FALSE),MID(AE33,SEARCH("-",AE33)+1,100),AE33),AE33)))</f>
        <v>2026/W35</v>
      </c>
      <c r="AH33" s="2" t="s">
        <v>56</v>
      </c>
      <c r="AI33" s="278"/>
      <c r="AJ33" s="278">
        <v>46163</v>
      </c>
      <c r="AK33" s="2" t="s">
        <v>56</v>
      </c>
      <c r="AL33" s="278"/>
      <c r="AM33" s="278">
        <v>45813</v>
      </c>
      <c r="AN33" s="2" t="s">
        <v>56</v>
      </c>
      <c r="AO33" s="278"/>
      <c r="AP33" s="278"/>
      <c r="AQ33" s="2" t="s">
        <v>56</v>
      </c>
      <c r="AR33" s="278"/>
      <c r="AS33" s="278"/>
      <c r="AT33" s="2" t="s">
        <v>73</v>
      </c>
      <c r="AU33" s="278"/>
      <c r="AV33" s="278"/>
      <c r="AW33" s="2" t="s">
        <v>56</v>
      </c>
      <c r="AX33" s="278"/>
      <c r="AY33" s="278"/>
      <c r="AZ33" s="2" t="s">
        <v>278</v>
      </c>
      <c r="BA33" s="278"/>
      <c r="BB33" s="278"/>
      <c r="BC33" s="2" t="str">
        <f t="shared" si="1"/>
        <v>Complete</v>
      </c>
      <c r="BD33" s="2" t="s">
        <v>279</v>
      </c>
      <c r="BE33" s="119" t="str">
        <f t="shared" si="2"/>
        <v>READY</v>
      </c>
    </row>
    <row r="34" spans="1:57" x14ac:dyDescent="0.35">
      <c r="A34" s="2" t="str">
        <f>IFERROR(VLOOKUP(E34,'Customer '!$A$4:$D$23,3,FALSE),"")</f>
        <v>RH</v>
      </c>
      <c r="B34" s="2" t="s">
        <v>268</v>
      </c>
      <c r="C34" s="2" t="s">
        <v>329</v>
      </c>
      <c r="D34" s="2" t="s">
        <v>270</v>
      </c>
      <c r="E34" s="2" t="s">
        <v>61</v>
      </c>
      <c r="F34" s="2" t="str">
        <f>IFERROR(VLOOKUP(E34,'Customer '!$A$4:$D$28,2,FALSE),"")</f>
        <v>RH</v>
      </c>
      <c r="G34" s="2" t="s">
        <v>184</v>
      </c>
      <c r="H3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2025-RH-TRUMP LAS VEGAS PENTHOUSES</v>
      </c>
      <c r="I34" s="2">
        <f ca="1">IF(OR($H34="",$B34=""),0,--(COUNTIFS($H$3:$H34,$H34,$B$3:$B34,$B34)=1))</f>
        <v>1</v>
      </c>
      <c r="J34" s="2" t="s">
        <v>309</v>
      </c>
      <c r="K34" s="2" t="s">
        <v>273</v>
      </c>
      <c r="L34" s="2" t="s">
        <v>310</v>
      </c>
      <c r="M34" s="278">
        <v>45955</v>
      </c>
      <c r="N34" s="278">
        <v>46254</v>
      </c>
      <c r="O34" s="279"/>
      <c r="P34" s="2" t="s">
        <v>51</v>
      </c>
      <c r="Q34" s="2" t="s">
        <v>334</v>
      </c>
      <c r="R34" s="2">
        <v>0</v>
      </c>
      <c r="S34" s="2">
        <v>0</v>
      </c>
      <c r="V34" s="276">
        <v>36</v>
      </c>
      <c r="W34" s="276">
        <v>925</v>
      </c>
      <c r="X34" s="280">
        <v>535191</v>
      </c>
      <c r="Y34" s="280">
        <v>350863</v>
      </c>
      <c r="Z34" s="2" t="s">
        <v>315</v>
      </c>
      <c r="AA34" s="2" t="str">
        <f t="shared" ref="AA34" si="11">IF(Z34="","",IF(OR(Z34="TBC",Z34="Removed"),Z34,LEFT(Z34,4)))</f>
        <v>2027</v>
      </c>
      <c r="AB34" s="278" t="s">
        <v>292</v>
      </c>
      <c r="AC34" s="278"/>
      <c r="AD34" s="277">
        <v>46395</v>
      </c>
      <c r="AE34" s="283">
        <v>46416</v>
      </c>
      <c r="AF34" s="2" t="str">
        <f>IF(AD34="","",IF(ISNUMBER(AD34),IF(AND(AD34&gt;='2026 Calendar'!$C$4,AD34&lt;='2026 Calendar'!$E$107),LOOKUP(AD34,'2026 Calendar'!$C$4:$C$107,'2026 Calendar'!$A$4:$A$107),YEAR(AD34-WEEKDAY(AD34,2)+4)&amp;"/W"&amp;TEXT(WEEKNUM(AD34,21),"00")),IF(IFERROR(ISNUMBER(SEARCH("/W",AD34)),FALSE),IF(IFERROR(ISNUMBER(SEARCH("-",AD34)),FALSE),LEFT(AD34,SEARCH("-",AD34)-1),AD34),AD34)))</f>
        <v>2027/W02</v>
      </c>
      <c r="AG34" s="2" t="str">
        <f>IF(AE34="","",IF(ISNUMBER(AE34),IF(AND(AE34&gt;='2026 Calendar'!$C$4,AE34&lt;='2026 Calendar'!$E$107),LOOKUP(AE34,'2026 Calendar'!$C$4:$C$107,'2026 Calendar'!$A$4:$A$107),YEAR(AE34-WEEKDAY(AE34,2)+4)&amp;"/W"&amp;TEXT(WEEKNUM(AE34,21),"00")),IF(IFERROR(ISNUMBER(SEARCH("/W",AE34)),FALSE),IF(IFERROR(ISNUMBER(SEARCH("-",AE34)),FALSE),MID(AE34,SEARCH("-",AE34)+1,100),AE34),AE34)))</f>
        <v>2027/W05</v>
      </c>
      <c r="AH34" s="2" t="s">
        <v>56</v>
      </c>
      <c r="AI34" s="278"/>
      <c r="AJ34" s="278"/>
      <c r="AK34" s="2" t="s">
        <v>56</v>
      </c>
      <c r="AL34" s="278"/>
      <c r="AM34" s="278"/>
      <c r="AN34" s="2" t="s">
        <v>56</v>
      </c>
      <c r="AO34" s="278"/>
      <c r="AP34" s="278"/>
      <c r="AQ34" s="2" t="s">
        <v>56</v>
      </c>
      <c r="AR34" s="278"/>
      <c r="AS34" s="278"/>
      <c r="AT34" s="2" t="s">
        <v>56</v>
      </c>
      <c r="AU34" s="278"/>
      <c r="AV34" s="278"/>
      <c r="AW34" s="2" t="s">
        <v>56</v>
      </c>
      <c r="AX34" s="278"/>
      <c r="AY34" s="278"/>
      <c r="BA34" s="278"/>
      <c r="BB34" s="278"/>
      <c r="BC34" s="2" t="str">
        <f t="shared" si="1"/>
        <v>Active</v>
      </c>
      <c r="BD34" s="2" t="s">
        <v>279</v>
      </c>
      <c r="BE34" s="119" t="str">
        <f t="shared" si="2"/>
        <v>NPI: All development items approved/closed for SW05</v>
      </c>
    </row>
    <row r="35" spans="1:57" x14ac:dyDescent="0.35">
      <c r="A35" s="2" t="str">
        <f>IFERROR(VLOOKUP(E35,'Customer '!$A$4:$D$23,3,FALSE),"")</f>
        <v>RH</v>
      </c>
      <c r="B35" s="2" t="s">
        <v>268</v>
      </c>
      <c r="C35" s="2" t="s">
        <v>329</v>
      </c>
      <c r="D35" s="2" t="s">
        <v>270</v>
      </c>
      <c r="E35" s="2" t="s">
        <v>61</v>
      </c>
      <c r="F35" s="2" t="str">
        <f>IFERROR(VLOOKUP(E35,'Customer '!$A$4:$D$28,2,FALSE),"")</f>
        <v>RH</v>
      </c>
      <c r="G35" s="2" t="s">
        <v>184</v>
      </c>
      <c r="H3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2025-RH-TRUMP LAS VEGAS PENTHOUSES</v>
      </c>
      <c r="I35" s="2">
        <f ca="1">IF(OR($H35="",$B35=""),0,--(COUNTIFS($H$3:$H35,$H35,$B$3:$B35,$B35)=1))</f>
        <v>0</v>
      </c>
      <c r="J35" s="2" t="s">
        <v>309</v>
      </c>
      <c r="K35" s="2" t="s">
        <v>273</v>
      </c>
      <c r="L35" s="2" t="s">
        <v>310</v>
      </c>
      <c r="M35" s="278">
        <v>45955</v>
      </c>
      <c r="N35" s="278">
        <v>46254</v>
      </c>
      <c r="O35" s="279"/>
      <c r="P35" s="2" t="s">
        <v>51</v>
      </c>
      <c r="Q35" s="2" t="s">
        <v>334</v>
      </c>
      <c r="R35" s="2">
        <v>0</v>
      </c>
      <c r="S35" s="2">
        <v>0</v>
      </c>
      <c r="V35" s="276">
        <v>36</v>
      </c>
      <c r="W35" s="276">
        <v>925</v>
      </c>
      <c r="X35" s="280">
        <v>535191</v>
      </c>
      <c r="Y35" s="280">
        <v>184328</v>
      </c>
      <c r="Z35" s="2" t="s">
        <v>315</v>
      </c>
      <c r="AA35" s="2" t="str">
        <f t="shared" si="0"/>
        <v>2027</v>
      </c>
      <c r="AB35" s="278" t="s">
        <v>292</v>
      </c>
      <c r="AC35" s="278"/>
      <c r="AD35" s="277">
        <v>46395</v>
      </c>
      <c r="AE35" s="283">
        <v>46416</v>
      </c>
      <c r="AF35" s="2" t="str">
        <f>IF(AD35="","",IF(ISNUMBER(AD35),IF(AND(AD35&gt;='2026 Calendar'!$C$4,AD35&lt;='2026 Calendar'!$E$107),LOOKUP(AD35,'2026 Calendar'!$C$4:$C$107,'2026 Calendar'!$A$4:$A$107),YEAR(AD35-WEEKDAY(AD35,2)+4)&amp;"/W"&amp;TEXT(WEEKNUM(AD35,21),"00")),IF(IFERROR(ISNUMBER(SEARCH("/W",AD35)),FALSE),IF(IFERROR(ISNUMBER(SEARCH("-",AD35)),FALSE),LEFT(AD35,SEARCH("-",AD35)-1),AD35),AD35)))</f>
        <v>2027/W02</v>
      </c>
      <c r="AG35" s="2" t="str">
        <f>IF(AE35="","",IF(ISNUMBER(AE35),IF(AND(AE35&gt;='2026 Calendar'!$C$4,AE35&lt;='2026 Calendar'!$E$107),LOOKUP(AE35,'2026 Calendar'!$C$4:$C$107,'2026 Calendar'!$A$4:$A$107),YEAR(AE35-WEEKDAY(AE35,2)+4)&amp;"/W"&amp;TEXT(WEEKNUM(AE35,21),"00")),IF(IFERROR(ISNUMBER(SEARCH("/W",AE35)),FALSE),IF(IFERROR(ISNUMBER(SEARCH("-",AE35)),FALSE),MID(AE35,SEARCH("-",AE35)+1,100),AE35),AE35)))</f>
        <v>2027/W05</v>
      </c>
      <c r="AH35" s="2" t="s">
        <v>56</v>
      </c>
      <c r="AI35" s="278"/>
      <c r="AJ35" s="278"/>
      <c r="AK35" s="2" t="s">
        <v>56</v>
      </c>
      <c r="AL35" s="278"/>
      <c r="AM35" s="278"/>
      <c r="AN35" s="2" t="s">
        <v>56</v>
      </c>
      <c r="AO35" s="278"/>
      <c r="AP35" s="278"/>
      <c r="AQ35" s="2" t="s">
        <v>56</v>
      </c>
      <c r="AR35" s="278"/>
      <c r="AS35" s="278"/>
      <c r="AT35" s="2" t="s">
        <v>56</v>
      </c>
      <c r="AU35" s="278"/>
      <c r="AV35" s="278"/>
      <c r="AW35" s="2" t="s">
        <v>56</v>
      </c>
      <c r="AX35" s="278"/>
      <c r="AY35" s="278"/>
      <c r="BA35" s="278"/>
      <c r="BB35" s="278"/>
      <c r="BC35" s="2" t="str">
        <f t="shared" ref="BC35:BC66" si="12">IF(J35="","",IF(OR(J35="OB",J35="NOR",J35="FC",J35="PIPELINE"),"Active","Complete"))</f>
        <v>Active</v>
      </c>
      <c r="BD35" s="2" t="s">
        <v>279</v>
      </c>
      <c r="BE35" s="119" t="str">
        <f t="shared" ref="BE35:BE66" si="13">IF(UPPER(TRIM(J35))="SHIPPED","READY",_xlfn.LET(_xlpm.stage,IF(B35="","",B35&amp;": "),_xlpm.ip,_xlfn.TEXTJOIN(", ",TRUE,IF(LOWER(AH35)="in progress","Drawing",""),IF(LOWER(AK35)="in progress","Veneer/Wood",""),IF(LOWER(AN35)="in progress","Marble",""),IF(LOWER(AQ35)="in progress","Metal",""),IF(LOWER(AT35)="in progress","Mirror",""),IF(LOWER(AW35)="in progress","Electrical",""),IF(LOWER(AZ35)="in progress","Fabric","")),_xlpm.pa,_xlfn.TEXTJOIN(", ",TRUE,IF(LOWER(AH35)="pending approval","Drawing",""),IF(LOWER(AK35)="pending approval","Veneer/Wood",""),IF(LOWER(AN35)="pending approval","Marble",""),IF(LOWER(AQ35)="pending approval","Metal",""),IF(LOWER(AT35)="pending approval","Mirror",""),IF(LOWER(AW35)="pending approval","Electrical",""),IF(LOWER(AZ35)="pending approval","Fabric","")),_xlpm.ns,_xlfn.TEXTJOIN(", ",TRUE,IF(LOWER(AH35)="not started","Drawing",""),IF(LOWER(AK35)="not started","Veneer/Wood",""),IF(LOWER(AN35)="not started","Marble",""),IF(LOWER(AQ35)="not started","Metal",""),IF(LOWER(AT35)="not started","Mirror",""),IF(LOWER(AW35)="not started","Electrical",""),IF(LOWER(AZ35)="not started","Fabric","")),_xlpm.fab,IF(OR(LOWER(AZ35)="com",LOWER(AZ35)="com pending",LOWER(AZ35)="com received"),"Fabric is "&amp;LOWER(AZ35),""),_xlpm.parts,_xlfn.TEXTJOIN("; ",TRUE,IF(_xlpm.ip&lt;&gt;"","In progress: "&amp;_xlpm.ip,""),IF(_xlpm.pa&lt;&gt;"","Pending approval: "&amp;_xlpm.pa,""),IF(_xlpm.ns&lt;&gt;"","Not started: "&amp;_xlpm.ns,""),_xlpm.fab),_xlpm.deadline,MIN(IF(AND(AH35&lt;&gt;"",LOWER(AH35)&lt;&gt;"approved",LOWER(AH35)&lt;&gt;"n/a",ISNUMBER(AI35)),AI35,1E+99),IF(AND(AK35&lt;&gt;"",LOWER(AK35)&lt;&gt;"approved",LOWER(AK35)&lt;&gt;"n/a",ISNUMBER(AL35)),AL35,1E+99),IF(AND(AN35&lt;&gt;"",LOWER(AN35)&lt;&gt;"approved",LOWER(AN35)&lt;&gt;"n/a",ISNUMBER(AO35)),AO35,1E+99),IF(AND(AQ35&lt;&gt;"",LOWER(AQ35)&lt;&gt;"approved",LOWER(AQ35)&lt;&gt;"n/a",ISNUMBER(AR35)),AR35,1E+99),IF(AND(AT35&lt;&gt;"",LOWER(AT35)&lt;&gt;"approved",LOWER(AT35)&lt;&gt;"n/a",ISNUMBER(AU35)),AU35,1E+99),IF(AND(AW35&lt;&gt;"",LOWER(AW35)&lt;&gt;"approved",LOWER(AW35)&lt;&gt;"n/a",ISNUMBER(AX35)),AX35,1E+99),IF(AND(AZ35&lt;&gt;"",LOWER(AZ35)&lt;&gt;"approved",LOWER(AZ35)&lt;&gt;"n/a",ISNUMBER(BA35)),BA35,1E+99)),_xlpm.sw,IF(AG35="","",IFERROR("SW"&amp;MID(AG35,FIND("/W",AG35)+2,99),"SW "&amp;AG35)),_xlpm.stage&amp;IF(_xlpm.parts="","All development items approved/closed",_xlpm.parts)&amp;IF(AND(_xlpm.parts&lt;&gt;"",_xlpm.deadline&lt;1E+99),"; need approval by "&amp;TEXT(_xlpm.deadline,"d-mmm-yy"),"")&amp;IF(_xlpm.sw&lt;&gt;""," for "&amp;_xlpm.sw,"")))</f>
        <v>NPI: All development items approved/closed for SW05</v>
      </c>
    </row>
    <row r="36" spans="1:57" ht="29" x14ac:dyDescent="0.35">
      <c r="A36" s="2" t="str">
        <f>IFERROR(VLOOKUP(E36,'Customer '!$A$4:$D$23,3,FALSE),"")</f>
        <v>RH</v>
      </c>
      <c r="B36" s="2" t="s">
        <v>268</v>
      </c>
      <c r="C36" s="2" t="s">
        <v>308</v>
      </c>
      <c r="D36" s="2" t="s">
        <v>312</v>
      </c>
      <c r="E36" s="2" t="s">
        <v>61</v>
      </c>
      <c r="F36" s="2" t="str">
        <f>IFERROR(VLOOKUP(E36,'Customer '!$A$4:$D$28,2,FALSE),"")</f>
        <v>RH</v>
      </c>
      <c r="G36" s="2" t="s">
        <v>194</v>
      </c>
      <c r="H3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2026-RH-RITZ DOVE MOUNTAIN</v>
      </c>
      <c r="I36" s="2">
        <f ca="1">IF(OR($H36="",$B36=""),0,--(COUNTIFS($H$3:$H36,$H36,$B$3:$B36,$B36)=1))</f>
        <v>1</v>
      </c>
      <c r="J36" s="2" t="s">
        <v>284</v>
      </c>
      <c r="K36" s="2" t="s">
        <v>273</v>
      </c>
      <c r="L36" s="2" t="s">
        <v>301</v>
      </c>
      <c r="M36" s="278">
        <v>46084</v>
      </c>
      <c r="N36" s="278"/>
      <c r="O36" s="279"/>
      <c r="P36" s="2" t="s">
        <v>51</v>
      </c>
      <c r="Q36" s="2" t="s">
        <v>335</v>
      </c>
      <c r="R36" s="2">
        <v>0</v>
      </c>
      <c r="S36" s="2">
        <v>0</v>
      </c>
      <c r="V36" s="276">
        <v>14</v>
      </c>
      <c r="X36" s="280">
        <v>228581</v>
      </c>
      <c r="Y36" s="280">
        <v>228581</v>
      </c>
      <c r="Z36" s="2" t="s">
        <v>336</v>
      </c>
      <c r="AA36" s="2" t="str">
        <f t="shared" si="0"/>
        <v>2027</v>
      </c>
      <c r="AB36" s="278" t="s">
        <v>292</v>
      </c>
      <c r="AC36" s="278"/>
      <c r="AD36" s="277">
        <v>46122</v>
      </c>
      <c r="AE36" s="278">
        <v>46136</v>
      </c>
      <c r="AF36" s="2" t="str">
        <f>IF(AD36="","",IF(ISNUMBER(AD36),IF(AND(AD36&gt;='2026 Calendar'!$C$4,AD36&lt;='2026 Calendar'!$E$107),LOOKUP(AD36,'2026 Calendar'!$C$4:$C$107,'2026 Calendar'!$A$4:$A$107),YEAR(AD36-WEEKDAY(AD36,2)+4)&amp;"/W"&amp;TEXT(WEEKNUM(AD36,21),"00")),IF(IFERROR(ISNUMBER(SEARCH("/W",AD36)),FALSE),IF(IFERROR(ISNUMBER(SEARCH("-",AD36)),FALSE),LEFT(AD36,SEARCH("-",AD36)-1),AD36),AD36)))</f>
        <v>2026/W15</v>
      </c>
      <c r="AG36" s="2" t="str">
        <f>IF(AE36="","",IF(ISNUMBER(AE36),IF(AND(AE36&gt;='2026 Calendar'!$C$4,AE36&lt;='2026 Calendar'!$E$107),LOOKUP(AE36,'2026 Calendar'!$C$4:$C$107,'2026 Calendar'!$A$4:$A$107),YEAR(AE36-WEEKDAY(AE36,2)+4)&amp;"/W"&amp;TEXT(WEEKNUM(AE36,21),"00")),IF(IFERROR(ISNUMBER(SEARCH("/W",AE36)),FALSE),IF(IFERROR(ISNUMBER(SEARCH("-",AE36)),FALSE),MID(AE36,SEARCH("-",AE36)+1,100),AE36),AE36)))</f>
        <v>2026/W17</v>
      </c>
      <c r="AH36" s="2" t="s">
        <v>318</v>
      </c>
      <c r="AI36" s="278"/>
      <c r="AJ36" s="278"/>
      <c r="AK36" s="2" t="s">
        <v>318</v>
      </c>
      <c r="AL36" s="278"/>
      <c r="AM36" s="278"/>
      <c r="AN36" s="2" t="s">
        <v>73</v>
      </c>
      <c r="AO36" s="278"/>
      <c r="AP36" s="278"/>
      <c r="AQ36" s="2" t="s">
        <v>318</v>
      </c>
      <c r="AR36" s="278"/>
      <c r="AS36" s="278"/>
      <c r="AT36" s="2" t="s">
        <v>73</v>
      </c>
      <c r="AU36" s="278"/>
      <c r="AV36" s="278"/>
      <c r="AW36" s="2" t="s">
        <v>73</v>
      </c>
      <c r="AX36" s="278"/>
      <c r="AY36" s="278"/>
      <c r="AZ36" s="2" t="s">
        <v>57</v>
      </c>
      <c r="BA36" s="278"/>
      <c r="BB36" s="278"/>
      <c r="BC36" s="2" t="str">
        <f t="shared" si="12"/>
        <v>Active</v>
      </c>
      <c r="BD36" s="2" t="s">
        <v>279</v>
      </c>
      <c r="BE36" s="119" t="str">
        <f t="shared" si="13"/>
        <v>NPI: Pending approval: Drawing, Veneer/Wood, Metal; Fabric is com for SW17</v>
      </c>
    </row>
    <row r="37" spans="1:57" x14ac:dyDescent="0.35">
      <c r="A37" s="2" t="str">
        <f>IFERROR(VLOOKUP(E37,'Customer '!$A$4:$D$23,3,FALSE),"")</f>
        <v>RH</v>
      </c>
      <c r="B37" s="2" t="s">
        <v>268</v>
      </c>
      <c r="C37" s="2" t="s">
        <v>306</v>
      </c>
      <c r="D37" s="2" t="s">
        <v>270</v>
      </c>
      <c r="E37" s="2" t="s">
        <v>61</v>
      </c>
      <c r="F37" s="2" t="str">
        <f>IFERROR(VLOOKUP(E37,'Customer '!$A$4:$D$28,2,FALSE),"")</f>
        <v>RH</v>
      </c>
      <c r="G37" s="2" t="s">
        <v>337</v>
      </c>
      <c r="H3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2026-RH-MAYBOURNE_ONE WALL STREET NY</v>
      </c>
      <c r="I37" s="2">
        <f ca="1">IF(OR($H37="",$B37=""),0,--(COUNTIFS($H$3:$H37,$H37,$B$3:$B37,$B37)=1))</f>
        <v>1</v>
      </c>
      <c r="J37" s="2" t="s">
        <v>272</v>
      </c>
      <c r="K37" s="2" t="s">
        <v>291</v>
      </c>
      <c r="L37" s="2" t="s">
        <v>274</v>
      </c>
      <c r="M37" s="278"/>
      <c r="N37" s="278">
        <v>46079</v>
      </c>
      <c r="O37" s="279"/>
      <c r="P37" s="2" t="s">
        <v>51</v>
      </c>
      <c r="Q37" s="2" t="s">
        <v>325</v>
      </c>
      <c r="V37" s="276">
        <v>1</v>
      </c>
      <c r="X37" s="280">
        <v>1672</v>
      </c>
      <c r="Y37" s="280">
        <v>1672</v>
      </c>
      <c r="Z37" s="2" t="s">
        <v>294</v>
      </c>
      <c r="AA37" s="2" t="str">
        <f t="shared" si="0"/>
        <v>2026</v>
      </c>
      <c r="AB37" s="278">
        <v>46113</v>
      </c>
      <c r="AC37" s="278">
        <v>46120</v>
      </c>
      <c r="AD37" s="277">
        <v>46116</v>
      </c>
      <c r="AE37" s="277">
        <v>46116</v>
      </c>
      <c r="AF37" s="2" t="str">
        <f>IF(AD37="","",IF(ISNUMBER(AD37),IF(AND(AD37&gt;='2026 Calendar'!$C$4,AD37&lt;='2026 Calendar'!$E$107),LOOKUP(AD37,'2026 Calendar'!$C$4:$C$107,'2026 Calendar'!$A$4:$A$107),YEAR(AD37-WEEKDAY(AD37,2)+4)&amp;"/W"&amp;TEXT(WEEKNUM(AD37,21),"00")),IF(IFERROR(ISNUMBER(SEARCH("/W",AD37)),FALSE),IF(IFERROR(ISNUMBER(SEARCH("-",AD37)),FALSE),LEFT(AD37,SEARCH("-",AD37)-1),AD37),AD37)))</f>
        <v>2026/W14</v>
      </c>
      <c r="AG37" s="2" t="str">
        <f>IF(AE37="","",IF(ISNUMBER(AE37),IF(AND(AE37&gt;='2026 Calendar'!$C$4,AE37&lt;='2026 Calendar'!$E$107),LOOKUP(AE37,'2026 Calendar'!$C$4:$C$107,'2026 Calendar'!$A$4:$A$107),YEAR(AE37-WEEKDAY(AE37,2)+4)&amp;"/W"&amp;TEXT(WEEKNUM(AE37,21),"00")),IF(IFERROR(ISNUMBER(SEARCH("/W",AE37)),FALSE),IF(IFERROR(ISNUMBER(SEARCH("-",AE37)),FALSE),MID(AE37,SEARCH("-",AE37)+1,100),AE37),AE37)))</f>
        <v>2026/W14</v>
      </c>
      <c r="AH37" s="2" t="s">
        <v>56</v>
      </c>
      <c r="AI37" s="278"/>
      <c r="AJ37" s="278">
        <v>46104</v>
      </c>
      <c r="AK37" s="2" t="s">
        <v>56</v>
      </c>
      <c r="AL37" s="278"/>
      <c r="AM37" s="278">
        <v>46104</v>
      </c>
      <c r="AN37" s="2" t="s">
        <v>73</v>
      </c>
      <c r="AO37" s="278"/>
      <c r="AP37" s="278"/>
      <c r="AQ37" s="2" t="s">
        <v>73</v>
      </c>
      <c r="AR37" s="278"/>
      <c r="AS37" s="278"/>
      <c r="AT37" s="2" t="s">
        <v>73</v>
      </c>
      <c r="AU37" s="278"/>
      <c r="AV37" s="278"/>
      <c r="AW37" s="2" t="s">
        <v>73</v>
      </c>
      <c r="AX37" s="278"/>
      <c r="AY37" s="278"/>
      <c r="AZ37" s="2" t="s">
        <v>57</v>
      </c>
      <c r="BA37" s="278"/>
      <c r="BB37" s="278">
        <v>46090</v>
      </c>
      <c r="BC37" s="2" t="str">
        <f t="shared" si="12"/>
        <v>Complete</v>
      </c>
      <c r="BD37" s="2" t="s">
        <v>279</v>
      </c>
      <c r="BE37" s="119" t="str">
        <f t="shared" si="13"/>
        <v>READY</v>
      </c>
    </row>
    <row r="38" spans="1:57" x14ac:dyDescent="0.35">
      <c r="A38" s="2" t="str">
        <f>IFERROR(VLOOKUP(E38,'Customer '!$A$4:$D$23,3,FALSE),"")</f>
        <v>RH</v>
      </c>
      <c r="B38" s="2" t="s">
        <v>268</v>
      </c>
      <c r="C38" s="2" t="s">
        <v>269</v>
      </c>
      <c r="D38" s="2" t="s">
        <v>270</v>
      </c>
      <c r="E38" s="2" t="s">
        <v>61</v>
      </c>
      <c r="F38" s="2" t="str">
        <f>IFERROR(VLOOKUP(E38,'Customer '!$A$4:$D$28,2,FALSE),"")</f>
        <v>RH</v>
      </c>
      <c r="G38" s="2" t="s">
        <v>338</v>
      </c>
      <c r="H3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2024-RH-ST. REGIS KANAI</v>
      </c>
      <c r="I38" s="2">
        <f ca="1">IF(OR($H38="",$B38=""),0,--(COUNTIFS($H$3:$H38,$H38,$B$3:$B38,$B38)=1))</f>
        <v>1</v>
      </c>
      <c r="J38" s="2" t="s">
        <v>272</v>
      </c>
      <c r="K38" s="2" t="s">
        <v>273</v>
      </c>
      <c r="L38" s="2" t="s">
        <v>274</v>
      </c>
      <c r="M38" s="278">
        <v>45575</v>
      </c>
      <c r="N38" s="278">
        <v>46101</v>
      </c>
      <c r="O38" s="279"/>
      <c r="P38" s="2" t="s">
        <v>96</v>
      </c>
      <c r="Q38" s="2" t="s">
        <v>339</v>
      </c>
      <c r="V38" s="276">
        <v>18</v>
      </c>
      <c r="X38" s="280">
        <v>164002.01999999999</v>
      </c>
      <c r="Y38" s="280">
        <v>110307</v>
      </c>
      <c r="Z38" s="2" t="s">
        <v>281</v>
      </c>
      <c r="AA38" s="2" t="str">
        <f t="shared" si="0"/>
        <v>2026</v>
      </c>
      <c r="AB38" s="278">
        <v>46234</v>
      </c>
      <c r="AC38" s="278">
        <v>46234</v>
      </c>
      <c r="AD38" s="277">
        <v>46234</v>
      </c>
      <c r="AE38" s="278">
        <v>46241</v>
      </c>
      <c r="AF38" s="2" t="str">
        <f>IF(AD38="","",IF(ISNUMBER(AD38),IF(AND(AD38&gt;='2026 Calendar'!$C$4,AD38&lt;='2026 Calendar'!$E$107),LOOKUP(AD38,'2026 Calendar'!$C$4:$C$107,'2026 Calendar'!$A$4:$A$107),YEAR(AD38-WEEKDAY(AD38,2)+4)&amp;"/W"&amp;TEXT(WEEKNUM(AD38,21),"00")),IF(IFERROR(ISNUMBER(SEARCH("/W",AD38)),FALSE),IF(IFERROR(ISNUMBER(SEARCH("-",AD38)),FALSE),LEFT(AD38,SEARCH("-",AD38)-1),AD38),AD38)))</f>
        <v>2026/W31</v>
      </c>
      <c r="AG38" s="2" t="str">
        <f>IF(AE38="","",IF(ISNUMBER(AE38),IF(AND(AE38&gt;='2026 Calendar'!$C$4,AE38&lt;='2026 Calendar'!$E$107),LOOKUP(AE38,'2026 Calendar'!$C$4:$C$107,'2026 Calendar'!$A$4:$A$107),YEAR(AE38-WEEKDAY(AE38,2)+4)&amp;"/W"&amp;TEXT(WEEKNUM(AE38,21),"00")),IF(IFERROR(ISNUMBER(SEARCH("/W",AE38)),FALSE),IF(IFERROR(ISNUMBER(SEARCH("-",AE38)),FALSE),MID(AE38,SEARCH("-",AE38)+1,100),AE38),AE38)))</f>
        <v>2026/W32</v>
      </c>
      <c r="AH38" s="2" t="s">
        <v>56</v>
      </c>
      <c r="AI38" s="278"/>
      <c r="AJ38" s="278"/>
      <c r="AK38" s="2" t="s">
        <v>56</v>
      </c>
      <c r="AL38" s="278"/>
      <c r="AM38" s="278"/>
      <c r="AN38" s="2" t="s">
        <v>56</v>
      </c>
      <c r="AO38" s="278"/>
      <c r="AP38" s="278"/>
      <c r="AQ38" s="2" t="s">
        <v>73</v>
      </c>
      <c r="AR38" s="278"/>
      <c r="AS38" s="278"/>
      <c r="AT38" s="2" t="s">
        <v>73</v>
      </c>
      <c r="AU38" s="278"/>
      <c r="AV38" s="278"/>
      <c r="AW38" s="2" t="s">
        <v>73</v>
      </c>
      <c r="AX38" s="278"/>
      <c r="AY38" s="278"/>
      <c r="AZ38" s="2" t="s">
        <v>278</v>
      </c>
      <c r="BA38" s="278"/>
      <c r="BB38" s="278"/>
      <c r="BC38" s="2" t="str">
        <f t="shared" si="12"/>
        <v>Complete</v>
      </c>
      <c r="BD38" s="2" t="s">
        <v>279</v>
      </c>
      <c r="BE38" s="119" t="str">
        <f t="shared" si="13"/>
        <v>READY</v>
      </c>
    </row>
    <row r="39" spans="1:57" x14ac:dyDescent="0.35">
      <c r="A39" s="2" t="str">
        <f>IFERROR(VLOOKUP(E39,'Customer '!$A$4:$D$23,3,FALSE),"")</f>
        <v>RH</v>
      </c>
      <c r="B39" s="2" t="s">
        <v>268</v>
      </c>
      <c r="C39" s="2" t="s">
        <v>269</v>
      </c>
      <c r="D39" s="2" t="s">
        <v>270</v>
      </c>
      <c r="E39" s="2" t="s">
        <v>61</v>
      </c>
      <c r="F39" s="2" t="str">
        <f>IFERROR(VLOOKUP(E39,'Customer '!$A$4:$D$28,2,FALSE),"")</f>
        <v>RH</v>
      </c>
      <c r="G39" s="2" t="s">
        <v>338</v>
      </c>
      <c r="H3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2024-RH-ST. REGIS KANAI</v>
      </c>
      <c r="I39" s="2">
        <f ca="1">IF(OR($H39="",$B39=""),0,--(COUNTIFS($H$3:$H39,$H39,$B$3:$B39,$B39)=1))</f>
        <v>0</v>
      </c>
      <c r="J39" s="2" t="s">
        <v>272</v>
      </c>
      <c r="K39" s="2" t="s">
        <v>273</v>
      </c>
      <c r="L39" s="2" t="s">
        <v>274</v>
      </c>
      <c r="M39" s="278">
        <v>45575</v>
      </c>
      <c r="N39" s="278">
        <v>46101</v>
      </c>
      <c r="O39" s="279"/>
      <c r="P39" s="2" t="s">
        <v>96</v>
      </c>
      <c r="Q39" s="2" t="s">
        <v>339</v>
      </c>
      <c r="V39" s="276">
        <v>18</v>
      </c>
      <c r="X39" s="280">
        <v>164002.01999999999</v>
      </c>
      <c r="Y39" s="280">
        <v>53695.14</v>
      </c>
      <c r="Z39" s="2" t="s">
        <v>282</v>
      </c>
      <c r="AA39" s="2" t="str">
        <f t="shared" si="0"/>
        <v>2026</v>
      </c>
      <c r="AB39" s="278">
        <v>46234</v>
      </c>
      <c r="AC39" s="278">
        <v>46234</v>
      </c>
      <c r="AD39" s="277">
        <v>46234</v>
      </c>
      <c r="AE39" s="278">
        <v>46241</v>
      </c>
      <c r="AF39" s="2" t="str">
        <f>IF(AD39="","",IF(ISNUMBER(AD39),IF(AND(AD39&gt;='2026 Calendar'!$C$4,AD39&lt;='2026 Calendar'!$E$107),LOOKUP(AD39,'2026 Calendar'!$C$4:$C$107,'2026 Calendar'!$A$4:$A$107),YEAR(AD39-WEEKDAY(AD39,2)+4)&amp;"/W"&amp;TEXT(WEEKNUM(AD39,21),"00")),IF(IFERROR(ISNUMBER(SEARCH("/W",AD39)),FALSE),IF(IFERROR(ISNUMBER(SEARCH("-",AD39)),FALSE),LEFT(AD39,SEARCH("-",AD39)-1),AD39),AD39)))</f>
        <v>2026/W31</v>
      </c>
      <c r="AG39" s="2" t="str">
        <f>IF(AE39="","",IF(ISNUMBER(AE39),IF(AND(AE39&gt;='2026 Calendar'!$C$4,AE39&lt;='2026 Calendar'!$E$107),LOOKUP(AE39,'2026 Calendar'!$C$4:$C$107,'2026 Calendar'!$A$4:$A$107),YEAR(AE39-WEEKDAY(AE39,2)+4)&amp;"/W"&amp;TEXT(WEEKNUM(AE39,21),"00")),IF(IFERROR(ISNUMBER(SEARCH("/W",AE39)),FALSE),IF(IFERROR(ISNUMBER(SEARCH("-",AE39)),FALSE),MID(AE39,SEARCH("-",AE39)+1,100),AE39),AE39)))</f>
        <v>2026/W32</v>
      </c>
      <c r="AH39" s="2" t="s">
        <v>56</v>
      </c>
      <c r="AI39" s="278"/>
      <c r="AJ39" s="278"/>
      <c r="AK39" s="2" t="s">
        <v>56</v>
      </c>
      <c r="AL39" s="278"/>
      <c r="AM39" s="278"/>
      <c r="AN39" s="2" t="s">
        <v>56</v>
      </c>
      <c r="AO39" s="278"/>
      <c r="AP39" s="278"/>
      <c r="AQ39" s="2" t="s">
        <v>73</v>
      </c>
      <c r="AR39" s="278"/>
      <c r="AS39" s="278"/>
      <c r="AT39" s="2" t="s">
        <v>73</v>
      </c>
      <c r="AU39" s="278"/>
      <c r="AV39" s="278"/>
      <c r="AW39" s="2" t="s">
        <v>73</v>
      </c>
      <c r="AX39" s="278"/>
      <c r="AY39" s="278"/>
      <c r="AZ39" s="2" t="s">
        <v>278</v>
      </c>
      <c r="BA39" s="278"/>
      <c r="BB39" s="278"/>
      <c r="BC39" s="2" t="str">
        <f t="shared" si="12"/>
        <v>Complete</v>
      </c>
      <c r="BD39" s="2" t="s">
        <v>279</v>
      </c>
      <c r="BE39" s="119" t="str">
        <f t="shared" si="13"/>
        <v>READY</v>
      </c>
    </row>
    <row r="40" spans="1:57" x14ac:dyDescent="0.35">
      <c r="A40" s="2" t="str">
        <f>IFERROR(VLOOKUP(E40,'Customer '!$A$4:$D$23,3,FALSE),"")</f>
        <v>RH</v>
      </c>
      <c r="B40" s="2" t="s">
        <v>323</v>
      </c>
      <c r="C40" s="2" t="s">
        <v>298</v>
      </c>
      <c r="D40" s="2" t="s">
        <v>270</v>
      </c>
      <c r="E40" s="2" t="s">
        <v>61</v>
      </c>
      <c r="F40" s="2" t="str">
        <f>IFERROR(VLOOKUP(E40,'Customer '!$A$4:$D$28,2,FALSE),"")</f>
        <v>RH</v>
      </c>
      <c r="G40" s="2" t="s">
        <v>74</v>
      </c>
      <c r="H4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2026-RH-CIA O&amp;O GUESTROOMS</v>
      </c>
      <c r="I40" s="2">
        <f ca="1">IF(OR($H40="",$B40=""),0,--(COUNTIFS($H$3:$H40,$H40,$B$3:$B40,$B40)=1))</f>
        <v>1</v>
      </c>
      <c r="J40" s="2" t="s">
        <v>272</v>
      </c>
      <c r="K40" s="2" t="s">
        <v>273</v>
      </c>
      <c r="L40" s="2" t="s">
        <v>274</v>
      </c>
      <c r="M40" s="278">
        <v>46072</v>
      </c>
      <c r="N40" s="278">
        <v>45992</v>
      </c>
      <c r="O40" s="279"/>
      <c r="P40" s="2" t="s">
        <v>51</v>
      </c>
      <c r="Q40" s="2" t="s">
        <v>152</v>
      </c>
      <c r="V40" s="276">
        <v>12</v>
      </c>
      <c r="X40" s="280">
        <v>12000.06</v>
      </c>
      <c r="Y40" s="280">
        <v>12000.06</v>
      </c>
      <c r="Z40" s="2" t="s">
        <v>280</v>
      </c>
      <c r="AA40" s="2" t="str">
        <f t="shared" si="0"/>
        <v>2026</v>
      </c>
      <c r="AB40" s="278">
        <v>46182</v>
      </c>
      <c r="AC40" s="278">
        <v>46185</v>
      </c>
      <c r="AD40" s="277">
        <v>46116</v>
      </c>
      <c r="AE40" s="278">
        <v>46116</v>
      </c>
      <c r="AF40" s="2" t="str">
        <f>IF(AD40="","",IF(ISNUMBER(AD40),IF(AND(AD40&gt;='2026 Calendar'!$C$4,AD40&lt;='2026 Calendar'!$E$107),LOOKUP(AD40,'2026 Calendar'!$C$4:$C$107,'2026 Calendar'!$A$4:$A$107),YEAR(AD40-WEEKDAY(AD40,2)+4)&amp;"/W"&amp;TEXT(WEEKNUM(AD40,21),"00")),IF(IFERROR(ISNUMBER(SEARCH("/W",AD40)),FALSE),IF(IFERROR(ISNUMBER(SEARCH("-",AD40)),FALSE),LEFT(AD40,SEARCH("-",AD40)-1),AD40),AD40)))</f>
        <v>2026/W14</v>
      </c>
      <c r="AG40" s="2" t="str">
        <f>IF(AE40="","",IF(ISNUMBER(AE40),IF(AND(AE40&gt;='2026 Calendar'!$C$4,AE40&lt;='2026 Calendar'!$E$107),LOOKUP(AE40,'2026 Calendar'!$C$4:$C$107,'2026 Calendar'!$A$4:$A$107),YEAR(AE40-WEEKDAY(AE40,2)+4)&amp;"/W"&amp;TEXT(WEEKNUM(AE40,21),"00")),IF(IFERROR(ISNUMBER(SEARCH("/W",AE40)),FALSE),IF(IFERROR(ISNUMBER(SEARCH("-",AE40)),FALSE),MID(AE40,SEARCH("-",AE40)+1,100),AE40),AE40)))</f>
        <v>2026/W14</v>
      </c>
      <c r="AH40" s="2" t="s">
        <v>56</v>
      </c>
      <c r="AI40" s="278"/>
      <c r="AJ40" s="278"/>
      <c r="AK40" s="2" t="s">
        <v>56</v>
      </c>
      <c r="AL40" s="278"/>
      <c r="AM40" s="278"/>
      <c r="AN40" s="2" t="s">
        <v>56</v>
      </c>
      <c r="AO40" s="278"/>
      <c r="AP40" s="278"/>
      <c r="AQ40" s="2" t="s">
        <v>56</v>
      </c>
      <c r="AR40" s="278"/>
      <c r="AS40" s="278"/>
      <c r="AT40" s="2" t="s">
        <v>56</v>
      </c>
      <c r="AU40" s="278"/>
      <c r="AV40" s="278"/>
      <c r="AW40" s="2" t="s">
        <v>73</v>
      </c>
      <c r="AX40" s="278"/>
      <c r="AY40" s="278"/>
      <c r="AZ40" s="2" t="s">
        <v>278</v>
      </c>
      <c r="BA40" s="278"/>
      <c r="BB40" s="278"/>
      <c r="BC40" s="2" t="str">
        <f t="shared" si="12"/>
        <v>Complete</v>
      </c>
      <c r="BD40" s="2" t="s">
        <v>279</v>
      </c>
      <c r="BE40" s="119" t="str">
        <f t="shared" si="13"/>
        <v>READY</v>
      </c>
    </row>
    <row r="41" spans="1:57" x14ac:dyDescent="0.35">
      <c r="A41" s="2" t="str">
        <f>IFERROR(VLOOKUP(E41,'Customer '!$A$4:$D$23,3,FALSE),"")</f>
        <v>NON RH</v>
      </c>
      <c r="B41" s="2" t="s">
        <v>268</v>
      </c>
      <c r="C41" s="2" t="s">
        <v>319</v>
      </c>
      <c r="E41" s="2" t="s">
        <v>48</v>
      </c>
      <c r="F41" s="2" t="str">
        <f>IFERROR(VLOOKUP(E41,'Customer '!$A$4:$D$28,2,FALSE),"")</f>
        <v>COSMIC REALTY</v>
      </c>
      <c r="G41" s="2" t="s">
        <v>49</v>
      </c>
      <c r="H4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2026-COSMIC REALTY-250 FIFTH AVENUE HOTEL</v>
      </c>
      <c r="I41" s="2">
        <f ca="1">IF(OR($H41="",$B41=""),0,--(COUNTIFS($H$3:$H41,$H41,$B$3:$B41,$B41)=1))</f>
        <v>1</v>
      </c>
      <c r="J41" s="2" t="s">
        <v>272</v>
      </c>
      <c r="K41" s="2" t="s">
        <v>273</v>
      </c>
      <c r="L41" s="2" t="s">
        <v>274</v>
      </c>
      <c r="M41" s="278"/>
      <c r="N41" s="278" t="s">
        <v>292</v>
      </c>
      <c r="O41" s="279"/>
      <c r="P41" s="2" t="s">
        <v>51</v>
      </c>
      <c r="Q41" s="2" t="s">
        <v>325</v>
      </c>
      <c r="V41" s="276">
        <v>17</v>
      </c>
      <c r="X41" s="280">
        <v>1908.8</v>
      </c>
      <c r="Y41" s="280">
        <v>1908.8</v>
      </c>
      <c r="Z41" s="2" t="s">
        <v>294</v>
      </c>
      <c r="AA41" s="2" t="str">
        <f t="shared" si="0"/>
        <v>2026</v>
      </c>
      <c r="AB41" s="278">
        <v>46116</v>
      </c>
      <c r="AC41" s="278"/>
      <c r="AD41" s="277">
        <v>46116</v>
      </c>
      <c r="AE41" s="278">
        <v>46116</v>
      </c>
      <c r="AF41" s="2" t="str">
        <f>IF(AD41="","",IF(ISNUMBER(AD41),IF(AND(AD41&gt;='2026 Calendar'!$C$4,AD41&lt;='2026 Calendar'!$E$107),LOOKUP(AD41,'2026 Calendar'!$C$4:$C$107,'2026 Calendar'!$A$4:$A$107),YEAR(AD41-WEEKDAY(AD41,2)+4)&amp;"/W"&amp;TEXT(WEEKNUM(AD41,21),"00")),IF(IFERROR(ISNUMBER(SEARCH("/W",AD41)),FALSE),IF(IFERROR(ISNUMBER(SEARCH("-",AD41)),FALSE),LEFT(AD41,SEARCH("-",AD41)-1),AD41),AD41)))</f>
        <v>2026/W14</v>
      </c>
      <c r="AG41" s="2" t="str">
        <f>IF(AE41="","",IF(ISNUMBER(AE41),IF(AND(AE41&gt;='2026 Calendar'!$C$4,AE41&lt;='2026 Calendar'!$E$107),LOOKUP(AE41,'2026 Calendar'!$C$4:$C$107,'2026 Calendar'!$A$4:$A$107),YEAR(AE41-WEEKDAY(AE41,2)+4)&amp;"/W"&amp;TEXT(WEEKNUM(AE41,21),"00")),IF(IFERROR(ISNUMBER(SEARCH("/W",AE41)),FALSE),IF(IFERROR(ISNUMBER(SEARCH("-",AE41)),FALSE),MID(AE41,SEARCH("-",AE41)+1,100),AE41),AE41)))</f>
        <v>2026/W14</v>
      </c>
      <c r="AH41" s="2" t="s">
        <v>56</v>
      </c>
      <c r="AI41" s="278"/>
      <c r="AJ41" s="278"/>
      <c r="AK41" s="2" t="s">
        <v>56</v>
      </c>
      <c r="AL41" s="278"/>
      <c r="AM41" s="278"/>
      <c r="AN41" s="2" t="s">
        <v>56</v>
      </c>
      <c r="AO41" s="278"/>
      <c r="AP41" s="278"/>
      <c r="AQ41" s="2" t="s">
        <v>56</v>
      </c>
      <c r="AR41" s="278"/>
      <c r="AS41" s="278"/>
      <c r="AT41" s="2" t="s">
        <v>56</v>
      </c>
      <c r="AU41" s="278"/>
      <c r="AV41" s="278"/>
      <c r="AW41" s="2" t="s">
        <v>56</v>
      </c>
      <c r="AX41" s="278"/>
      <c r="AY41" s="278"/>
      <c r="AZ41" s="2" t="s">
        <v>57</v>
      </c>
      <c r="BA41" s="278"/>
      <c r="BB41" s="278"/>
      <c r="BC41" s="2" t="str">
        <f t="shared" si="12"/>
        <v>Complete</v>
      </c>
      <c r="BE41" s="119" t="str">
        <f t="shared" si="13"/>
        <v>READY</v>
      </c>
    </row>
    <row r="42" spans="1:57" x14ac:dyDescent="0.35">
      <c r="A42" s="2" t="str">
        <f>IFERROR(VLOOKUP(E42,'Customer '!$A$4:$D$23,3,FALSE),"")</f>
        <v>NON RH</v>
      </c>
      <c r="B42" s="2" t="s">
        <v>268</v>
      </c>
      <c r="C42" s="2" t="s">
        <v>340</v>
      </c>
      <c r="E42" s="2" t="s">
        <v>82</v>
      </c>
      <c r="F42" s="2" t="str">
        <f>IFERROR(VLOOKUP(E42,'Customer '!$A$4:$D$28,2,FALSE),"")</f>
        <v>L&amp;S</v>
      </c>
      <c r="G42" s="2" t="s">
        <v>90</v>
      </c>
      <c r="H4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2026-L&amp;S-ELYSEE HOTEL</v>
      </c>
      <c r="I42" s="2">
        <f ca="1">IF(OR($H42="",$B42=""),0,--(COUNTIFS($H$3:$H42,$H42,$B$3:$B42,$B42)=1))</f>
        <v>1</v>
      </c>
      <c r="J42" s="2" t="s">
        <v>272</v>
      </c>
      <c r="K42" s="2" t="s">
        <v>273</v>
      </c>
      <c r="L42" s="2" t="s">
        <v>274</v>
      </c>
      <c r="M42" s="278">
        <v>46027</v>
      </c>
      <c r="N42" s="278">
        <v>46009</v>
      </c>
      <c r="O42" s="279"/>
      <c r="P42" s="2" t="s">
        <v>51</v>
      </c>
      <c r="Q42" s="2" t="s">
        <v>325</v>
      </c>
      <c r="V42" s="276">
        <v>22</v>
      </c>
      <c r="X42" s="280">
        <v>169946</v>
      </c>
      <c r="Y42" s="280">
        <v>89785.840000000011</v>
      </c>
      <c r="Z42" s="2" t="s">
        <v>282</v>
      </c>
      <c r="AA42" s="2" t="str">
        <f t="shared" ref="AA42:AA43" si="14">IF(Z42="","",IF(OR(Z42="TBC",Z42="Removed"),Z42,LEFT(Z42,4)))</f>
        <v>2026</v>
      </c>
      <c r="AB42" s="277">
        <v>46269</v>
      </c>
      <c r="AC42" s="278">
        <v>46276</v>
      </c>
      <c r="AD42" s="277">
        <v>46242</v>
      </c>
      <c r="AE42" s="278">
        <v>46277</v>
      </c>
      <c r="AF42" s="2" t="str">
        <f>IF(AD42="","",IF(ISNUMBER(AD42),IF(AND(AD42&gt;='2026 Calendar'!$C$4,AD42&lt;='2026 Calendar'!$E$107),LOOKUP(AD42,'2026 Calendar'!$C$4:$C$107,'2026 Calendar'!$A$4:$A$107),YEAR(AD42-WEEKDAY(AD42,2)+4)&amp;"/W"&amp;TEXT(WEEKNUM(AD42,21),"00")),IF(IFERROR(ISNUMBER(SEARCH("/W",AD42)),FALSE),IF(IFERROR(ISNUMBER(SEARCH("-",AD42)),FALSE),LEFT(AD42,SEARCH("-",AD42)-1),AD42),AD42)))</f>
        <v>2026/W32</v>
      </c>
      <c r="AG42" s="2" t="str">
        <f>IF(AE42="","",IF(ISNUMBER(AE42),IF(AND(AE42&gt;='2026 Calendar'!$C$4,AE42&lt;='2026 Calendar'!$E$107),LOOKUP(AE42,'2026 Calendar'!$C$4:$C$107,'2026 Calendar'!$A$4:$A$107),YEAR(AE42-WEEKDAY(AE42,2)+4)&amp;"/W"&amp;TEXT(WEEKNUM(AE42,21),"00")),IF(IFERROR(ISNUMBER(SEARCH("/W",AE42)),FALSE),IF(IFERROR(ISNUMBER(SEARCH("-",AE42)),FALSE),MID(AE42,SEARCH("-",AE42)+1,100),AE42),AE42)))</f>
        <v>2026/W37</v>
      </c>
      <c r="AH42" s="2" t="s">
        <v>56</v>
      </c>
      <c r="AI42" s="278"/>
      <c r="AJ42" s="278"/>
      <c r="AK42" s="2" t="s">
        <v>56</v>
      </c>
      <c r="AL42" s="278"/>
      <c r="AM42" s="278"/>
      <c r="AN42" s="2" t="s">
        <v>56</v>
      </c>
      <c r="AO42" s="278"/>
      <c r="AP42" s="278"/>
      <c r="AQ42" s="2" t="s">
        <v>56</v>
      </c>
      <c r="AR42" s="278"/>
      <c r="AS42" s="278"/>
      <c r="AT42" s="2" t="s">
        <v>56</v>
      </c>
      <c r="AU42" s="278"/>
      <c r="AV42" s="278"/>
      <c r="AW42" s="2" t="s">
        <v>73</v>
      </c>
      <c r="AX42" s="278"/>
      <c r="AY42" s="278"/>
      <c r="AZ42" s="2" t="s">
        <v>331</v>
      </c>
      <c r="BA42" s="278"/>
      <c r="BB42" s="278"/>
      <c r="BC42" s="2" t="str">
        <f t="shared" si="12"/>
        <v>Complete</v>
      </c>
      <c r="BE42" s="119" t="str">
        <f t="shared" si="13"/>
        <v>READY</v>
      </c>
    </row>
    <row r="43" spans="1:57" x14ac:dyDescent="0.35">
      <c r="A43" s="2" t="str">
        <f>IFERROR(VLOOKUP(E43,'Customer '!$A$4:$D$23,3,FALSE),"")</f>
        <v>NON RH</v>
      </c>
      <c r="B43" s="2" t="s">
        <v>268</v>
      </c>
      <c r="C43" s="2" t="s">
        <v>340</v>
      </c>
      <c r="E43" s="2" t="s">
        <v>82</v>
      </c>
      <c r="F43" s="2" t="str">
        <f>IFERROR(VLOOKUP(E43,'Customer '!$A$4:$D$28,2,FALSE),"")</f>
        <v>L&amp;S</v>
      </c>
      <c r="G43" s="2" t="s">
        <v>90</v>
      </c>
      <c r="H4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2026-L&amp;S-ELYSEE HOTEL</v>
      </c>
      <c r="I43" s="2">
        <f ca="1">IF(OR($H43="",$B43=""),0,--(COUNTIFS($H$3:$H43,$H43,$B$3:$B43,$B43)=1))</f>
        <v>0</v>
      </c>
      <c r="J43" s="2" t="s">
        <v>272</v>
      </c>
      <c r="K43" s="2" t="s">
        <v>273</v>
      </c>
      <c r="L43" s="2" t="s">
        <v>310</v>
      </c>
      <c r="M43" s="278">
        <v>46027</v>
      </c>
      <c r="N43" s="278">
        <v>46009</v>
      </c>
      <c r="O43" s="279"/>
      <c r="P43" s="2" t="s">
        <v>51</v>
      </c>
      <c r="Q43" s="2" t="s">
        <v>325</v>
      </c>
      <c r="R43" s="2">
        <v>0</v>
      </c>
      <c r="S43" s="2">
        <v>0</v>
      </c>
      <c r="V43" s="276">
        <v>22</v>
      </c>
      <c r="X43" s="280">
        <v>169946</v>
      </c>
      <c r="Y43" s="280">
        <v>28382</v>
      </c>
      <c r="Z43" s="2" t="s">
        <v>297</v>
      </c>
      <c r="AA43" s="2" t="str">
        <f t="shared" si="14"/>
        <v>2026</v>
      </c>
      <c r="AB43" s="277">
        <v>46269</v>
      </c>
      <c r="AC43" s="278">
        <v>46276</v>
      </c>
      <c r="AD43" s="277">
        <v>46242</v>
      </c>
      <c r="AE43" s="278">
        <v>46277</v>
      </c>
      <c r="AF43" s="2" t="str">
        <f>IF(AD43="","",IF(ISNUMBER(AD43),IF(AND(AD43&gt;='2026 Calendar'!$C$4,AD43&lt;='2026 Calendar'!$E$107),LOOKUP(AD43,'2026 Calendar'!$C$4:$C$107,'2026 Calendar'!$A$4:$A$107),YEAR(AD43-WEEKDAY(AD43,2)+4)&amp;"/W"&amp;TEXT(WEEKNUM(AD43,21),"00")),IF(IFERROR(ISNUMBER(SEARCH("/W",AD43)),FALSE),IF(IFERROR(ISNUMBER(SEARCH("-",AD43)),FALSE),LEFT(AD43,SEARCH("-",AD43)-1),AD43),AD43)))</f>
        <v>2026/W32</v>
      </c>
      <c r="AG43" s="2" t="str">
        <f>IF(AE43="","",IF(ISNUMBER(AE43),IF(AND(AE43&gt;='2026 Calendar'!$C$4,AE43&lt;='2026 Calendar'!$E$107),LOOKUP(AE43,'2026 Calendar'!$C$4:$C$107,'2026 Calendar'!$A$4:$A$107),YEAR(AE43-WEEKDAY(AE43,2)+4)&amp;"/W"&amp;TEXT(WEEKNUM(AE43,21),"00")),IF(IFERROR(ISNUMBER(SEARCH("/W",AE43)),FALSE),IF(IFERROR(ISNUMBER(SEARCH("-",AE43)),FALSE),MID(AE43,SEARCH("-",AE43)+1,100),AE43),AE43)))</f>
        <v>2026/W37</v>
      </c>
      <c r="AH43" s="2" t="s">
        <v>56</v>
      </c>
      <c r="AI43" s="278"/>
      <c r="AJ43" s="278"/>
      <c r="AK43" s="2" t="s">
        <v>56</v>
      </c>
      <c r="AL43" s="278"/>
      <c r="AM43" s="278"/>
      <c r="AN43" s="2" t="s">
        <v>56</v>
      </c>
      <c r="AO43" s="278"/>
      <c r="AP43" s="278"/>
      <c r="AQ43" s="2" t="s">
        <v>56</v>
      </c>
      <c r="AR43" s="278"/>
      <c r="AS43" s="278"/>
      <c r="AT43" s="2" t="s">
        <v>56</v>
      </c>
      <c r="AU43" s="278"/>
      <c r="AV43" s="278"/>
      <c r="AW43" s="2" t="s">
        <v>73</v>
      </c>
      <c r="AX43" s="278"/>
      <c r="AY43" s="278"/>
      <c r="AZ43" s="2" t="s">
        <v>331</v>
      </c>
      <c r="BA43" s="278"/>
      <c r="BB43" s="278"/>
      <c r="BC43" s="2" t="str">
        <f t="shared" si="12"/>
        <v>Complete</v>
      </c>
      <c r="BE43" s="119" t="str">
        <f t="shared" si="13"/>
        <v>READY</v>
      </c>
    </row>
    <row r="44" spans="1:57" x14ac:dyDescent="0.35">
      <c r="A44" s="2" t="str">
        <f>IFERROR(VLOOKUP(E44,'Customer '!$A$4:$D$23,3,FALSE),"")</f>
        <v>NON RH</v>
      </c>
      <c r="B44" s="2" t="s">
        <v>268</v>
      </c>
      <c r="C44" s="2" t="s">
        <v>340</v>
      </c>
      <c r="E44" s="2" t="s">
        <v>82</v>
      </c>
      <c r="F44" s="2" t="str">
        <f>IFERROR(VLOOKUP(E44,'Customer '!$A$4:$D$28,2,FALSE),"")</f>
        <v>L&amp;S</v>
      </c>
      <c r="G44" s="2" t="s">
        <v>90</v>
      </c>
      <c r="H4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2026-L&amp;S-ELYSEE HOTEL</v>
      </c>
      <c r="I44" s="2">
        <f ca="1">IF(OR($H44="",$B44=""),0,--(COUNTIFS($H$3:$H44,$H44,$B$3:$B44,$B44)=1))</f>
        <v>0</v>
      </c>
      <c r="J44" s="2" t="s">
        <v>272</v>
      </c>
      <c r="K44" s="2" t="s">
        <v>273</v>
      </c>
      <c r="L44" s="2" t="s">
        <v>310</v>
      </c>
      <c r="M44" s="278">
        <v>46027</v>
      </c>
      <c r="N44" s="278">
        <v>46009</v>
      </c>
      <c r="O44" s="279"/>
      <c r="P44" s="2" t="s">
        <v>51</v>
      </c>
      <c r="Q44" s="2" t="s">
        <v>325</v>
      </c>
      <c r="R44" s="2">
        <v>0</v>
      </c>
      <c r="S44" s="2">
        <v>0</v>
      </c>
      <c r="V44" s="276">
        <v>22</v>
      </c>
      <c r="X44" s="280">
        <v>169946</v>
      </c>
      <c r="Y44" s="280">
        <v>51777</v>
      </c>
      <c r="Z44" s="2" t="s">
        <v>297</v>
      </c>
      <c r="AA44" s="2" t="str">
        <f t="shared" si="0"/>
        <v>2026</v>
      </c>
      <c r="AB44" s="277">
        <v>46269</v>
      </c>
      <c r="AC44" s="278">
        <v>46276</v>
      </c>
      <c r="AD44" s="277">
        <v>46242</v>
      </c>
      <c r="AE44" s="278">
        <v>46283</v>
      </c>
      <c r="AF44" s="2" t="str">
        <f>IF(AD44="","",IF(ISNUMBER(AD44),IF(AND(AD44&gt;='2026 Calendar'!$C$4,AD44&lt;='2026 Calendar'!$E$107),LOOKUP(AD44,'2026 Calendar'!$C$4:$C$107,'2026 Calendar'!$A$4:$A$107),YEAR(AD44-WEEKDAY(AD44,2)+4)&amp;"/W"&amp;TEXT(WEEKNUM(AD44,21),"00")),IF(IFERROR(ISNUMBER(SEARCH("/W",AD44)),FALSE),IF(IFERROR(ISNUMBER(SEARCH("-",AD44)),FALSE),LEFT(AD44,SEARCH("-",AD44)-1),AD44),AD44)))</f>
        <v>2026/W32</v>
      </c>
      <c r="AG44" s="2" t="str">
        <f>IF(AE44="","",IF(ISNUMBER(AE44),IF(AND(AE44&gt;='2026 Calendar'!$C$4,AE44&lt;='2026 Calendar'!$E$107),LOOKUP(AE44,'2026 Calendar'!$C$4:$C$107,'2026 Calendar'!$A$4:$A$107),YEAR(AE44-WEEKDAY(AE44,2)+4)&amp;"/W"&amp;TEXT(WEEKNUM(AE44,21),"00")),IF(IFERROR(ISNUMBER(SEARCH("/W",AE44)),FALSE),IF(IFERROR(ISNUMBER(SEARCH("-",AE44)),FALSE),MID(AE44,SEARCH("-",AE44)+1,100),AE44),AE44)))</f>
        <v>2026/W38</v>
      </c>
      <c r="AH44" s="2" t="s">
        <v>56</v>
      </c>
      <c r="AI44" s="278"/>
      <c r="AJ44" s="278"/>
      <c r="AK44" s="2" t="s">
        <v>56</v>
      </c>
      <c r="AL44" s="278"/>
      <c r="AM44" s="278"/>
      <c r="AN44" s="2" t="s">
        <v>56</v>
      </c>
      <c r="AO44" s="278"/>
      <c r="AP44" s="278"/>
      <c r="AQ44" s="2" t="s">
        <v>56</v>
      </c>
      <c r="AR44" s="278"/>
      <c r="AS44" s="278"/>
      <c r="AT44" s="2" t="s">
        <v>56</v>
      </c>
      <c r="AU44" s="278"/>
      <c r="AV44" s="278"/>
      <c r="AW44" s="2" t="s">
        <v>73</v>
      </c>
      <c r="AX44" s="278"/>
      <c r="AY44" s="278"/>
      <c r="AZ44" s="2" t="s">
        <v>331</v>
      </c>
      <c r="BA44" s="278"/>
      <c r="BB44" s="278"/>
      <c r="BC44" s="2" t="str">
        <f t="shared" si="12"/>
        <v>Complete</v>
      </c>
      <c r="BE44" s="119" t="str">
        <f t="shared" si="13"/>
        <v>READY</v>
      </c>
    </row>
    <row r="45" spans="1:57" x14ac:dyDescent="0.35">
      <c r="A45" s="2" t="str">
        <f>IFERROR(VLOOKUP(E45,'Customer '!$A$4:$D$23,3,FALSE),"")</f>
        <v>NON RH</v>
      </c>
      <c r="B45" s="2" t="s">
        <v>268</v>
      </c>
      <c r="C45" s="2" t="s">
        <v>149</v>
      </c>
      <c r="E45" s="2" t="s">
        <v>82</v>
      </c>
      <c r="F45" s="2" t="str">
        <f>IFERROR(VLOOKUP(E45,'Customer '!$A$4:$D$28,2,FALSE),"")</f>
        <v>L&amp;S</v>
      </c>
      <c r="G45" s="2" t="s">
        <v>94</v>
      </c>
      <c r="H4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2026-L&amp;S-FAENA TULLUM (FTMX)</v>
      </c>
      <c r="I45" s="2">
        <f ca="1">IF(OR($H45="",$B45=""),0,--(COUNTIFS($H$3:$H45,$H45,$B$3:$B45,$B45)=1))</f>
        <v>1</v>
      </c>
      <c r="J45" s="2" t="s">
        <v>284</v>
      </c>
      <c r="K45" s="2" t="s">
        <v>273</v>
      </c>
      <c r="L45" s="2" t="s">
        <v>285</v>
      </c>
      <c r="M45" s="278"/>
      <c r="N45" s="278" t="s">
        <v>292</v>
      </c>
      <c r="O45" s="279"/>
      <c r="P45" s="2" t="s">
        <v>96</v>
      </c>
      <c r="Q45" s="2" t="s">
        <v>339</v>
      </c>
      <c r="R45" s="2">
        <v>0</v>
      </c>
      <c r="S45" s="2">
        <v>0</v>
      </c>
      <c r="V45" s="276">
        <v>16</v>
      </c>
      <c r="X45" s="280">
        <v>1160820</v>
      </c>
      <c r="Y45" s="280">
        <f>DetailTracker[[#This Row],[PROJECT VALUE $]]/2</f>
        <v>580410</v>
      </c>
      <c r="Z45" s="2" t="s">
        <v>341</v>
      </c>
      <c r="AA45" s="2" t="str">
        <f t="shared" si="0"/>
        <v>2027</v>
      </c>
      <c r="AB45" s="278" t="s">
        <v>292</v>
      </c>
      <c r="AC45" s="278"/>
      <c r="AD45" s="277" t="s">
        <v>149</v>
      </c>
      <c r="AE45" s="278" t="s">
        <v>149</v>
      </c>
      <c r="AF45" s="2" t="str">
        <f>IF(AD45="","",IF(ISNUMBER(AD45),IF(AND(AD45&gt;='2026 Calendar'!$C$4,AD45&lt;='2026 Calendar'!$E$107),LOOKUP(AD45,'2026 Calendar'!$C$4:$C$107,'2026 Calendar'!$A$4:$A$107),YEAR(AD45-WEEKDAY(AD45,2)+4)&amp;"/W"&amp;TEXT(WEEKNUM(AD45,21),"00")),IF(IFERROR(ISNUMBER(SEARCH("/W",AD45)),FALSE),IF(IFERROR(ISNUMBER(SEARCH("-",AD45)),FALSE),LEFT(AD45,SEARCH("-",AD45)-1),AD45),AD45)))</f>
        <v>TBC</v>
      </c>
      <c r="AG45" s="2" t="str">
        <f>IF(AE45="","",IF(ISNUMBER(AE45),IF(AND(AE45&gt;='2026 Calendar'!$C$4,AE45&lt;='2026 Calendar'!$E$107),LOOKUP(AE45,'2026 Calendar'!$C$4:$C$107,'2026 Calendar'!$A$4:$A$107),YEAR(AE45-WEEKDAY(AE45,2)+4)&amp;"/W"&amp;TEXT(WEEKNUM(AE45,21),"00")),IF(IFERROR(ISNUMBER(SEARCH("/W",AE45)),FALSE),IF(IFERROR(ISNUMBER(SEARCH("-",AE45)),FALSE),MID(AE45,SEARCH("-",AE45)+1,100),AE45),AE45)))</f>
        <v>TBC</v>
      </c>
      <c r="AH45" s="2" t="s">
        <v>342</v>
      </c>
      <c r="AI45" s="278"/>
      <c r="AJ45" s="278"/>
      <c r="AK45" s="2" t="s">
        <v>287</v>
      </c>
      <c r="AL45" s="278"/>
      <c r="AM45" s="278"/>
      <c r="AO45" s="278"/>
      <c r="AP45" s="278"/>
      <c r="AR45" s="278"/>
      <c r="AS45" s="278"/>
      <c r="AU45" s="278"/>
      <c r="AV45" s="278"/>
      <c r="AX45" s="278"/>
      <c r="AY45" s="278"/>
      <c r="BA45" s="278"/>
      <c r="BB45" s="278"/>
      <c r="BC45" s="2" t="str">
        <f t="shared" si="12"/>
        <v>Active</v>
      </c>
      <c r="BE45" s="119" t="str">
        <f t="shared" si="13"/>
        <v>NPI: Not started: Veneer/Wood for SW TBC</v>
      </c>
    </row>
    <row r="46" spans="1:57" x14ac:dyDescent="0.35">
      <c r="A46" s="2" t="str">
        <f>IFERROR(VLOOKUP(E46,'Customer '!$A$4:$D$23,3,FALSE),"")</f>
        <v>NON RH</v>
      </c>
      <c r="B46" s="2" t="s">
        <v>268</v>
      </c>
      <c r="C46" s="2" t="s">
        <v>149</v>
      </c>
      <c r="E46" s="2" t="s">
        <v>82</v>
      </c>
      <c r="F46" s="2" t="str">
        <f>IFERROR(VLOOKUP(E46,'Customer '!$A$4:$D$28,2,FALSE),"")</f>
        <v>L&amp;S</v>
      </c>
      <c r="G46" s="2" t="s">
        <v>94</v>
      </c>
      <c r="H4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2026-L&amp;S-FAENA TULLUM (FTMX)</v>
      </c>
      <c r="I46" s="2">
        <f ca="1">IF(OR($H46="",$B46=""),0,--(COUNTIFS($H$3:$H46,$H46,$B$3:$B46,$B46)=1))</f>
        <v>0</v>
      </c>
      <c r="J46" s="2" t="s">
        <v>284</v>
      </c>
      <c r="K46" s="2" t="s">
        <v>273</v>
      </c>
      <c r="L46" s="2" t="s">
        <v>285</v>
      </c>
      <c r="M46" s="278"/>
      <c r="N46" s="278" t="s">
        <v>292</v>
      </c>
      <c r="O46" s="279"/>
      <c r="P46" s="2" t="s">
        <v>96</v>
      </c>
      <c r="Q46" s="2" t="s">
        <v>339</v>
      </c>
      <c r="R46" s="2">
        <v>0</v>
      </c>
      <c r="S46" s="2">
        <v>0</v>
      </c>
      <c r="V46" s="276">
        <v>16</v>
      </c>
      <c r="X46" s="280">
        <v>1160820</v>
      </c>
      <c r="Y46" s="280">
        <f>DetailTracker[[#This Row],[PROJECT VALUE $]]/2</f>
        <v>580410</v>
      </c>
      <c r="Z46" s="2" t="s">
        <v>341</v>
      </c>
      <c r="AA46" s="2" t="str">
        <f t="shared" si="0"/>
        <v>2027</v>
      </c>
      <c r="AB46" s="278" t="s">
        <v>292</v>
      </c>
      <c r="AC46" s="278"/>
      <c r="AD46" s="277" t="s">
        <v>149</v>
      </c>
      <c r="AE46" s="278" t="s">
        <v>149</v>
      </c>
      <c r="AF46" s="2" t="str">
        <f>IF(AD46="","",IF(ISNUMBER(AD46),IF(AND(AD46&gt;='2026 Calendar'!$C$4,AD46&lt;='2026 Calendar'!$E$107),LOOKUP(AD46,'2026 Calendar'!$C$4:$C$107,'2026 Calendar'!$A$4:$A$107),YEAR(AD46-WEEKDAY(AD46,2)+4)&amp;"/W"&amp;TEXT(WEEKNUM(AD46,21),"00")),IF(IFERROR(ISNUMBER(SEARCH("/W",AD46)),FALSE),IF(IFERROR(ISNUMBER(SEARCH("-",AD46)),FALSE),LEFT(AD46,SEARCH("-",AD46)-1),AD46),AD46)))</f>
        <v>TBC</v>
      </c>
      <c r="AG46" s="2" t="str">
        <f>IF(AE46="","",IF(ISNUMBER(AE46),IF(AND(AE46&gt;='2026 Calendar'!$C$4,AE46&lt;='2026 Calendar'!$E$107),LOOKUP(AE46,'2026 Calendar'!$C$4:$C$107,'2026 Calendar'!$A$4:$A$107),YEAR(AE46-WEEKDAY(AE46,2)+4)&amp;"/W"&amp;TEXT(WEEKNUM(AE46,21),"00")),IF(IFERROR(ISNUMBER(SEARCH("/W",AE46)),FALSE),IF(IFERROR(ISNUMBER(SEARCH("-",AE46)),FALSE),MID(AE46,SEARCH("-",AE46)+1,100),AE46),AE46)))</f>
        <v>TBC</v>
      </c>
      <c r="AH46" s="2" t="s">
        <v>342</v>
      </c>
      <c r="AI46" s="278"/>
      <c r="AJ46" s="278"/>
      <c r="AK46" s="2" t="s">
        <v>287</v>
      </c>
      <c r="AL46" s="278"/>
      <c r="AM46" s="278"/>
      <c r="AO46" s="278"/>
      <c r="AP46" s="278"/>
      <c r="AR46" s="278"/>
      <c r="AS46" s="278"/>
      <c r="AU46" s="278"/>
      <c r="AV46" s="278"/>
      <c r="AX46" s="278"/>
      <c r="AY46" s="278"/>
      <c r="BA46" s="278"/>
      <c r="BB46" s="278"/>
      <c r="BC46" s="2" t="str">
        <f t="shared" si="12"/>
        <v>Active</v>
      </c>
      <c r="BE46" s="119" t="str">
        <f t="shared" si="13"/>
        <v>NPI: Not started: Veneer/Wood for SW TBC</v>
      </c>
    </row>
    <row r="47" spans="1:57" x14ac:dyDescent="0.35">
      <c r="A47" s="2" t="str">
        <f>IFERROR(VLOOKUP(E47,'Customer '!$A$4:$D$23,3,FALSE),"")</f>
        <v>NON RH</v>
      </c>
      <c r="B47" s="2" t="s">
        <v>268</v>
      </c>
      <c r="C47" s="2" t="s">
        <v>306</v>
      </c>
      <c r="E47" s="2" t="s">
        <v>98</v>
      </c>
      <c r="F47" s="2" t="str">
        <f>IFERROR(VLOOKUP(E47,'Customer '!$A$4:$D$28,2,FALSE),"")</f>
        <v xml:space="preserve">FLEETWOOD </v>
      </c>
      <c r="G47" s="2" t="s">
        <v>99</v>
      </c>
      <c r="H4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-FOUR SEASON JACKSONVILLE</v>
      </c>
      <c r="I47" s="2">
        <f ca="1">IF(OR($H47="",$B47=""),0,--(COUNTIFS($H$3:$H47,$H47,$B$3:$B47,$B47)=1))</f>
        <v>1</v>
      </c>
      <c r="J47" s="2" t="s">
        <v>272</v>
      </c>
      <c r="K47" s="2" t="s">
        <v>273</v>
      </c>
      <c r="L47" s="2" t="s">
        <v>274</v>
      </c>
      <c r="M47" s="278">
        <v>45987</v>
      </c>
      <c r="N47" s="278">
        <v>46053</v>
      </c>
      <c r="O47" s="279"/>
      <c r="P47" s="2" t="s">
        <v>51</v>
      </c>
      <c r="Q47" s="2" t="s">
        <v>295</v>
      </c>
      <c r="V47" s="276">
        <v>25</v>
      </c>
      <c r="X47" s="280">
        <v>198023</v>
      </c>
      <c r="Y47" s="280">
        <v>56748.11</v>
      </c>
      <c r="Z47" s="2" t="s">
        <v>294</v>
      </c>
      <c r="AA47" s="2" t="str">
        <f t="shared" si="0"/>
        <v>2026</v>
      </c>
      <c r="AB47" s="278">
        <v>46121</v>
      </c>
      <c r="AC47" s="278">
        <v>46186</v>
      </c>
      <c r="AD47" s="277">
        <v>46116</v>
      </c>
      <c r="AE47" s="277">
        <v>46116</v>
      </c>
      <c r="AF47" s="2" t="str">
        <f>IF(AD47="","",IF(ISNUMBER(AD47),IF(AND(AD47&gt;='2026 Calendar'!$C$4,AD47&lt;='2026 Calendar'!$E$107),LOOKUP(AD47,'2026 Calendar'!$C$4:$C$107,'2026 Calendar'!$A$4:$A$107),YEAR(AD47-WEEKDAY(AD47,2)+4)&amp;"/W"&amp;TEXT(WEEKNUM(AD47,21),"00")),IF(IFERROR(ISNUMBER(SEARCH("/W",AD47)),FALSE),IF(IFERROR(ISNUMBER(SEARCH("-",AD47)),FALSE),LEFT(AD47,SEARCH("-",AD47)-1),AD47),AD47)))</f>
        <v>2026/W14</v>
      </c>
      <c r="AG47" s="2" t="str">
        <f>IF(AE47="","",IF(ISNUMBER(AE47),IF(AND(AE47&gt;='2026 Calendar'!$C$4,AE47&lt;='2026 Calendar'!$E$107),LOOKUP(AE47,'2026 Calendar'!$C$4:$C$107,'2026 Calendar'!$A$4:$A$107),YEAR(AE47-WEEKDAY(AE47,2)+4)&amp;"/W"&amp;TEXT(WEEKNUM(AE47,21),"00")),IF(IFERROR(ISNUMBER(SEARCH("/W",AE47)),FALSE),IF(IFERROR(ISNUMBER(SEARCH("-",AE47)),FALSE),MID(AE47,SEARCH("-",AE47)+1,100),AE47),AE47)))</f>
        <v>2026/W14</v>
      </c>
      <c r="AH47" s="2" t="s">
        <v>56</v>
      </c>
      <c r="AI47" s="278"/>
      <c r="AJ47" s="278">
        <v>46058</v>
      </c>
      <c r="AK47" s="2" t="s">
        <v>56</v>
      </c>
      <c r="AL47" s="278"/>
      <c r="AM47" s="278">
        <v>46058</v>
      </c>
      <c r="AN47" s="2" t="s">
        <v>73</v>
      </c>
      <c r="AO47" s="278"/>
      <c r="AP47" s="278"/>
      <c r="AQ47" s="2" t="s">
        <v>56</v>
      </c>
      <c r="AR47" s="278"/>
      <c r="AS47" s="278">
        <v>46058</v>
      </c>
      <c r="AT47" s="2" t="s">
        <v>73</v>
      </c>
      <c r="AU47" s="278"/>
      <c r="AV47" s="278"/>
      <c r="AW47" s="2" t="s">
        <v>56</v>
      </c>
      <c r="AX47" s="278"/>
      <c r="AY47" s="278"/>
      <c r="AZ47" s="2" t="s">
        <v>73</v>
      </c>
      <c r="BA47" s="278"/>
      <c r="BB47" s="278"/>
      <c r="BC47" s="2" t="str">
        <f t="shared" si="12"/>
        <v>Complete</v>
      </c>
      <c r="BD47" s="2" t="s">
        <v>279</v>
      </c>
      <c r="BE47" s="119" t="str">
        <f t="shared" si="13"/>
        <v>READY</v>
      </c>
    </row>
    <row r="48" spans="1:57" x14ac:dyDescent="0.35">
      <c r="A48" s="2" t="str">
        <f>IFERROR(VLOOKUP(E48,'Customer '!$A$4:$D$23,3,FALSE),"")</f>
        <v>NON RH</v>
      </c>
      <c r="B48" s="2" t="s">
        <v>268</v>
      </c>
      <c r="C48" s="2" t="s">
        <v>306</v>
      </c>
      <c r="E48" s="2" t="s">
        <v>98</v>
      </c>
      <c r="F48" s="2" t="str">
        <f>IFERROR(VLOOKUP(E48,'Customer '!$A$4:$D$28,2,FALSE),"")</f>
        <v xml:space="preserve">FLEETWOOD </v>
      </c>
      <c r="G48" s="2" t="s">
        <v>99</v>
      </c>
      <c r="H4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-FOUR SEASON JACKSONVILLE</v>
      </c>
      <c r="I48" s="2">
        <f ca="1">IF(OR($H48="",$B48=""),0,--(COUNTIFS($H$3:$H48,$H48,$B$3:$B48,$B48)=1))</f>
        <v>0</v>
      </c>
      <c r="J48" s="2" t="s">
        <v>272</v>
      </c>
      <c r="K48" s="2" t="s">
        <v>273</v>
      </c>
      <c r="L48" s="2" t="s">
        <v>274</v>
      </c>
      <c r="M48" s="278">
        <v>45987</v>
      </c>
      <c r="N48" s="278">
        <v>46053</v>
      </c>
      <c r="O48" s="279"/>
      <c r="P48" s="2" t="s">
        <v>51</v>
      </c>
      <c r="Q48" s="2" t="s">
        <v>295</v>
      </c>
      <c r="V48" s="276">
        <v>25</v>
      </c>
      <c r="X48" s="280">
        <v>198023</v>
      </c>
      <c r="Y48" s="280">
        <v>87190</v>
      </c>
      <c r="Z48" s="2" t="s">
        <v>277</v>
      </c>
      <c r="AA48" s="2" t="str">
        <f t="shared" si="0"/>
        <v>2026</v>
      </c>
      <c r="AB48" s="278">
        <v>46121</v>
      </c>
      <c r="AC48" s="278">
        <v>46186</v>
      </c>
      <c r="AD48" s="277">
        <v>46116</v>
      </c>
      <c r="AE48" s="277">
        <v>46116</v>
      </c>
      <c r="AF48" s="2" t="str">
        <f>IF(AD48="","",IF(ISNUMBER(AD48),IF(AND(AD48&gt;='2026 Calendar'!$C$4,AD48&lt;='2026 Calendar'!$E$107),LOOKUP(AD48,'2026 Calendar'!$C$4:$C$107,'2026 Calendar'!$A$4:$A$107),YEAR(AD48-WEEKDAY(AD48,2)+4)&amp;"/W"&amp;TEXT(WEEKNUM(AD48,21),"00")),IF(IFERROR(ISNUMBER(SEARCH("/W",AD48)),FALSE),IF(IFERROR(ISNUMBER(SEARCH("-",AD48)),FALSE),LEFT(AD48,SEARCH("-",AD48)-1),AD48),AD48)))</f>
        <v>2026/W14</v>
      </c>
      <c r="AG48" s="2" t="str">
        <f>IF(AE48="","",IF(ISNUMBER(AE48),IF(AND(AE48&gt;='2026 Calendar'!$C$4,AE48&lt;='2026 Calendar'!$E$107),LOOKUP(AE48,'2026 Calendar'!$C$4:$C$107,'2026 Calendar'!$A$4:$A$107),YEAR(AE48-WEEKDAY(AE48,2)+4)&amp;"/W"&amp;TEXT(WEEKNUM(AE48,21),"00")),IF(IFERROR(ISNUMBER(SEARCH("/W",AE48)),FALSE),IF(IFERROR(ISNUMBER(SEARCH("-",AE48)),FALSE),MID(AE48,SEARCH("-",AE48)+1,100),AE48),AE48)))</f>
        <v>2026/W14</v>
      </c>
      <c r="AH48" s="2" t="s">
        <v>56</v>
      </c>
      <c r="AI48" s="278"/>
      <c r="AJ48" s="278">
        <v>46058</v>
      </c>
      <c r="AK48" s="2" t="s">
        <v>56</v>
      </c>
      <c r="AL48" s="278"/>
      <c r="AM48" s="278">
        <v>46058</v>
      </c>
      <c r="AN48" s="2" t="s">
        <v>73</v>
      </c>
      <c r="AO48" s="278"/>
      <c r="AP48" s="278"/>
      <c r="AQ48" s="2" t="s">
        <v>56</v>
      </c>
      <c r="AR48" s="278"/>
      <c r="AS48" s="278">
        <v>46058</v>
      </c>
      <c r="AT48" s="2" t="s">
        <v>73</v>
      </c>
      <c r="AU48" s="278"/>
      <c r="AV48" s="278"/>
      <c r="AW48" s="2" t="s">
        <v>56</v>
      </c>
      <c r="AX48" s="278"/>
      <c r="AY48" s="278"/>
      <c r="AZ48" s="2" t="s">
        <v>73</v>
      </c>
      <c r="BA48" s="278"/>
      <c r="BB48" s="278"/>
      <c r="BC48" s="2" t="str">
        <f t="shared" si="12"/>
        <v>Complete</v>
      </c>
      <c r="BE48" s="119" t="str">
        <f t="shared" si="13"/>
        <v>READY</v>
      </c>
    </row>
    <row r="49" spans="1:57" x14ac:dyDescent="0.35">
      <c r="A49" s="2" t="str">
        <f>IFERROR(VLOOKUP(E49,'Customer '!$A$4:$D$23,3,FALSE),"")</f>
        <v>NON RH</v>
      </c>
      <c r="B49" s="2" t="s">
        <v>268</v>
      </c>
      <c r="C49" s="2" t="s">
        <v>306</v>
      </c>
      <c r="E49" s="2" t="s">
        <v>98</v>
      </c>
      <c r="F49" s="2" t="str">
        <f>IFERROR(VLOOKUP(E49,'Customer '!$A$4:$D$28,2,FALSE),"")</f>
        <v xml:space="preserve">FLEETWOOD </v>
      </c>
      <c r="G49" s="2" t="s">
        <v>99</v>
      </c>
      <c r="H4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-FOUR SEASON JACKSONVILLE</v>
      </c>
      <c r="I49" s="2">
        <f ca="1">IF(OR($H49="",$B49=""),0,--(COUNTIFS($H$3:$H49,$H49,$B$3:$B49,$B49)=1))</f>
        <v>0</v>
      </c>
      <c r="J49" s="2" t="s">
        <v>272</v>
      </c>
      <c r="K49" s="2" t="s">
        <v>273</v>
      </c>
      <c r="L49" s="2" t="s">
        <v>274</v>
      </c>
      <c r="M49" s="278">
        <v>45987</v>
      </c>
      <c r="N49" s="278">
        <v>46053</v>
      </c>
      <c r="O49" s="279"/>
      <c r="P49" s="2" t="s">
        <v>51</v>
      </c>
      <c r="Q49" s="2" t="s">
        <v>295</v>
      </c>
      <c r="V49" s="276">
        <v>25</v>
      </c>
      <c r="X49" s="280">
        <v>198023</v>
      </c>
      <c r="Y49" s="280">
        <v>25075</v>
      </c>
      <c r="Z49" s="2" t="s">
        <v>280</v>
      </c>
      <c r="AA49" s="2" t="str">
        <f t="shared" si="0"/>
        <v>2026</v>
      </c>
      <c r="AB49" s="278">
        <v>46121</v>
      </c>
      <c r="AC49" s="278">
        <v>46186</v>
      </c>
      <c r="AD49" s="277">
        <v>46116</v>
      </c>
      <c r="AE49" s="277">
        <v>46116</v>
      </c>
      <c r="AF49" s="2" t="str">
        <f>IF(AD49="","",IF(ISNUMBER(AD49),IF(AND(AD49&gt;='2026 Calendar'!$C$4,AD49&lt;='2026 Calendar'!$E$107),LOOKUP(AD49,'2026 Calendar'!$C$4:$C$107,'2026 Calendar'!$A$4:$A$107),YEAR(AD49-WEEKDAY(AD49,2)+4)&amp;"/W"&amp;TEXT(WEEKNUM(AD49,21),"00")),IF(IFERROR(ISNUMBER(SEARCH("/W",AD49)),FALSE),IF(IFERROR(ISNUMBER(SEARCH("-",AD49)),FALSE),LEFT(AD49,SEARCH("-",AD49)-1),AD49),AD49)))</f>
        <v>2026/W14</v>
      </c>
      <c r="AG49" s="2" t="str">
        <f>IF(AE49="","",IF(ISNUMBER(AE49),IF(AND(AE49&gt;='2026 Calendar'!$C$4,AE49&lt;='2026 Calendar'!$E$107),LOOKUP(AE49,'2026 Calendar'!$C$4:$C$107,'2026 Calendar'!$A$4:$A$107),YEAR(AE49-WEEKDAY(AE49,2)+4)&amp;"/W"&amp;TEXT(WEEKNUM(AE49,21),"00")),IF(IFERROR(ISNUMBER(SEARCH("/W",AE49)),FALSE),IF(IFERROR(ISNUMBER(SEARCH("-",AE49)),FALSE),MID(AE49,SEARCH("-",AE49)+1,100),AE49),AE49)))</f>
        <v>2026/W14</v>
      </c>
      <c r="AH49" s="2" t="s">
        <v>56</v>
      </c>
      <c r="AI49" s="278"/>
      <c r="AJ49" s="278">
        <v>46058</v>
      </c>
      <c r="AK49" s="2" t="s">
        <v>56</v>
      </c>
      <c r="AL49" s="278"/>
      <c r="AM49" s="278">
        <v>46058</v>
      </c>
      <c r="AN49" s="2" t="s">
        <v>73</v>
      </c>
      <c r="AO49" s="278"/>
      <c r="AP49" s="278"/>
      <c r="AQ49" s="2" t="s">
        <v>56</v>
      </c>
      <c r="AR49" s="278"/>
      <c r="AS49" s="278">
        <v>46058</v>
      </c>
      <c r="AT49" s="2" t="s">
        <v>73</v>
      </c>
      <c r="AU49" s="278"/>
      <c r="AV49" s="278"/>
      <c r="AW49" s="2" t="s">
        <v>56</v>
      </c>
      <c r="AX49" s="278"/>
      <c r="AY49" s="278"/>
      <c r="AZ49" s="2" t="s">
        <v>73</v>
      </c>
      <c r="BA49" s="278"/>
      <c r="BB49" s="278"/>
      <c r="BC49" s="2" t="str">
        <f t="shared" si="12"/>
        <v>Complete</v>
      </c>
      <c r="BE49" s="119" t="str">
        <f t="shared" si="13"/>
        <v>READY</v>
      </c>
    </row>
    <row r="50" spans="1:57" x14ac:dyDescent="0.35">
      <c r="A50" s="2" t="str">
        <f>IFERROR(VLOOKUP(E50,'Customer '!$A$4:$D$23,3,FALSE),"")</f>
        <v>NON RH</v>
      </c>
      <c r="B50" s="2" t="s">
        <v>268</v>
      </c>
      <c r="C50" s="2" t="s">
        <v>306</v>
      </c>
      <c r="E50" s="2" t="s">
        <v>98</v>
      </c>
      <c r="F50" s="2" t="str">
        <f>IFERROR(VLOOKUP(E50,'Customer '!$A$4:$D$28,2,FALSE),"")</f>
        <v xml:space="preserve">FLEETWOOD </v>
      </c>
      <c r="G50" s="2" t="s">
        <v>99</v>
      </c>
      <c r="H5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-FOUR SEASON JACKSONVILLE</v>
      </c>
      <c r="I50" s="2">
        <f ca="1">IF(OR($H50="",$B50=""),0,--(COUNTIFS($H$3:$H50,$H50,$B$3:$B50,$B50)=1))</f>
        <v>0</v>
      </c>
      <c r="J50" s="2" t="s">
        <v>272</v>
      </c>
      <c r="K50" s="2" t="s">
        <v>273</v>
      </c>
      <c r="L50" s="2" t="s">
        <v>274</v>
      </c>
      <c r="M50" s="278">
        <v>45987</v>
      </c>
      <c r="N50" s="278">
        <v>46053</v>
      </c>
      <c r="O50" s="279"/>
      <c r="P50" s="2" t="s">
        <v>51</v>
      </c>
      <c r="Q50" s="2" t="s">
        <v>295</v>
      </c>
      <c r="V50" s="276">
        <v>25</v>
      </c>
      <c r="X50" s="280">
        <v>198023</v>
      </c>
      <c r="Y50" s="280">
        <v>29009</v>
      </c>
      <c r="Z50" s="2" t="s">
        <v>280</v>
      </c>
      <c r="AA50" s="2" t="str">
        <f t="shared" si="0"/>
        <v>2026</v>
      </c>
      <c r="AB50" s="278">
        <v>46121</v>
      </c>
      <c r="AC50" s="278">
        <v>46186</v>
      </c>
      <c r="AD50" s="277">
        <v>46116</v>
      </c>
      <c r="AE50" s="277">
        <v>46116</v>
      </c>
      <c r="AF50" s="2" t="str">
        <f>IF(AD50="","",IF(ISNUMBER(AD50),IF(AND(AD50&gt;='2026 Calendar'!$C$4,AD50&lt;='2026 Calendar'!$E$107),LOOKUP(AD50,'2026 Calendar'!$C$4:$C$107,'2026 Calendar'!$A$4:$A$107),YEAR(AD50-WEEKDAY(AD50,2)+4)&amp;"/W"&amp;TEXT(WEEKNUM(AD50,21),"00")),IF(IFERROR(ISNUMBER(SEARCH("/W",AD50)),FALSE),IF(IFERROR(ISNUMBER(SEARCH("-",AD50)),FALSE),LEFT(AD50,SEARCH("-",AD50)-1),AD50),AD50)))</f>
        <v>2026/W14</v>
      </c>
      <c r="AG50" s="2" t="str">
        <f>IF(AE50="","",IF(ISNUMBER(AE50),IF(AND(AE50&gt;='2026 Calendar'!$C$4,AE50&lt;='2026 Calendar'!$E$107),LOOKUP(AE50,'2026 Calendar'!$C$4:$C$107,'2026 Calendar'!$A$4:$A$107),YEAR(AE50-WEEKDAY(AE50,2)+4)&amp;"/W"&amp;TEXT(WEEKNUM(AE50,21),"00")),IF(IFERROR(ISNUMBER(SEARCH("/W",AE50)),FALSE),IF(IFERROR(ISNUMBER(SEARCH("-",AE50)),FALSE),MID(AE50,SEARCH("-",AE50)+1,100),AE50),AE50)))</f>
        <v>2026/W14</v>
      </c>
      <c r="AH50" s="2" t="s">
        <v>56</v>
      </c>
      <c r="AI50" s="278"/>
      <c r="AJ50" s="278">
        <v>46058</v>
      </c>
      <c r="AK50" s="2" t="s">
        <v>56</v>
      </c>
      <c r="AL50" s="278"/>
      <c r="AM50" s="278">
        <v>46058</v>
      </c>
      <c r="AN50" s="2" t="s">
        <v>73</v>
      </c>
      <c r="AO50" s="278"/>
      <c r="AP50" s="278"/>
      <c r="AQ50" s="2" t="s">
        <v>56</v>
      </c>
      <c r="AR50" s="278"/>
      <c r="AS50" s="278">
        <v>46058</v>
      </c>
      <c r="AT50" s="2" t="s">
        <v>73</v>
      </c>
      <c r="AU50" s="278"/>
      <c r="AV50" s="278"/>
      <c r="AW50" s="2" t="s">
        <v>56</v>
      </c>
      <c r="AX50" s="278"/>
      <c r="AY50" s="278"/>
      <c r="AZ50" s="2" t="s">
        <v>73</v>
      </c>
      <c r="BA50" s="278"/>
      <c r="BB50" s="278"/>
      <c r="BC50" s="2" t="str">
        <f t="shared" si="12"/>
        <v>Complete</v>
      </c>
      <c r="BE50" s="119" t="str">
        <f t="shared" si="13"/>
        <v>READY</v>
      </c>
    </row>
    <row r="51" spans="1:57" ht="29" x14ac:dyDescent="0.35">
      <c r="A51" s="2" t="str">
        <f>IFERROR(VLOOKUP(E51,'Customer '!$A$4:$D$23,3,FALSE),"")</f>
        <v>NON RH</v>
      </c>
      <c r="B51" s="2" t="s">
        <v>268</v>
      </c>
      <c r="C51" s="2" t="s">
        <v>340</v>
      </c>
      <c r="D51" s="2" t="s">
        <v>343</v>
      </c>
      <c r="E51" s="2" t="s">
        <v>98</v>
      </c>
      <c r="F51" s="2" t="str">
        <f>IFERROR(VLOOKUP(E51,'Customer '!$A$4:$D$28,2,FALSE),"")</f>
        <v xml:space="preserve">FLEETWOOD </v>
      </c>
      <c r="G51" s="2" t="s">
        <v>111</v>
      </c>
      <c r="H5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-HARD ROCK LAS VEGAS WEST TOWER</v>
      </c>
      <c r="I51" s="2">
        <f ca="1">IF(OR($H51="",$B51=""),0,--(COUNTIFS($H$3:$H51,$H51,$B$3:$B51,$B51)=1))</f>
        <v>1</v>
      </c>
      <c r="J51" s="2" t="s">
        <v>135</v>
      </c>
      <c r="K51" s="2" t="s">
        <v>273</v>
      </c>
      <c r="L51" s="2" t="s">
        <v>327</v>
      </c>
      <c r="M51" s="278">
        <v>46130</v>
      </c>
      <c r="N51" s="278" t="s">
        <v>292</v>
      </c>
      <c r="O51" s="279"/>
      <c r="P51" s="2" t="s">
        <v>51</v>
      </c>
      <c r="Q51" s="2" t="s">
        <v>334</v>
      </c>
      <c r="V51" s="276">
        <v>94</v>
      </c>
      <c r="X51" s="280">
        <v>3218808.59</v>
      </c>
      <c r="Y51" s="280">
        <v>1072936</v>
      </c>
      <c r="Z51" s="2" t="s">
        <v>315</v>
      </c>
      <c r="AA51" s="2" t="str">
        <f t="shared" si="0"/>
        <v>2027</v>
      </c>
      <c r="AB51" s="278"/>
      <c r="AC51" s="278"/>
      <c r="AD51" s="277" t="s">
        <v>149</v>
      </c>
      <c r="AE51" s="283" t="s">
        <v>149</v>
      </c>
      <c r="AF51" s="2" t="str">
        <f>IF(AD51="","",IF(ISNUMBER(AD51),IF(AND(AD51&gt;='2026 Calendar'!$C$4,AD51&lt;='2026 Calendar'!$E$107),LOOKUP(AD51,'2026 Calendar'!$C$4:$C$107,'2026 Calendar'!$A$4:$A$107),YEAR(AD51-WEEKDAY(AD51,2)+4)&amp;"/W"&amp;TEXT(WEEKNUM(AD51,21),"00")),IF(IFERROR(ISNUMBER(SEARCH("/W",AD51)),FALSE),IF(IFERROR(ISNUMBER(SEARCH("-",AD51)),FALSE),LEFT(AD51,SEARCH("-",AD51)-1),AD51),AD51)))</f>
        <v>TBC</v>
      </c>
      <c r="AG51" s="2" t="str">
        <f>IF(AE51="","",IF(ISNUMBER(AE51),IF(AND(AE51&gt;='2026 Calendar'!$C$4,AE51&lt;='2026 Calendar'!$E$107),LOOKUP(AE51,'2026 Calendar'!$C$4:$C$107,'2026 Calendar'!$A$4:$A$107),YEAR(AE51-WEEKDAY(AE51,2)+4)&amp;"/W"&amp;TEXT(WEEKNUM(AE51,21),"00")),IF(IFERROR(ISNUMBER(SEARCH("/W",AE51)),FALSE),IF(IFERROR(ISNUMBER(SEARCH("-",AE51)),FALSE),MID(AE51,SEARCH("-",AE51)+1,100),AE51),AE51)))</f>
        <v>TBC</v>
      </c>
      <c r="AH51" s="2" t="s">
        <v>304</v>
      </c>
      <c r="AI51" s="278"/>
      <c r="AJ51" s="278"/>
      <c r="AK51" s="2" t="s">
        <v>56</v>
      </c>
      <c r="AL51" s="278"/>
      <c r="AM51" s="278">
        <v>45948</v>
      </c>
      <c r="AN51" s="2" t="s">
        <v>318</v>
      </c>
      <c r="AO51" s="278"/>
      <c r="AP51" s="278"/>
      <c r="AQ51" s="2" t="s">
        <v>318</v>
      </c>
      <c r="AR51" s="278"/>
      <c r="AS51" s="278"/>
      <c r="AT51" s="2" t="s">
        <v>72</v>
      </c>
      <c r="AU51" s="278"/>
      <c r="AV51" s="278"/>
      <c r="AW51" s="2" t="s">
        <v>304</v>
      </c>
      <c r="AX51" s="278"/>
      <c r="AY51" s="278"/>
      <c r="AZ51" s="2" t="s">
        <v>331</v>
      </c>
      <c r="BA51" s="278"/>
      <c r="BB51" s="278"/>
      <c r="BC51" s="2" t="str">
        <f t="shared" si="12"/>
        <v>Complete</v>
      </c>
      <c r="BE51" s="119" t="str">
        <f t="shared" si="13"/>
        <v>NPI: In progress: Drawing, Electrical; Pending approval: Marble, Metal, Mirror; Fabric is com pending for SW TBC</v>
      </c>
    </row>
    <row r="52" spans="1:57" ht="29" x14ac:dyDescent="0.35">
      <c r="A52" s="2" t="str">
        <f>IFERROR(VLOOKUP(E52,'Customer '!$A$4:$D$23,3,FALSE),"")</f>
        <v>NON RH</v>
      </c>
      <c r="B52" s="2" t="s">
        <v>268</v>
      </c>
      <c r="C52" s="2" t="s">
        <v>340</v>
      </c>
      <c r="D52" s="2" t="s">
        <v>343</v>
      </c>
      <c r="E52" s="2" t="s">
        <v>98</v>
      </c>
      <c r="F52" s="2" t="str">
        <f>IFERROR(VLOOKUP(E52,'Customer '!$A$4:$D$28,2,FALSE),"")</f>
        <v xml:space="preserve">FLEETWOOD </v>
      </c>
      <c r="G52" s="2" t="s">
        <v>111</v>
      </c>
      <c r="H5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-HARD ROCK LAS VEGAS WEST TOWER</v>
      </c>
      <c r="I52" s="2">
        <f ca="1">IF(OR($H52="",$B52=""),0,--(COUNTIFS($H$3:$H52,$H52,$B$3:$B52,$B52)=1))</f>
        <v>0</v>
      </c>
      <c r="J52" s="2" t="s">
        <v>135</v>
      </c>
      <c r="K52" s="2" t="s">
        <v>273</v>
      </c>
      <c r="L52" s="2" t="s">
        <v>327</v>
      </c>
      <c r="M52" s="278">
        <v>46130</v>
      </c>
      <c r="N52" s="278" t="s">
        <v>292</v>
      </c>
      <c r="O52" s="279"/>
      <c r="P52" s="2" t="s">
        <v>51</v>
      </c>
      <c r="Q52" s="2" t="s">
        <v>334</v>
      </c>
      <c r="V52" s="276">
        <v>94</v>
      </c>
      <c r="X52" s="280">
        <v>3218808.59</v>
      </c>
      <c r="Y52" s="280">
        <v>500000</v>
      </c>
      <c r="Z52" s="2" t="s">
        <v>344</v>
      </c>
      <c r="AA52" s="2" t="str">
        <f t="shared" si="0"/>
        <v>2027</v>
      </c>
      <c r="AB52" s="278"/>
      <c r="AC52" s="278"/>
      <c r="AD52" s="277" t="s">
        <v>149</v>
      </c>
      <c r="AE52" s="278" t="s">
        <v>149</v>
      </c>
      <c r="AF52" s="2" t="str">
        <f>IF(AD52="","",IF(ISNUMBER(AD52),IF(AND(AD52&gt;='2026 Calendar'!$C$4,AD52&lt;='2026 Calendar'!$E$107),LOOKUP(AD52,'2026 Calendar'!$C$4:$C$107,'2026 Calendar'!$A$4:$A$107),YEAR(AD52-WEEKDAY(AD52,2)+4)&amp;"/W"&amp;TEXT(WEEKNUM(AD52,21),"00")),IF(IFERROR(ISNUMBER(SEARCH("/W",AD52)),FALSE),IF(IFERROR(ISNUMBER(SEARCH("-",AD52)),FALSE),LEFT(AD52,SEARCH("-",AD52)-1),AD52),AD52)))</f>
        <v>TBC</v>
      </c>
      <c r="AG52" s="2" t="str">
        <f>IF(AE52="","",IF(ISNUMBER(AE52),IF(AND(AE52&gt;='2026 Calendar'!$C$4,AE52&lt;='2026 Calendar'!$E$107),LOOKUP(AE52,'2026 Calendar'!$C$4:$C$107,'2026 Calendar'!$A$4:$A$107),YEAR(AE52-WEEKDAY(AE52,2)+4)&amp;"/W"&amp;TEXT(WEEKNUM(AE52,21),"00")),IF(IFERROR(ISNUMBER(SEARCH("/W",AE52)),FALSE),IF(IFERROR(ISNUMBER(SEARCH("-",AE52)),FALSE),MID(AE52,SEARCH("-",AE52)+1,100),AE52),AE52)))</f>
        <v>TBC</v>
      </c>
      <c r="AH52" s="2" t="s">
        <v>304</v>
      </c>
      <c r="AI52" s="278"/>
      <c r="AJ52" s="278"/>
      <c r="AK52" s="2" t="s">
        <v>56</v>
      </c>
      <c r="AL52" s="278"/>
      <c r="AM52" s="278">
        <v>45948</v>
      </c>
      <c r="AN52" s="2" t="s">
        <v>318</v>
      </c>
      <c r="AO52" s="278"/>
      <c r="AP52" s="278"/>
      <c r="AQ52" s="2" t="s">
        <v>318</v>
      </c>
      <c r="AR52" s="278"/>
      <c r="AS52" s="278"/>
      <c r="AT52" s="2" t="s">
        <v>72</v>
      </c>
      <c r="AU52" s="278"/>
      <c r="AV52" s="278"/>
      <c r="AW52" s="2" t="s">
        <v>304</v>
      </c>
      <c r="AX52" s="278"/>
      <c r="AY52" s="278"/>
      <c r="AZ52" s="2" t="s">
        <v>331</v>
      </c>
      <c r="BA52" s="278"/>
      <c r="BB52" s="278"/>
      <c r="BC52" s="2" t="str">
        <f t="shared" si="12"/>
        <v>Complete</v>
      </c>
      <c r="BE52" s="119" t="str">
        <f t="shared" si="13"/>
        <v>NPI: In progress: Drawing, Electrical; Pending approval: Marble, Metal, Mirror; Fabric is com pending for SW TBC</v>
      </c>
    </row>
    <row r="53" spans="1:57" ht="29" x14ac:dyDescent="0.35">
      <c r="A53" s="2" t="str">
        <f>IFERROR(VLOOKUP(E53,'Customer '!$A$4:$D$23,3,FALSE),"")</f>
        <v>NON RH</v>
      </c>
      <c r="B53" s="2" t="s">
        <v>268</v>
      </c>
      <c r="C53" s="2" t="s">
        <v>340</v>
      </c>
      <c r="D53" s="2" t="s">
        <v>343</v>
      </c>
      <c r="E53" s="2" t="s">
        <v>98</v>
      </c>
      <c r="F53" s="2" t="str">
        <f>IFERROR(VLOOKUP(E53,'Customer '!$A$4:$D$28,2,FALSE),"")</f>
        <v xml:space="preserve">FLEETWOOD </v>
      </c>
      <c r="G53" s="2" t="s">
        <v>111</v>
      </c>
      <c r="H5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-HARD ROCK LAS VEGAS WEST TOWER</v>
      </c>
      <c r="I53" s="2">
        <f ca="1">IF(OR($H53="",$B53=""),0,--(COUNTIFS($H$3:$H53,$H53,$B$3:$B53,$B53)=1))</f>
        <v>0</v>
      </c>
      <c r="J53" s="2" t="s">
        <v>135</v>
      </c>
      <c r="K53" s="2" t="s">
        <v>273</v>
      </c>
      <c r="L53" s="2" t="s">
        <v>327</v>
      </c>
      <c r="M53" s="278">
        <v>46130</v>
      </c>
      <c r="N53" s="278" t="s">
        <v>292</v>
      </c>
      <c r="O53" s="279"/>
      <c r="P53" s="2" t="s">
        <v>51</v>
      </c>
      <c r="Q53" s="2" t="s">
        <v>334</v>
      </c>
      <c r="V53" s="276">
        <v>94</v>
      </c>
      <c r="X53" s="280">
        <v>3218808.59</v>
      </c>
      <c r="Y53" s="280">
        <v>1072936</v>
      </c>
      <c r="Z53" s="2" t="s">
        <v>345</v>
      </c>
      <c r="AA53" s="2" t="str">
        <f t="shared" ref="AA53" si="15">IF(Z53="","",IF(OR(Z53="TBC",Z53="Removed"),Z53,LEFT(Z53,4)))</f>
        <v>2027</v>
      </c>
      <c r="AB53" s="278"/>
      <c r="AC53" s="278"/>
      <c r="AD53" s="277" t="s">
        <v>149</v>
      </c>
      <c r="AE53" s="278" t="s">
        <v>149</v>
      </c>
      <c r="AF53" s="2" t="str">
        <f>IF(AD53="","",IF(ISNUMBER(AD53),IF(AND(AD53&gt;='2026 Calendar'!$C$4,AD53&lt;='2026 Calendar'!$E$107),LOOKUP(AD53,'2026 Calendar'!$C$4:$C$107,'2026 Calendar'!$A$4:$A$107),YEAR(AD53-WEEKDAY(AD53,2)+4)&amp;"/W"&amp;TEXT(WEEKNUM(AD53,21),"00")),IF(IFERROR(ISNUMBER(SEARCH("/W",AD53)),FALSE),IF(IFERROR(ISNUMBER(SEARCH("-",AD53)),FALSE),LEFT(AD53,SEARCH("-",AD53)-1),AD53),AD53)))</f>
        <v>TBC</v>
      </c>
      <c r="AG53" s="2" t="str">
        <f>IF(AE53="","",IF(ISNUMBER(AE53),IF(AND(AE53&gt;='2026 Calendar'!$C$4,AE53&lt;='2026 Calendar'!$E$107),LOOKUP(AE53,'2026 Calendar'!$C$4:$C$107,'2026 Calendar'!$A$4:$A$107),YEAR(AE53-WEEKDAY(AE53,2)+4)&amp;"/W"&amp;TEXT(WEEKNUM(AE53,21),"00")),IF(IFERROR(ISNUMBER(SEARCH("/W",AE53)),FALSE),IF(IFERROR(ISNUMBER(SEARCH("-",AE53)),FALSE),MID(AE53,SEARCH("-",AE53)+1,100),AE53),AE53)))</f>
        <v>TBC</v>
      </c>
      <c r="AH53" s="2" t="s">
        <v>304</v>
      </c>
      <c r="AI53" s="278"/>
      <c r="AJ53" s="278"/>
      <c r="AK53" s="2" t="s">
        <v>56</v>
      </c>
      <c r="AL53" s="278"/>
      <c r="AM53" s="278">
        <v>45948</v>
      </c>
      <c r="AN53" s="2" t="s">
        <v>318</v>
      </c>
      <c r="AO53" s="278"/>
      <c r="AP53" s="278"/>
      <c r="AQ53" s="2" t="s">
        <v>318</v>
      </c>
      <c r="AR53" s="278"/>
      <c r="AS53" s="278"/>
      <c r="AT53" s="2" t="s">
        <v>72</v>
      </c>
      <c r="AU53" s="278"/>
      <c r="AV53" s="278"/>
      <c r="AW53" s="2" t="s">
        <v>304</v>
      </c>
      <c r="AX53" s="278"/>
      <c r="AY53" s="278"/>
      <c r="AZ53" s="2" t="s">
        <v>331</v>
      </c>
      <c r="BA53" s="278"/>
      <c r="BB53" s="278"/>
      <c r="BC53" s="2" t="str">
        <f t="shared" si="12"/>
        <v>Complete</v>
      </c>
      <c r="BE53" s="119" t="str">
        <f t="shared" si="13"/>
        <v>NPI: In progress: Drawing, Electrical; Pending approval: Marble, Metal, Mirror; Fabric is com pending for SW TBC</v>
      </c>
    </row>
    <row r="54" spans="1:57" ht="29" x14ac:dyDescent="0.35">
      <c r="A54" s="2" t="str">
        <f>IFERROR(VLOOKUP(E54,'Customer '!$A$4:$D$23,3,FALSE),"")</f>
        <v>NON RH</v>
      </c>
      <c r="B54" s="2" t="s">
        <v>268</v>
      </c>
      <c r="C54" s="2" t="s">
        <v>340</v>
      </c>
      <c r="D54" s="2" t="s">
        <v>343</v>
      </c>
      <c r="E54" s="2" t="s">
        <v>98</v>
      </c>
      <c r="F54" s="2" t="str">
        <f>IFERROR(VLOOKUP(E54,'Customer '!$A$4:$D$28,2,FALSE),"")</f>
        <v xml:space="preserve">FLEETWOOD </v>
      </c>
      <c r="G54" s="2" t="s">
        <v>111</v>
      </c>
      <c r="H5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-HARD ROCK LAS VEGAS WEST TOWER</v>
      </c>
      <c r="I54" s="2">
        <f ca="1">IF(OR($H54="",$B54=""),0,--(COUNTIFS($H$3:$H54,$H54,$B$3:$B54,$B54)=1))</f>
        <v>0</v>
      </c>
      <c r="J54" s="2" t="s">
        <v>135</v>
      </c>
      <c r="K54" s="2" t="s">
        <v>273</v>
      </c>
      <c r="L54" s="2" t="s">
        <v>327</v>
      </c>
      <c r="M54" s="278">
        <v>46130</v>
      </c>
      <c r="N54" s="278" t="s">
        <v>292</v>
      </c>
      <c r="O54" s="279"/>
      <c r="P54" s="2" t="s">
        <v>51</v>
      </c>
      <c r="Q54" s="2" t="s">
        <v>334</v>
      </c>
      <c r="V54" s="276">
        <v>94</v>
      </c>
      <c r="X54" s="280">
        <v>3218808.59</v>
      </c>
      <c r="Y54" s="280">
        <v>572936</v>
      </c>
      <c r="Z54" s="2" t="s">
        <v>336</v>
      </c>
      <c r="AA54" s="2" t="str">
        <f t="shared" si="0"/>
        <v>2027</v>
      </c>
      <c r="AB54" s="278"/>
      <c r="AC54" s="278"/>
      <c r="AD54" s="277" t="s">
        <v>149</v>
      </c>
      <c r="AE54" s="278" t="s">
        <v>149</v>
      </c>
      <c r="AF54" s="2" t="str">
        <f>IF(AD54="","",IF(ISNUMBER(AD54),IF(AND(AD54&gt;='2026 Calendar'!$C$4,AD54&lt;='2026 Calendar'!$E$107),LOOKUP(AD54,'2026 Calendar'!$C$4:$C$107,'2026 Calendar'!$A$4:$A$107),YEAR(AD54-WEEKDAY(AD54,2)+4)&amp;"/W"&amp;TEXT(WEEKNUM(AD54,21),"00")),IF(IFERROR(ISNUMBER(SEARCH("/W",AD54)),FALSE),IF(IFERROR(ISNUMBER(SEARCH("-",AD54)),FALSE),LEFT(AD54,SEARCH("-",AD54)-1),AD54),AD54)))</f>
        <v>TBC</v>
      </c>
      <c r="AG54" s="2" t="str">
        <f>IF(AE54="","",IF(ISNUMBER(AE54),IF(AND(AE54&gt;='2026 Calendar'!$C$4,AE54&lt;='2026 Calendar'!$E$107),LOOKUP(AE54,'2026 Calendar'!$C$4:$C$107,'2026 Calendar'!$A$4:$A$107),YEAR(AE54-WEEKDAY(AE54,2)+4)&amp;"/W"&amp;TEXT(WEEKNUM(AE54,21),"00")),IF(IFERROR(ISNUMBER(SEARCH("/W",AE54)),FALSE),IF(IFERROR(ISNUMBER(SEARCH("-",AE54)),FALSE),MID(AE54,SEARCH("-",AE54)+1,100),AE54),AE54)))</f>
        <v>TBC</v>
      </c>
      <c r="AH54" s="2" t="s">
        <v>304</v>
      </c>
      <c r="AI54" s="278"/>
      <c r="AJ54" s="278"/>
      <c r="AK54" s="2" t="s">
        <v>56</v>
      </c>
      <c r="AL54" s="278"/>
      <c r="AM54" s="278">
        <v>45948</v>
      </c>
      <c r="AN54" s="2" t="s">
        <v>318</v>
      </c>
      <c r="AO54" s="278"/>
      <c r="AP54" s="278"/>
      <c r="AQ54" s="2" t="s">
        <v>318</v>
      </c>
      <c r="AR54" s="278"/>
      <c r="AS54" s="278"/>
      <c r="AT54" s="2" t="s">
        <v>72</v>
      </c>
      <c r="AU54" s="278"/>
      <c r="AV54" s="278"/>
      <c r="AW54" s="2" t="s">
        <v>304</v>
      </c>
      <c r="AX54" s="278"/>
      <c r="AY54" s="278"/>
      <c r="AZ54" s="2" t="s">
        <v>331</v>
      </c>
      <c r="BA54" s="278"/>
      <c r="BB54" s="278"/>
      <c r="BC54" s="2" t="str">
        <f t="shared" si="12"/>
        <v>Complete</v>
      </c>
      <c r="BE54" s="119" t="str">
        <f t="shared" si="13"/>
        <v>NPI: In progress: Drawing, Electrical; Pending approval: Marble, Metal, Mirror; Fabric is com pending for SW TBC</v>
      </c>
    </row>
    <row r="55" spans="1:57" x14ac:dyDescent="0.35">
      <c r="A55" s="2" t="str">
        <f>IFERROR(VLOOKUP(E55,'Customer '!$A$4:$D$23,3,FALSE),"")</f>
        <v>NON RH</v>
      </c>
      <c r="B55" s="2" t="s">
        <v>268</v>
      </c>
      <c r="C55" s="2" t="s">
        <v>298</v>
      </c>
      <c r="E55" s="2" t="s">
        <v>98</v>
      </c>
      <c r="F55" s="2" t="str">
        <f>IFERROR(VLOOKUP(E55,'Customer '!$A$4:$D$28,2,FALSE),"")</f>
        <v xml:space="preserve">FLEETWOOD </v>
      </c>
      <c r="G55" s="2" t="s">
        <v>117</v>
      </c>
      <c r="H5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-HWVP PHASE 2</v>
      </c>
      <c r="I55" s="2">
        <f ca="1">IF(OR($H55="",$B55=""),0,--(COUNTIFS($H$3:$H55,$H55,$B$3:$B55,$B55)=1))</f>
        <v>1</v>
      </c>
      <c r="J55" s="2" t="s">
        <v>272</v>
      </c>
      <c r="K55" s="2" t="s">
        <v>291</v>
      </c>
      <c r="L55" s="2" t="s">
        <v>274</v>
      </c>
      <c r="M55" s="278">
        <v>45995</v>
      </c>
      <c r="N55" s="278">
        <v>46024</v>
      </c>
      <c r="O55" s="279"/>
      <c r="P55" s="2" t="s">
        <v>51</v>
      </c>
      <c r="Q55" s="2" t="s">
        <v>346</v>
      </c>
      <c r="V55" s="276">
        <v>7</v>
      </c>
      <c r="X55" s="280">
        <v>7015.5</v>
      </c>
      <c r="Y55" s="280">
        <v>7015.5</v>
      </c>
      <c r="Z55" s="2" t="s">
        <v>294</v>
      </c>
      <c r="AA55" s="2" t="str">
        <f t="shared" si="0"/>
        <v>2026</v>
      </c>
      <c r="AB55" s="278" t="s">
        <v>347</v>
      </c>
      <c r="AC55" s="278"/>
      <c r="AD55" s="277">
        <v>46116</v>
      </c>
      <c r="AE55" s="278">
        <v>46116</v>
      </c>
      <c r="AF55" s="2" t="str">
        <f>IF(AD55="","",IF(ISNUMBER(AD55),IF(AND(AD55&gt;='2026 Calendar'!$C$4,AD55&lt;='2026 Calendar'!$E$107),LOOKUP(AD55,'2026 Calendar'!$C$4:$C$107,'2026 Calendar'!$A$4:$A$107),YEAR(AD55-WEEKDAY(AD55,2)+4)&amp;"/W"&amp;TEXT(WEEKNUM(AD55,21),"00")),IF(IFERROR(ISNUMBER(SEARCH("/W",AD55)),FALSE),IF(IFERROR(ISNUMBER(SEARCH("-",AD55)),FALSE),LEFT(AD55,SEARCH("-",AD55)-1),AD55),AD55)))</f>
        <v>2026/W14</v>
      </c>
      <c r="AG55" s="2" t="str">
        <f>IF(AE55="","",IF(ISNUMBER(AE55),IF(AND(AE55&gt;='2026 Calendar'!$C$4,AE55&lt;='2026 Calendar'!$E$107),LOOKUP(AE55,'2026 Calendar'!$C$4:$C$107,'2026 Calendar'!$A$4:$A$107),YEAR(AE55-WEEKDAY(AE55,2)+4)&amp;"/W"&amp;TEXT(WEEKNUM(AE55,21),"00")),IF(IFERROR(ISNUMBER(SEARCH("/W",AE55)),FALSE),IF(IFERROR(ISNUMBER(SEARCH("-",AE55)),FALSE),MID(AE55,SEARCH("-",AE55)+1,100),AE55),AE55)))</f>
        <v>2026/W14</v>
      </c>
      <c r="AH55" s="2" t="s">
        <v>56</v>
      </c>
      <c r="AI55" s="278"/>
      <c r="AJ55" s="278"/>
      <c r="AK55" s="2" t="s">
        <v>56</v>
      </c>
      <c r="AL55" s="278"/>
      <c r="AM55" s="278"/>
      <c r="AO55" s="278"/>
      <c r="AP55" s="278"/>
      <c r="AR55" s="278"/>
      <c r="AS55" s="278"/>
      <c r="AU55" s="278"/>
      <c r="AV55" s="278"/>
      <c r="AX55" s="278"/>
      <c r="AY55" s="278"/>
      <c r="BA55" s="278"/>
      <c r="BB55" s="278"/>
      <c r="BC55" s="2" t="str">
        <f t="shared" si="12"/>
        <v>Complete</v>
      </c>
      <c r="BE55" s="119" t="str">
        <f t="shared" si="13"/>
        <v>READY</v>
      </c>
    </row>
    <row r="56" spans="1:57" x14ac:dyDescent="0.35">
      <c r="A56" s="2" t="str">
        <f>IFERROR(VLOOKUP(E56,'Customer '!$A$4:$D$23,3,FALSE),"")</f>
        <v>NON RH</v>
      </c>
      <c r="B56" s="2" t="s">
        <v>268</v>
      </c>
      <c r="C56" s="2" t="s">
        <v>348</v>
      </c>
      <c r="E56" s="2" t="s">
        <v>119</v>
      </c>
      <c r="F56" s="2" t="str">
        <f>IFERROR(VLOOKUP(E56,'Customer '!$A$4:$D$28,2,FALSE),"")</f>
        <v>THE PARKER</v>
      </c>
      <c r="G56" s="2" t="s">
        <v>120</v>
      </c>
      <c r="H5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2026-THE PARKER-JAMES NY NOMAD</v>
      </c>
      <c r="I56" s="2">
        <f ca="1">IF(OR($H56="",$B56=""),0,--(COUNTIFS($H$3:$H56,$H56,$B$3:$B56,$B56)=1))</f>
        <v>1</v>
      </c>
      <c r="J56" s="2" t="s">
        <v>133</v>
      </c>
      <c r="K56" s="2" t="s">
        <v>291</v>
      </c>
      <c r="L56" s="2" t="s">
        <v>274</v>
      </c>
      <c r="M56" s="278">
        <v>46031</v>
      </c>
      <c r="N56" s="278">
        <v>46031</v>
      </c>
      <c r="O56" s="279"/>
      <c r="P56" s="2" t="s">
        <v>51</v>
      </c>
      <c r="Q56" s="2" t="s">
        <v>325</v>
      </c>
      <c r="V56" s="276">
        <v>1</v>
      </c>
      <c r="X56" s="280">
        <v>3167.51</v>
      </c>
      <c r="Y56" s="280">
        <v>3167.51</v>
      </c>
      <c r="Z56" s="2" t="s">
        <v>277</v>
      </c>
      <c r="AA56" s="2" t="str">
        <f t="shared" si="0"/>
        <v>2026</v>
      </c>
      <c r="AB56" s="278">
        <v>46152</v>
      </c>
      <c r="AC56" s="278"/>
      <c r="AD56" s="277">
        <v>46116</v>
      </c>
      <c r="AE56" s="278">
        <v>46116</v>
      </c>
      <c r="AF56" s="2" t="str">
        <f>IF(AD56="","",IF(ISNUMBER(AD56),IF(AND(AD56&gt;='2026 Calendar'!$C$4,AD56&lt;='2026 Calendar'!$E$107),LOOKUP(AD56,'2026 Calendar'!$C$4:$C$107,'2026 Calendar'!$A$4:$A$107),YEAR(AD56-WEEKDAY(AD56,2)+4)&amp;"/W"&amp;TEXT(WEEKNUM(AD56,21),"00")),IF(IFERROR(ISNUMBER(SEARCH("/W",AD56)),FALSE),IF(IFERROR(ISNUMBER(SEARCH("-",AD56)),FALSE),LEFT(AD56,SEARCH("-",AD56)-1),AD56),AD56)))</f>
        <v>2026/W14</v>
      </c>
      <c r="AG56" s="2" t="str">
        <f>IF(AE56="","",IF(ISNUMBER(AE56),IF(AND(AE56&gt;='2026 Calendar'!$C$4,AE56&lt;='2026 Calendar'!$E$107),LOOKUP(AE56,'2026 Calendar'!$C$4:$C$107,'2026 Calendar'!$A$4:$A$107),YEAR(AE56-WEEKDAY(AE56,2)+4)&amp;"/W"&amp;TEXT(WEEKNUM(AE56,21),"00")),IF(IFERROR(ISNUMBER(SEARCH("/W",AE56)),FALSE),IF(IFERROR(ISNUMBER(SEARCH("-",AE56)),FALSE),MID(AE56,SEARCH("-",AE56)+1,100),AE56),AE56)))</f>
        <v>2026/W14</v>
      </c>
      <c r="AH56" s="2" t="s">
        <v>56</v>
      </c>
      <c r="AI56" s="278"/>
      <c r="AJ56" s="278"/>
      <c r="AK56" s="2" t="s">
        <v>56</v>
      </c>
      <c r="AL56" s="278"/>
      <c r="AM56" s="278"/>
      <c r="AN56" s="2" t="s">
        <v>73</v>
      </c>
      <c r="AO56" s="278"/>
      <c r="AP56" s="278"/>
      <c r="AQ56" s="2" t="s">
        <v>56</v>
      </c>
      <c r="AR56" s="278"/>
      <c r="AS56" s="278"/>
      <c r="AT56" s="2" t="s">
        <v>73</v>
      </c>
      <c r="AU56" s="278"/>
      <c r="AV56" s="278"/>
      <c r="AW56" s="2" t="s">
        <v>56</v>
      </c>
      <c r="AX56" s="278"/>
      <c r="AY56" s="278"/>
      <c r="AZ56" s="2" t="s">
        <v>57</v>
      </c>
      <c r="BA56" s="278"/>
      <c r="BB56" s="278"/>
      <c r="BC56" s="2" t="str">
        <f t="shared" si="12"/>
        <v>Complete</v>
      </c>
      <c r="BE56" s="119" t="str">
        <f t="shared" si="13"/>
        <v>NPI: Fabric is com for SW14</v>
      </c>
    </row>
    <row r="57" spans="1:57" x14ac:dyDescent="0.35">
      <c r="A57" s="2" t="str">
        <f>IFERROR(VLOOKUP(E57,'Customer '!$A$4:$D$23,3,FALSE),"")</f>
        <v>NON RH</v>
      </c>
      <c r="B57" s="2" t="s">
        <v>268</v>
      </c>
      <c r="C57" s="2" t="s">
        <v>324</v>
      </c>
      <c r="E57" s="2" t="s">
        <v>122</v>
      </c>
      <c r="F57" s="2" t="str">
        <f>IFERROR(VLOOKUP(E57,'Customer '!$A$4:$D$28,2,FALSE),"")</f>
        <v>KD</v>
      </c>
      <c r="G57" s="2" t="s">
        <v>123</v>
      </c>
      <c r="H5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v>
      </c>
      <c r="I57" s="2">
        <f ca="1">IF(OR($H57="",$B57=""),0,--(COUNTIFS($H$3:$H57,$H57,$B$3:$B57,$B57)=1))</f>
        <v>1</v>
      </c>
      <c r="J57" s="2" t="s">
        <v>272</v>
      </c>
      <c r="K57" s="2" t="s">
        <v>273</v>
      </c>
      <c r="L57" s="2" t="s">
        <v>274</v>
      </c>
      <c r="M57" s="278">
        <v>45748</v>
      </c>
      <c r="N57" s="278">
        <v>46113</v>
      </c>
      <c r="O57" s="279"/>
      <c r="P57" s="2" t="s">
        <v>51</v>
      </c>
      <c r="Q57" s="2" t="s">
        <v>349</v>
      </c>
      <c r="V57" s="276">
        <v>30</v>
      </c>
      <c r="X57" s="280">
        <v>103174.91</v>
      </c>
      <c r="Y57" s="280">
        <v>22782.880000000001</v>
      </c>
      <c r="Z57" s="2" t="s">
        <v>321</v>
      </c>
      <c r="AA57" s="2" t="str">
        <f t="shared" si="0"/>
        <v>2026</v>
      </c>
      <c r="AB57" s="278">
        <v>45891</v>
      </c>
      <c r="AC57" s="278">
        <v>46108</v>
      </c>
      <c r="AD57" s="277">
        <v>46116</v>
      </c>
      <c r="AE57" s="277">
        <v>46116</v>
      </c>
      <c r="AF57" s="2" t="str">
        <f>IF(AD57="","",IF(ISNUMBER(AD57),IF(AND(AD57&gt;='2026 Calendar'!$C$4,AD57&lt;='2026 Calendar'!$E$107),LOOKUP(AD57,'2026 Calendar'!$C$4:$C$107,'2026 Calendar'!$A$4:$A$107),YEAR(AD57-WEEKDAY(AD57,2)+4)&amp;"/W"&amp;TEXT(WEEKNUM(AD57,21),"00")),IF(IFERROR(ISNUMBER(SEARCH("/W",AD57)),FALSE),IF(IFERROR(ISNUMBER(SEARCH("-",AD57)),FALSE),LEFT(AD57,SEARCH("-",AD57)-1),AD57),AD57)))</f>
        <v>2026/W14</v>
      </c>
      <c r="AG57" s="2" t="str">
        <f>IF(AE57="","",IF(ISNUMBER(AE57),IF(AND(AE57&gt;='2026 Calendar'!$C$4,AE57&lt;='2026 Calendar'!$E$107),LOOKUP(AE57,'2026 Calendar'!$C$4:$C$107,'2026 Calendar'!$A$4:$A$107),YEAR(AE57-WEEKDAY(AE57,2)+4)&amp;"/W"&amp;TEXT(WEEKNUM(AE57,21),"00")),IF(IFERROR(ISNUMBER(SEARCH("/W",AE57)),FALSE),IF(IFERROR(ISNUMBER(SEARCH("-",AE57)),FALSE),MID(AE57,SEARCH("-",AE57)+1,100),AE57),AE57)))</f>
        <v>2026/W14</v>
      </c>
      <c r="AH57" s="2" t="s">
        <v>56</v>
      </c>
      <c r="AI57" s="278"/>
      <c r="AJ57" s="278">
        <v>45813</v>
      </c>
      <c r="AK57" s="2" t="s">
        <v>56</v>
      </c>
      <c r="AL57" s="278"/>
      <c r="AM57" s="278"/>
      <c r="AN57" s="2" t="s">
        <v>56</v>
      </c>
      <c r="AO57" s="278"/>
      <c r="AP57" s="278"/>
      <c r="AQ57" s="2" t="s">
        <v>56</v>
      </c>
      <c r="AR57" s="278"/>
      <c r="AS57" s="278"/>
      <c r="AT57" s="2" t="s">
        <v>56</v>
      </c>
      <c r="AU57" s="278"/>
      <c r="AV57" s="278"/>
      <c r="AW57" s="2" t="s">
        <v>56</v>
      </c>
      <c r="AX57" s="278"/>
      <c r="AY57" s="278"/>
      <c r="AZ57" s="2" t="s">
        <v>57</v>
      </c>
      <c r="BA57" s="278"/>
      <c r="BB57" s="278"/>
      <c r="BC57" s="2" t="str">
        <f t="shared" si="12"/>
        <v>Complete</v>
      </c>
      <c r="BE57" s="119" t="str">
        <f t="shared" si="13"/>
        <v>READY</v>
      </c>
    </row>
    <row r="58" spans="1:57" x14ac:dyDescent="0.35">
      <c r="A58" s="2" t="str">
        <f>IFERROR(VLOOKUP(E58,'Customer '!$A$4:$D$23,3,FALSE),"")</f>
        <v>NON RH</v>
      </c>
      <c r="B58" s="2" t="s">
        <v>268</v>
      </c>
      <c r="C58" s="2" t="s">
        <v>324</v>
      </c>
      <c r="E58" s="2" t="s">
        <v>122</v>
      </c>
      <c r="F58" s="2" t="str">
        <f>IFERROR(VLOOKUP(E58,'Customer '!$A$4:$D$28,2,FALSE),"")</f>
        <v>KD</v>
      </c>
      <c r="G58" s="2" t="s">
        <v>123</v>
      </c>
      <c r="H5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v>
      </c>
      <c r="I58" s="2">
        <f ca="1">IF(OR($H58="",$B58=""),0,--(COUNTIFS($H$3:$H58,$H58,$B$3:$B58,$B58)=1))</f>
        <v>0</v>
      </c>
      <c r="J58" s="2" t="s">
        <v>272</v>
      </c>
      <c r="K58" s="2" t="s">
        <v>273</v>
      </c>
      <c r="L58" s="2" t="s">
        <v>274</v>
      </c>
      <c r="M58" s="278">
        <v>45748</v>
      </c>
      <c r="N58" s="278">
        <v>46113</v>
      </c>
      <c r="O58" s="279"/>
      <c r="P58" s="2" t="s">
        <v>51</v>
      </c>
      <c r="Q58" s="2" t="s">
        <v>349</v>
      </c>
      <c r="V58" s="276">
        <v>30</v>
      </c>
      <c r="X58" s="280">
        <v>103174.91</v>
      </c>
      <c r="Y58" s="280">
        <v>45565.760000000002</v>
      </c>
      <c r="Z58" s="2" t="s">
        <v>294</v>
      </c>
      <c r="AA58" s="2" t="str">
        <f t="shared" si="0"/>
        <v>2026</v>
      </c>
      <c r="AB58" s="278">
        <v>45891</v>
      </c>
      <c r="AC58" s="278">
        <v>46108</v>
      </c>
      <c r="AD58" s="277">
        <v>46116</v>
      </c>
      <c r="AE58" s="277">
        <v>46116</v>
      </c>
      <c r="AF58" s="2" t="str">
        <f>IF(AD58="","",IF(ISNUMBER(AD58),IF(AND(AD58&gt;='2026 Calendar'!$C$4,AD58&lt;='2026 Calendar'!$E$107),LOOKUP(AD58,'2026 Calendar'!$C$4:$C$107,'2026 Calendar'!$A$4:$A$107),YEAR(AD58-WEEKDAY(AD58,2)+4)&amp;"/W"&amp;TEXT(WEEKNUM(AD58,21),"00")),IF(IFERROR(ISNUMBER(SEARCH("/W",AD58)),FALSE),IF(IFERROR(ISNUMBER(SEARCH("-",AD58)),FALSE),LEFT(AD58,SEARCH("-",AD58)-1),AD58),AD58)))</f>
        <v>2026/W14</v>
      </c>
      <c r="AG58" s="2" t="str">
        <f>IF(AE58="","",IF(ISNUMBER(AE58),IF(AND(AE58&gt;='2026 Calendar'!$C$4,AE58&lt;='2026 Calendar'!$E$107),LOOKUP(AE58,'2026 Calendar'!$C$4:$C$107,'2026 Calendar'!$A$4:$A$107),YEAR(AE58-WEEKDAY(AE58,2)+4)&amp;"/W"&amp;TEXT(WEEKNUM(AE58,21),"00")),IF(IFERROR(ISNUMBER(SEARCH("/W",AE58)),FALSE),IF(IFERROR(ISNUMBER(SEARCH("-",AE58)),FALSE),MID(AE58,SEARCH("-",AE58)+1,100),AE58),AE58)))</f>
        <v>2026/W14</v>
      </c>
      <c r="AH58" s="2" t="s">
        <v>56</v>
      </c>
      <c r="AI58" s="278"/>
      <c r="AJ58" s="278">
        <v>45813</v>
      </c>
      <c r="AK58" s="2" t="s">
        <v>56</v>
      </c>
      <c r="AL58" s="278"/>
      <c r="AM58" s="278"/>
      <c r="AN58" s="2" t="s">
        <v>56</v>
      </c>
      <c r="AO58" s="278"/>
      <c r="AP58" s="278"/>
      <c r="AQ58" s="2" t="s">
        <v>56</v>
      </c>
      <c r="AR58" s="278"/>
      <c r="AS58" s="278"/>
      <c r="AT58" s="2" t="s">
        <v>56</v>
      </c>
      <c r="AU58" s="278"/>
      <c r="AV58" s="278"/>
      <c r="AW58" s="2" t="s">
        <v>56</v>
      </c>
      <c r="AX58" s="278"/>
      <c r="AY58" s="278"/>
      <c r="AZ58" s="2" t="s">
        <v>57</v>
      </c>
      <c r="BA58" s="278"/>
      <c r="BB58" s="278"/>
      <c r="BC58" s="2" t="str">
        <f t="shared" si="12"/>
        <v>Complete</v>
      </c>
      <c r="BE58" s="119" t="str">
        <f t="shared" si="13"/>
        <v>READY</v>
      </c>
    </row>
    <row r="59" spans="1:57" x14ac:dyDescent="0.35">
      <c r="A59" s="2" t="str">
        <f>IFERROR(VLOOKUP(E59,'Customer '!$A$4:$D$23,3,FALSE),"")</f>
        <v>NON RH</v>
      </c>
      <c r="B59" s="2" t="s">
        <v>268</v>
      </c>
      <c r="C59" s="2" t="s">
        <v>324</v>
      </c>
      <c r="E59" s="2" t="s">
        <v>122</v>
      </c>
      <c r="F59" s="2" t="str">
        <f>IFERROR(VLOOKUP(E59,'Customer '!$A$4:$D$28,2,FALSE),"")</f>
        <v>KD</v>
      </c>
      <c r="G59" s="2" t="s">
        <v>123</v>
      </c>
      <c r="H5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v>
      </c>
      <c r="I59" s="2">
        <f ca="1">IF(OR($H59="",$B59=""),0,--(COUNTIFS($H$3:$H59,$H59,$B$3:$B59,$B59)=1))</f>
        <v>0</v>
      </c>
      <c r="J59" s="2" t="s">
        <v>272</v>
      </c>
      <c r="K59" s="2" t="s">
        <v>273</v>
      </c>
      <c r="L59" s="2" t="s">
        <v>274</v>
      </c>
      <c r="M59" s="278">
        <v>45748</v>
      </c>
      <c r="N59" s="278">
        <v>46113</v>
      </c>
      <c r="O59" s="279"/>
      <c r="P59" s="2" t="s">
        <v>51</v>
      </c>
      <c r="Q59" s="2" t="s">
        <v>349</v>
      </c>
      <c r="V59" s="276">
        <v>30</v>
      </c>
      <c r="X59" s="280">
        <v>103174.91</v>
      </c>
      <c r="Y59" s="280">
        <v>22783</v>
      </c>
      <c r="Z59" s="2" t="s">
        <v>294</v>
      </c>
      <c r="AA59" s="2" t="str">
        <f t="shared" si="0"/>
        <v>2026</v>
      </c>
      <c r="AB59" s="278">
        <v>45891</v>
      </c>
      <c r="AC59" s="278">
        <v>46108</v>
      </c>
      <c r="AD59" s="277">
        <v>46116</v>
      </c>
      <c r="AE59" s="277">
        <v>46116</v>
      </c>
      <c r="AF59" s="2" t="str">
        <f>IF(AD59="","",IF(ISNUMBER(AD59),IF(AND(AD59&gt;='2026 Calendar'!$C$4,AD59&lt;='2026 Calendar'!$E$107),LOOKUP(AD59,'2026 Calendar'!$C$4:$C$107,'2026 Calendar'!$A$4:$A$107),YEAR(AD59-WEEKDAY(AD59,2)+4)&amp;"/W"&amp;TEXT(WEEKNUM(AD59,21),"00")),IF(IFERROR(ISNUMBER(SEARCH("/W",AD59)),FALSE),IF(IFERROR(ISNUMBER(SEARCH("-",AD59)),FALSE),LEFT(AD59,SEARCH("-",AD59)-1),AD59),AD59)))</f>
        <v>2026/W14</v>
      </c>
      <c r="AG59" s="2" t="str">
        <f>IF(AE59="","",IF(ISNUMBER(AE59),IF(AND(AE59&gt;='2026 Calendar'!$C$4,AE59&lt;='2026 Calendar'!$E$107),LOOKUP(AE59,'2026 Calendar'!$C$4:$C$107,'2026 Calendar'!$A$4:$A$107),YEAR(AE59-WEEKDAY(AE59,2)+4)&amp;"/W"&amp;TEXT(WEEKNUM(AE59,21),"00")),IF(IFERROR(ISNUMBER(SEARCH("/W",AE59)),FALSE),IF(IFERROR(ISNUMBER(SEARCH("-",AE59)),FALSE),MID(AE59,SEARCH("-",AE59)+1,100),AE59),AE59)))</f>
        <v>2026/W14</v>
      </c>
      <c r="AH59" s="2" t="s">
        <v>56</v>
      </c>
      <c r="AI59" s="278"/>
      <c r="AJ59" s="278">
        <v>45813</v>
      </c>
      <c r="AK59" s="2" t="s">
        <v>56</v>
      </c>
      <c r="AL59" s="278"/>
      <c r="AM59" s="278"/>
      <c r="AN59" s="2" t="s">
        <v>56</v>
      </c>
      <c r="AO59" s="278"/>
      <c r="AP59" s="278"/>
      <c r="AQ59" s="2" t="s">
        <v>56</v>
      </c>
      <c r="AR59" s="278"/>
      <c r="AS59" s="278"/>
      <c r="AT59" s="2" t="s">
        <v>56</v>
      </c>
      <c r="AU59" s="278"/>
      <c r="AV59" s="278"/>
      <c r="AW59" s="2" t="s">
        <v>56</v>
      </c>
      <c r="AX59" s="278"/>
      <c r="AY59" s="278"/>
      <c r="AZ59" s="2" t="s">
        <v>57</v>
      </c>
      <c r="BA59" s="278"/>
      <c r="BB59" s="278"/>
      <c r="BC59" s="2" t="str">
        <f t="shared" si="12"/>
        <v>Complete</v>
      </c>
      <c r="BE59" s="119" t="str">
        <f t="shared" si="13"/>
        <v>READY</v>
      </c>
    </row>
    <row r="60" spans="1:57" x14ac:dyDescent="0.35">
      <c r="A60" s="2" t="str">
        <f>IFERROR(VLOOKUP(E60,'Customer '!$A$4:$D$23,3,FALSE),"")</f>
        <v>NON RH</v>
      </c>
      <c r="B60" s="2" t="s">
        <v>268</v>
      </c>
      <c r="C60" s="2" t="s">
        <v>414</v>
      </c>
      <c r="E60" s="2" t="s">
        <v>122</v>
      </c>
      <c r="F60" s="2" t="str">
        <f>IFERROR(VLOOKUP(E60,'Customer '!$A$4:$D$28,2,FALSE),"")</f>
        <v>KD</v>
      </c>
      <c r="G60" s="2" t="s">
        <v>123</v>
      </c>
      <c r="H6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v>
      </c>
      <c r="I60" s="2">
        <f ca="1">IF(OR($H60="",$B60=""),0,--(COUNTIFS($H$3:$H60,$H60,$B$3:$B60,$B60)=1))</f>
        <v>0</v>
      </c>
      <c r="J60" s="2" t="s">
        <v>272</v>
      </c>
      <c r="K60" s="2" t="s">
        <v>273</v>
      </c>
      <c r="L60" s="2" t="s">
        <v>274</v>
      </c>
      <c r="M60" s="278">
        <v>45748</v>
      </c>
      <c r="N60" s="278">
        <v>46113</v>
      </c>
      <c r="O60" s="279"/>
      <c r="P60" s="2" t="s">
        <v>51</v>
      </c>
      <c r="Q60" s="2" t="s">
        <v>349</v>
      </c>
      <c r="R60" s="2">
        <v>0</v>
      </c>
      <c r="S60" s="2">
        <v>0</v>
      </c>
      <c r="V60" s="276">
        <v>30</v>
      </c>
      <c r="X60" s="280">
        <v>103174.91</v>
      </c>
      <c r="Y60" s="280">
        <v>96242</v>
      </c>
      <c r="Z60" s="2" t="s">
        <v>297</v>
      </c>
      <c r="AA60" s="2" t="str">
        <f t="shared" si="0"/>
        <v>2026</v>
      </c>
      <c r="AB60" s="278">
        <v>45891</v>
      </c>
      <c r="AC60" s="278">
        <v>46255</v>
      </c>
      <c r="AD60" s="277">
        <v>46290</v>
      </c>
      <c r="AE60" s="277">
        <v>46383</v>
      </c>
      <c r="AF60" s="2" t="str">
        <f>IF(AD60="","",IF(ISNUMBER(AD60),IF(AND(AD60&gt;='2026 Calendar'!$C$4,AD60&lt;='2026 Calendar'!$E$107),LOOKUP(AD60,'2026 Calendar'!$C$4:$C$107,'2026 Calendar'!$A$4:$A$107),YEAR(AD60-WEEKDAY(AD60,2)+4)&amp;"/W"&amp;TEXT(WEEKNUM(AD60,21),"00")),IF(IFERROR(ISNUMBER(SEARCH("/W",AD60)),FALSE),IF(IFERROR(ISNUMBER(SEARCH("-",AD60)),FALSE),LEFT(AD60,SEARCH("-",AD60)-1),AD60),AD60)))</f>
        <v>2026/W39</v>
      </c>
      <c r="AG60" s="2" t="str">
        <f>IF(AE60="","",IF(ISNUMBER(AE60),IF(AND(AE60&gt;='2026 Calendar'!$C$4,AE60&lt;='2026 Calendar'!$E$107),LOOKUP(AE60,'2026 Calendar'!$C$4:$C$107,'2026 Calendar'!$A$4:$A$107),YEAR(AE60-WEEKDAY(AE60,2)+4)&amp;"/W"&amp;TEXT(WEEKNUM(AE60,21),"00")),IF(IFERROR(ISNUMBER(SEARCH("/W",AE60)),FALSE),IF(IFERROR(ISNUMBER(SEARCH("-",AE60)),FALSE),MID(AE60,SEARCH("-",AE60)+1,100),AE60),AE60)))</f>
        <v>2026/W52</v>
      </c>
      <c r="AH60" s="2" t="s">
        <v>56</v>
      </c>
      <c r="AI60" s="278"/>
      <c r="AJ60" s="278">
        <v>45813</v>
      </c>
      <c r="AK60" s="2" t="s">
        <v>56</v>
      </c>
      <c r="AL60" s="278"/>
      <c r="AM60" s="278"/>
      <c r="AN60" s="2" t="s">
        <v>56</v>
      </c>
      <c r="AO60" s="278"/>
      <c r="AP60" s="278"/>
      <c r="AQ60" s="2" t="s">
        <v>56</v>
      </c>
      <c r="AR60" s="278"/>
      <c r="AS60" s="278"/>
      <c r="AT60" s="2" t="s">
        <v>56</v>
      </c>
      <c r="AU60" s="278"/>
      <c r="AV60" s="278"/>
      <c r="AW60" s="2" t="s">
        <v>56</v>
      </c>
      <c r="AX60" s="278"/>
      <c r="AY60" s="278"/>
      <c r="AZ60" s="2" t="s">
        <v>57</v>
      </c>
      <c r="BA60" s="278"/>
      <c r="BB60" s="278" t="s">
        <v>331</v>
      </c>
      <c r="BC60" s="2" t="str">
        <f t="shared" si="12"/>
        <v>Complete</v>
      </c>
      <c r="BE60" s="119" t="str">
        <f t="shared" si="13"/>
        <v>READY</v>
      </c>
    </row>
    <row r="61" spans="1:57" x14ac:dyDescent="0.35">
      <c r="A61" s="2" t="str">
        <f>IFERROR(VLOOKUP(E61,'Customer '!$A$4:$D$23,3,FALSE),"")</f>
        <v>NON RH</v>
      </c>
      <c r="B61" s="2" t="s">
        <v>268</v>
      </c>
      <c r="C61" s="2" t="s">
        <v>414</v>
      </c>
      <c r="E61" s="2" t="s">
        <v>122</v>
      </c>
      <c r="F61" s="2" t="str">
        <f>IFERROR(VLOOKUP(E61,'Customer '!$A$4:$D$28,2,FALSE),"")</f>
        <v>KD</v>
      </c>
      <c r="G61" s="2" t="s">
        <v>127</v>
      </c>
      <c r="H6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2026-KD-KNOX DALLAS SUITE</v>
      </c>
      <c r="I61" s="2">
        <f ca="1">IF(OR($H61="",$B61=""),0,--(COUNTIFS($H$3:$H61,$H61,$B$3:$B61,$B61)=1))</f>
        <v>1</v>
      </c>
      <c r="J61" s="2" t="s">
        <v>309</v>
      </c>
      <c r="K61" s="2" t="s">
        <v>291</v>
      </c>
      <c r="L61" s="2" t="s">
        <v>310</v>
      </c>
      <c r="M61" s="278">
        <v>46100</v>
      </c>
      <c r="N61" s="278">
        <v>46053</v>
      </c>
      <c r="O61" s="279"/>
      <c r="P61" s="2" t="s">
        <v>51</v>
      </c>
      <c r="Q61" s="2" t="s">
        <v>349</v>
      </c>
      <c r="R61" s="2">
        <v>29</v>
      </c>
      <c r="S61" s="2">
        <v>48</v>
      </c>
      <c r="V61" s="276">
        <v>50</v>
      </c>
      <c r="X61" s="280">
        <v>388861</v>
      </c>
      <c r="Y61" s="280">
        <v>97273</v>
      </c>
      <c r="Z61" s="2" t="s">
        <v>303</v>
      </c>
      <c r="AA61" s="2" t="str">
        <f t="shared" si="0"/>
        <v>2026</v>
      </c>
      <c r="AB61" s="278">
        <v>46157</v>
      </c>
      <c r="AC61" s="278">
        <v>46339</v>
      </c>
      <c r="AD61" s="277">
        <v>46290</v>
      </c>
      <c r="AE61" s="277">
        <v>46383</v>
      </c>
      <c r="AF61" s="2" t="str">
        <f>IF(AD61="","",IF(ISNUMBER(AD61),IF(AND(AD61&gt;='2026 Calendar'!$C$4,AD61&lt;='2026 Calendar'!$E$107),LOOKUP(AD61,'2026 Calendar'!$C$4:$C$107,'2026 Calendar'!$A$4:$A$107),YEAR(AD61-WEEKDAY(AD61,2)+4)&amp;"/W"&amp;TEXT(WEEKNUM(AD61,21),"00")),IF(IFERROR(ISNUMBER(SEARCH("/W",AD61)),FALSE),IF(IFERROR(ISNUMBER(SEARCH("-",AD61)),FALSE),LEFT(AD61,SEARCH("-",AD61)-1),AD61),AD61)))</f>
        <v>2026/W39</v>
      </c>
      <c r="AG61" s="2" t="str">
        <f>IF(AE61="","",IF(ISNUMBER(AE61),IF(AND(AE61&gt;='2026 Calendar'!$C$4,AE61&lt;='2026 Calendar'!$E$107),LOOKUP(AE61,'2026 Calendar'!$C$4:$C$107,'2026 Calendar'!$A$4:$A$107),YEAR(AE61-WEEKDAY(AE61,2)+4)&amp;"/W"&amp;TEXT(WEEKNUM(AE61,21),"00")),IF(IFERROR(ISNUMBER(SEARCH("/W",AE61)),FALSE),IF(IFERROR(ISNUMBER(SEARCH("-",AE61)),FALSE),MID(AE61,SEARCH("-",AE61)+1,100),AE61),AE61)))</f>
        <v>2026/W52</v>
      </c>
      <c r="AH61" s="2" t="s">
        <v>56</v>
      </c>
      <c r="AI61" s="278"/>
      <c r="AJ61" s="278">
        <v>45933</v>
      </c>
      <c r="AK61" s="2" t="s">
        <v>56</v>
      </c>
      <c r="AL61" s="278"/>
      <c r="AM61" s="278"/>
      <c r="AN61" s="2" t="s">
        <v>56</v>
      </c>
      <c r="AO61" s="278"/>
      <c r="AP61" s="278"/>
      <c r="AQ61" s="2" t="s">
        <v>56</v>
      </c>
      <c r="AR61" s="278"/>
      <c r="AS61" s="278"/>
      <c r="AT61" s="2" t="s">
        <v>56</v>
      </c>
      <c r="AU61" s="278"/>
      <c r="AV61" s="278"/>
      <c r="AW61" s="2" t="s">
        <v>73</v>
      </c>
      <c r="AX61" s="278"/>
      <c r="AY61" s="278"/>
      <c r="AZ61" s="2" t="s">
        <v>57</v>
      </c>
      <c r="BA61" s="278"/>
      <c r="BB61" s="278" t="s">
        <v>331</v>
      </c>
      <c r="BC61" s="2" t="str">
        <f t="shared" si="12"/>
        <v>Active</v>
      </c>
      <c r="BE61" s="119" t="str">
        <f t="shared" si="13"/>
        <v>NPI: Fabric is com for SW52</v>
      </c>
    </row>
    <row r="62" spans="1:57" x14ac:dyDescent="0.35">
      <c r="A62" s="2" t="str">
        <f>IFERROR(VLOOKUP(E62,'Customer '!$A$4:$D$23,3,FALSE),"")</f>
        <v>NON RH</v>
      </c>
      <c r="B62" s="2" t="s">
        <v>268</v>
      </c>
      <c r="C62" s="2" t="s">
        <v>414</v>
      </c>
      <c r="E62" s="2" t="s">
        <v>122</v>
      </c>
      <c r="F62" s="2" t="str">
        <f>IFERROR(VLOOKUP(E62,'Customer '!$A$4:$D$28,2,FALSE),"")</f>
        <v>KD</v>
      </c>
      <c r="G62" s="2" t="s">
        <v>127</v>
      </c>
      <c r="H6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 SUITE</v>
      </c>
      <c r="I62" s="2">
        <f ca="1">IF(OR($H62="",$B62=""),0,--(COUNTIFS($H$3:$H62,$H62,$B$3:$B62,$B62)=1))</f>
        <v>1</v>
      </c>
      <c r="J62" s="2" t="s">
        <v>309</v>
      </c>
      <c r="K62" s="2" t="s">
        <v>291</v>
      </c>
      <c r="L62" s="2" t="s">
        <v>310</v>
      </c>
      <c r="M62" s="278">
        <v>46001</v>
      </c>
      <c r="N62" s="278">
        <v>46053</v>
      </c>
      <c r="O62" s="279"/>
      <c r="P62" s="2" t="s">
        <v>51</v>
      </c>
      <c r="Q62" s="2" t="s">
        <v>349</v>
      </c>
      <c r="R62" s="2">
        <v>29</v>
      </c>
      <c r="S62" s="2">
        <v>48</v>
      </c>
      <c r="V62" s="276">
        <v>50</v>
      </c>
      <c r="X62" s="280">
        <v>388861</v>
      </c>
      <c r="Y62" s="280">
        <v>109813</v>
      </c>
      <c r="Z62" s="2" t="s">
        <v>311</v>
      </c>
      <c r="AA62" s="2" t="str">
        <f t="shared" si="0"/>
        <v>2026</v>
      </c>
      <c r="AB62" s="278">
        <v>46157</v>
      </c>
      <c r="AC62" s="278">
        <v>46339</v>
      </c>
      <c r="AD62" s="277">
        <v>46290</v>
      </c>
      <c r="AE62" s="277">
        <v>46383</v>
      </c>
      <c r="AF62" s="2" t="str">
        <f>IF(AD62="","",IF(ISNUMBER(AD62),IF(AND(AD62&gt;='2026 Calendar'!$C$4,AD62&lt;='2026 Calendar'!$E$107),LOOKUP(AD62,'2026 Calendar'!$C$4:$C$107,'2026 Calendar'!$A$4:$A$107),YEAR(AD62-WEEKDAY(AD62,2)+4)&amp;"/W"&amp;TEXT(WEEKNUM(AD62,21),"00")),IF(IFERROR(ISNUMBER(SEARCH("/W",AD62)),FALSE),IF(IFERROR(ISNUMBER(SEARCH("-",AD62)),FALSE),LEFT(AD62,SEARCH("-",AD62)-1),AD62),AD62)))</f>
        <v>2026/W39</v>
      </c>
      <c r="AG62" s="2" t="str">
        <f>IF(AE62="","",IF(ISNUMBER(AE62),IF(AND(AE62&gt;='2026 Calendar'!$C$4,AE62&lt;='2026 Calendar'!$E$107),LOOKUP(AE62,'2026 Calendar'!$C$4:$C$107,'2026 Calendar'!$A$4:$A$107),YEAR(AE62-WEEKDAY(AE62,2)+4)&amp;"/W"&amp;TEXT(WEEKNUM(AE62,21),"00")),IF(IFERROR(ISNUMBER(SEARCH("/W",AE62)),FALSE),IF(IFERROR(ISNUMBER(SEARCH("-",AE62)),FALSE),MID(AE62,SEARCH("-",AE62)+1,100),AE62),AE62)))</f>
        <v>2026/W52</v>
      </c>
      <c r="AH62" s="2" t="s">
        <v>56</v>
      </c>
      <c r="AI62" s="278"/>
      <c r="AJ62" s="278">
        <v>45933</v>
      </c>
      <c r="AK62" s="2" t="s">
        <v>56</v>
      </c>
      <c r="AL62" s="278"/>
      <c r="AM62" s="278"/>
      <c r="AN62" s="2" t="s">
        <v>56</v>
      </c>
      <c r="AO62" s="278"/>
      <c r="AP62" s="278"/>
      <c r="AQ62" s="2" t="s">
        <v>56</v>
      </c>
      <c r="AR62" s="278"/>
      <c r="AS62" s="278"/>
      <c r="AT62" s="2" t="s">
        <v>56</v>
      </c>
      <c r="AU62" s="278"/>
      <c r="AV62" s="278"/>
      <c r="AW62" s="2" t="s">
        <v>73</v>
      </c>
      <c r="AX62" s="278"/>
      <c r="AY62" s="278"/>
      <c r="AZ62" s="2" t="s">
        <v>57</v>
      </c>
      <c r="BA62" s="278"/>
      <c r="BB62" s="278" t="s">
        <v>331</v>
      </c>
      <c r="BC62" s="2" t="str">
        <f t="shared" si="12"/>
        <v>Active</v>
      </c>
      <c r="BE62" s="119" t="str">
        <f t="shared" si="13"/>
        <v>NPI: Fabric is com for SW52</v>
      </c>
    </row>
    <row r="63" spans="1:57" x14ac:dyDescent="0.35">
      <c r="A63" s="2" t="str">
        <f>IFERROR(VLOOKUP(E63,'Customer '!$A$4:$D$23,3,FALSE),"")</f>
        <v>NON RH</v>
      </c>
      <c r="B63" s="2" t="s">
        <v>268</v>
      </c>
      <c r="C63" s="2" t="s">
        <v>414</v>
      </c>
      <c r="E63" s="2" t="s">
        <v>122</v>
      </c>
      <c r="F63" s="2" t="str">
        <f>IFERROR(VLOOKUP(E63,'Customer '!$A$4:$D$28,2,FALSE),"")</f>
        <v>KD</v>
      </c>
      <c r="G63" s="2" t="s">
        <v>127</v>
      </c>
      <c r="H6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 SUITE</v>
      </c>
      <c r="I63" s="2">
        <f ca="1">IF(OR($H63="",$B63=""),0,--(COUNTIFS($H$3:$H63,$H63,$B$3:$B63,$B63)=1))</f>
        <v>0</v>
      </c>
      <c r="J63" s="2" t="s">
        <v>309</v>
      </c>
      <c r="K63" s="2" t="s">
        <v>291</v>
      </c>
      <c r="L63" s="2" t="s">
        <v>310</v>
      </c>
      <c r="M63" s="278">
        <v>46001</v>
      </c>
      <c r="N63" s="278">
        <v>46053</v>
      </c>
      <c r="O63" s="279"/>
      <c r="P63" s="2" t="s">
        <v>51</v>
      </c>
      <c r="Q63" s="2" t="s">
        <v>349</v>
      </c>
      <c r="R63" s="2">
        <v>29</v>
      </c>
      <c r="S63" s="2">
        <v>48</v>
      </c>
      <c r="V63" s="276">
        <v>50</v>
      </c>
      <c r="X63" s="280">
        <v>388861</v>
      </c>
      <c r="Y63" s="280">
        <v>40348</v>
      </c>
      <c r="Z63" s="2" t="s">
        <v>311</v>
      </c>
      <c r="AA63" s="2" t="str">
        <f t="shared" ref="AA63" si="16">IF(Z63="","",IF(OR(Z63="TBC",Z63="Removed"),Z63,LEFT(Z63,4)))</f>
        <v>2026</v>
      </c>
      <c r="AB63" s="278">
        <v>46157</v>
      </c>
      <c r="AC63" s="278">
        <v>46339</v>
      </c>
      <c r="AD63" s="277">
        <v>46290</v>
      </c>
      <c r="AE63" s="277">
        <v>46383</v>
      </c>
      <c r="AF63" s="2" t="str">
        <f>IF(AD63="","",IF(ISNUMBER(AD63),IF(AND(AD63&gt;='2026 Calendar'!$C$4,AD63&lt;='2026 Calendar'!$E$107),LOOKUP(AD63,'2026 Calendar'!$C$4:$C$107,'2026 Calendar'!$A$4:$A$107),YEAR(AD63-WEEKDAY(AD63,2)+4)&amp;"/W"&amp;TEXT(WEEKNUM(AD63,21),"00")),IF(IFERROR(ISNUMBER(SEARCH("/W",AD63)),FALSE),IF(IFERROR(ISNUMBER(SEARCH("-",AD63)),FALSE),LEFT(AD63,SEARCH("-",AD63)-1),AD63),AD63)))</f>
        <v>2026/W39</v>
      </c>
      <c r="AG63" s="2" t="str">
        <f>IF(AE63="","",IF(ISNUMBER(AE63),IF(AND(AE63&gt;='2026 Calendar'!$C$4,AE63&lt;='2026 Calendar'!$E$107),LOOKUP(AE63,'2026 Calendar'!$C$4:$C$107,'2026 Calendar'!$A$4:$A$107),YEAR(AE63-WEEKDAY(AE63,2)+4)&amp;"/W"&amp;TEXT(WEEKNUM(AE63,21),"00")),IF(IFERROR(ISNUMBER(SEARCH("/W",AE63)),FALSE),IF(IFERROR(ISNUMBER(SEARCH("-",AE63)),FALSE),MID(AE63,SEARCH("-",AE63)+1,100),AE63),AE63)))</f>
        <v>2026/W52</v>
      </c>
      <c r="AH63" s="2" t="s">
        <v>56</v>
      </c>
      <c r="AI63" s="278"/>
      <c r="AJ63" s="278">
        <v>45933</v>
      </c>
      <c r="AK63" s="2" t="s">
        <v>56</v>
      </c>
      <c r="AL63" s="278"/>
      <c r="AM63" s="278"/>
      <c r="AN63" s="2" t="s">
        <v>56</v>
      </c>
      <c r="AO63" s="278"/>
      <c r="AP63" s="278"/>
      <c r="AQ63" s="2" t="s">
        <v>56</v>
      </c>
      <c r="AR63" s="278"/>
      <c r="AS63" s="278"/>
      <c r="AT63" s="2" t="s">
        <v>56</v>
      </c>
      <c r="AU63" s="278"/>
      <c r="AV63" s="278"/>
      <c r="AW63" s="2" t="s">
        <v>73</v>
      </c>
      <c r="AX63" s="278"/>
      <c r="AY63" s="278"/>
      <c r="AZ63" s="2" t="s">
        <v>57</v>
      </c>
      <c r="BA63" s="278"/>
      <c r="BB63" s="278" t="s">
        <v>331</v>
      </c>
      <c r="BC63" s="2" t="str">
        <f t="shared" si="12"/>
        <v>Active</v>
      </c>
      <c r="BE63" s="119" t="str">
        <f t="shared" si="13"/>
        <v>NPI: Fabric is com for SW52</v>
      </c>
    </row>
    <row r="64" spans="1:57" x14ac:dyDescent="0.35">
      <c r="A64" s="2" t="str">
        <f>IFERROR(VLOOKUP(E64,'Customer '!$A$4:$D$23,3,FALSE),"")</f>
        <v>NON RH</v>
      </c>
      <c r="B64" s="2" t="s">
        <v>268</v>
      </c>
      <c r="C64" s="2" t="s">
        <v>414</v>
      </c>
      <c r="E64" s="2" t="s">
        <v>122</v>
      </c>
      <c r="F64" s="2" t="str">
        <f>IFERROR(VLOOKUP(E64,'Customer '!$A$4:$D$28,2,FALSE),"")</f>
        <v>KD</v>
      </c>
      <c r="G64" s="2" t="s">
        <v>127</v>
      </c>
      <c r="H6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2025-KD-KNOX DALLAS SUITE</v>
      </c>
      <c r="I64" s="2">
        <f ca="1">IF(OR($H64="",$B64=""),0,--(COUNTIFS($H$3:$H64,$H64,$B$3:$B64,$B64)=1))</f>
        <v>0</v>
      </c>
      <c r="J64" s="2" t="s">
        <v>309</v>
      </c>
      <c r="K64" s="2" t="s">
        <v>291</v>
      </c>
      <c r="L64" s="2" t="s">
        <v>310</v>
      </c>
      <c r="M64" s="278">
        <v>46001</v>
      </c>
      <c r="N64" s="278">
        <v>46053</v>
      </c>
      <c r="O64" s="279"/>
      <c r="P64" s="2" t="s">
        <v>51</v>
      </c>
      <c r="Q64" s="2" t="s">
        <v>349</v>
      </c>
      <c r="R64" s="2">
        <v>29</v>
      </c>
      <c r="S64" s="2">
        <v>48</v>
      </c>
      <c r="V64" s="276">
        <v>50</v>
      </c>
      <c r="X64" s="280">
        <v>388861</v>
      </c>
      <c r="Y64" s="280">
        <v>57229</v>
      </c>
      <c r="Z64" s="2" t="s">
        <v>330</v>
      </c>
      <c r="AA64" s="2" t="str">
        <f t="shared" si="0"/>
        <v>2026</v>
      </c>
      <c r="AB64" s="278">
        <v>46157</v>
      </c>
      <c r="AC64" s="278">
        <v>46339</v>
      </c>
      <c r="AD64" s="277">
        <v>46290</v>
      </c>
      <c r="AE64" s="277">
        <v>46383</v>
      </c>
      <c r="AF64" s="2" t="str">
        <f>IF(AD64="","",IF(ISNUMBER(AD64),IF(AND(AD64&gt;='2026 Calendar'!$C$4,AD64&lt;='2026 Calendar'!$E$107),LOOKUP(AD64,'2026 Calendar'!$C$4:$C$107,'2026 Calendar'!$A$4:$A$107),YEAR(AD64-WEEKDAY(AD64,2)+4)&amp;"/W"&amp;TEXT(WEEKNUM(AD64,21),"00")),IF(IFERROR(ISNUMBER(SEARCH("/W",AD64)),FALSE),IF(IFERROR(ISNUMBER(SEARCH("-",AD64)),FALSE),LEFT(AD64,SEARCH("-",AD64)-1),AD64),AD64)))</f>
        <v>2026/W39</v>
      </c>
      <c r="AG64" s="2" t="str">
        <f>IF(AE64="","",IF(ISNUMBER(AE64),IF(AND(AE64&gt;='2026 Calendar'!$C$4,AE64&lt;='2026 Calendar'!$E$107),LOOKUP(AE64,'2026 Calendar'!$C$4:$C$107,'2026 Calendar'!$A$4:$A$107),YEAR(AE64-WEEKDAY(AE64,2)+4)&amp;"/W"&amp;TEXT(WEEKNUM(AE64,21),"00")),IF(IFERROR(ISNUMBER(SEARCH("/W",AE64)),FALSE),IF(IFERROR(ISNUMBER(SEARCH("-",AE64)),FALSE),MID(AE64,SEARCH("-",AE64)+1,100),AE64),AE64)))</f>
        <v>2026/W52</v>
      </c>
      <c r="AH64" s="2" t="s">
        <v>56</v>
      </c>
      <c r="AI64" s="278"/>
      <c r="AJ64" s="278">
        <v>45933</v>
      </c>
      <c r="AK64" s="2" t="s">
        <v>56</v>
      </c>
      <c r="AL64" s="278"/>
      <c r="AM64" s="278"/>
      <c r="AN64" s="2" t="s">
        <v>56</v>
      </c>
      <c r="AO64" s="278"/>
      <c r="AP64" s="278"/>
      <c r="AQ64" s="2" t="s">
        <v>56</v>
      </c>
      <c r="AR64" s="278"/>
      <c r="AS64" s="278"/>
      <c r="AT64" s="2" t="s">
        <v>56</v>
      </c>
      <c r="AU64" s="278"/>
      <c r="AV64" s="278"/>
      <c r="AW64" s="2" t="s">
        <v>73</v>
      </c>
      <c r="AX64" s="278"/>
      <c r="AY64" s="278"/>
      <c r="AZ64" s="2" t="s">
        <v>57</v>
      </c>
      <c r="BA64" s="278"/>
      <c r="BB64" s="278" t="s">
        <v>331</v>
      </c>
      <c r="BC64" s="2" t="str">
        <f t="shared" si="12"/>
        <v>Active</v>
      </c>
      <c r="BE64" s="119" t="str">
        <f t="shared" si="13"/>
        <v>NPI: Fabric is com for SW52</v>
      </c>
    </row>
    <row r="65" spans="1:58" x14ac:dyDescent="0.35">
      <c r="A65" s="2" t="str">
        <f>IFERROR(VLOOKUP(E65,'Customer '!$A$4:$D$23,3,FALSE),"")</f>
        <v>NON RH</v>
      </c>
      <c r="B65" s="2" t="s">
        <v>268</v>
      </c>
      <c r="C65" s="2" t="s">
        <v>414</v>
      </c>
      <c r="E65" s="2" t="s">
        <v>122</v>
      </c>
      <c r="F65" s="2" t="str">
        <f>IFERROR(VLOOKUP(E65,'Customer '!$A$4:$D$28,2,FALSE),"")</f>
        <v>KD</v>
      </c>
      <c r="G65" s="2" t="s">
        <v>1571</v>
      </c>
      <c r="H6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2026-KD-KNOX DALLAS INSPECTION COVERS</v>
      </c>
      <c r="I65" s="2">
        <f ca="1">IF(OR($H65="",$B65=""),0,--(COUNTIFS($H$3:$H65,$H65,$B$3:$B65,$B65)=1))</f>
        <v>1</v>
      </c>
      <c r="J65" s="2" t="s">
        <v>477</v>
      </c>
      <c r="K65" s="2" t="s">
        <v>273</v>
      </c>
      <c r="L65" s="2" t="s">
        <v>333</v>
      </c>
      <c r="M65" s="283">
        <v>46302</v>
      </c>
      <c r="N65" s="283">
        <v>46303</v>
      </c>
      <c r="O65" s="284"/>
      <c r="P65" s="2" t="s">
        <v>51</v>
      </c>
      <c r="Q65" s="2" t="s">
        <v>349</v>
      </c>
      <c r="T65" s="276"/>
      <c r="U65" s="276"/>
      <c r="V65" s="276">
        <v>3</v>
      </c>
      <c r="W65" s="276">
        <f>134*2</f>
        <v>268</v>
      </c>
      <c r="X65" s="280">
        <v>2680</v>
      </c>
      <c r="Y65" s="280">
        <v>2680</v>
      </c>
      <c r="Z65" s="2" t="s">
        <v>330</v>
      </c>
      <c r="AA65" s="2" t="str">
        <f>IF(Z65="","",IF(OR(Z65="TBC",Z65="Removed"),Z65,LEFT(Z65,4)))</f>
        <v>2026</v>
      </c>
      <c r="AB65" s="283"/>
      <c r="AC65" s="283"/>
      <c r="AD65" s="277" t="s">
        <v>149</v>
      </c>
      <c r="AE65" s="278" t="s">
        <v>149</v>
      </c>
      <c r="AF65" s="2" t="str">
        <f>IF(AD65="","",IF(ISNUMBER(AD65),IF(AND(AD65&gt;='2026 Calendar'!$C$4,AD65&lt;='2026 Calendar'!$E$107),LOOKUP(AD65,'2026 Calendar'!$C$4:$C$107,'2026 Calendar'!$A$4:$A$107),YEAR(AD65-WEEKDAY(AD65,2)+4)&amp;"/W"&amp;TEXT(WEEKNUM(AD65,21),"00")),IF(IFERROR(ISNUMBER(SEARCH("/W",AD65)),FALSE),IF(IFERROR(ISNUMBER(SEARCH("-",AD65)),FALSE),LEFT(AD65,SEARCH("-",AD65)-1),AD65),AD65)))</f>
        <v>TBC</v>
      </c>
      <c r="AG65" s="2" t="str">
        <f>IF(AE65="","",IF(ISNUMBER(AE65),IF(AND(AE65&gt;='2026 Calendar'!$C$4,AE65&lt;='2026 Calendar'!$E$107),LOOKUP(AE65,'2026 Calendar'!$C$4:$C$107,'2026 Calendar'!$A$4:$A$107),YEAR(AE65-WEEKDAY(AE65,2)+4)&amp;"/W"&amp;TEXT(WEEKNUM(AE65,21),"00")),IF(IFERROR(ISNUMBER(SEARCH("/W",AE65)),FALSE),IF(IFERROR(ISNUMBER(SEARCH("-",AE65)),FALSE),MID(AE65,SEARCH("-",AE65)+1,100),AE65),AE65)))</f>
        <v>TBC</v>
      </c>
      <c r="AH65" s="2" t="s">
        <v>304</v>
      </c>
      <c r="AI65" s="254"/>
      <c r="AJ65" s="283"/>
      <c r="AK65" s="2" t="s">
        <v>304</v>
      </c>
      <c r="AL65" s="254"/>
      <c r="AM65" s="283"/>
      <c r="AN65" s="2" t="s">
        <v>73</v>
      </c>
      <c r="AO65" s="254"/>
      <c r="AP65" s="283"/>
      <c r="AQ65" s="2" t="s">
        <v>73</v>
      </c>
      <c r="AR65" s="254"/>
      <c r="AS65" s="283"/>
      <c r="AT65" s="2" t="s">
        <v>73</v>
      </c>
      <c r="AU65" s="254"/>
      <c r="AV65" s="283"/>
      <c r="AW65" s="2" t="s">
        <v>73</v>
      </c>
      <c r="AX65" s="254"/>
      <c r="AY65" s="283"/>
      <c r="AZ65" s="2" t="s">
        <v>73</v>
      </c>
      <c r="BA65" s="254"/>
      <c r="BB65" s="283"/>
      <c r="BC65" s="2" t="str">
        <f t="shared" si="12"/>
        <v>Active</v>
      </c>
      <c r="BE65" s="119" t="str">
        <f t="shared" si="13"/>
        <v>NPI: In progress: Drawing, Veneer/Wood for SW TBC</v>
      </c>
    </row>
    <row r="66" spans="1:58" x14ac:dyDescent="0.35">
      <c r="A66" s="2" t="str">
        <f>IFERROR(VLOOKUP(E66,'Customer '!$A$4:$D$23,3,FALSE),"")</f>
        <v>NON RH</v>
      </c>
      <c r="B66" s="2" t="s">
        <v>268</v>
      </c>
      <c r="C66" s="2" t="s">
        <v>319</v>
      </c>
      <c r="E66" s="2" t="s">
        <v>130</v>
      </c>
      <c r="F66" s="2" t="str">
        <f>IFERROR(VLOOKUP(E66,'Customer '!$A$4:$D$28,2,FALSE),"")</f>
        <v>AHMADIAH</v>
      </c>
      <c r="G66" s="2" t="s">
        <v>131</v>
      </c>
      <c r="H6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Removed-AHMADIAH-MARRIOTT KHOBAR</v>
      </c>
      <c r="I66" s="2">
        <f ca="1">IF(OR($H66="",$B66=""),0,--(COUNTIFS($H$3:$H66,$H66,$B$3:$B66,$B66)=1))</f>
        <v>1</v>
      </c>
      <c r="J66" s="2" t="s">
        <v>300</v>
      </c>
      <c r="K66" s="2" t="s">
        <v>273</v>
      </c>
      <c r="M66" s="278"/>
      <c r="N66" s="278" t="s">
        <v>292</v>
      </c>
      <c r="O66" s="279"/>
      <c r="P66" s="2" t="s">
        <v>132</v>
      </c>
      <c r="Q66" s="2" t="s">
        <v>350</v>
      </c>
      <c r="V66" s="276">
        <v>35</v>
      </c>
      <c r="X66" s="280"/>
      <c r="Y66" s="280"/>
      <c r="Z66" s="2" t="s">
        <v>351</v>
      </c>
      <c r="AA66" s="2" t="str">
        <f t="shared" si="0"/>
        <v>Removed</v>
      </c>
      <c r="AB66" s="278" t="s">
        <v>292</v>
      </c>
      <c r="AC66" s="278"/>
      <c r="AD66" s="277">
        <v>46116</v>
      </c>
      <c r="AE66" s="278">
        <v>46116</v>
      </c>
      <c r="AF66" s="2" t="str">
        <f>IF(AD66="","",IF(ISNUMBER(AD66),IF(AND(AD66&gt;='2026 Calendar'!$C$4,AD66&lt;='2026 Calendar'!$E$107),LOOKUP(AD66,'2026 Calendar'!$C$4:$C$107,'2026 Calendar'!$A$4:$A$107),YEAR(AD66-WEEKDAY(AD66,2)+4)&amp;"/W"&amp;TEXT(WEEKNUM(AD66,21),"00")),IF(IFERROR(ISNUMBER(SEARCH("/W",AD66)),FALSE),IF(IFERROR(ISNUMBER(SEARCH("-",AD66)),FALSE),LEFT(AD66,SEARCH("-",AD66)-1),AD66),AD66)))</f>
        <v>2026/W14</v>
      </c>
      <c r="AG66" s="2" t="str">
        <f>IF(AE66="","",IF(ISNUMBER(AE66),IF(AND(AE66&gt;='2026 Calendar'!$C$4,AE66&lt;='2026 Calendar'!$E$107),LOOKUP(AE66,'2026 Calendar'!$C$4:$C$107,'2026 Calendar'!$A$4:$A$107),YEAR(AE66-WEEKDAY(AE66,2)+4)&amp;"/W"&amp;TEXT(WEEKNUM(AE66,21),"00")),IF(IFERROR(ISNUMBER(SEARCH("/W",AE66)),FALSE),IF(IFERROR(ISNUMBER(SEARCH("-",AE66)),FALSE),MID(AE66,SEARCH("-",AE66)+1,100),AE66),AE66)))</f>
        <v>2026/W14</v>
      </c>
      <c r="AI66" s="278"/>
      <c r="AJ66" s="278"/>
      <c r="AL66" s="278"/>
      <c r="AM66" s="278"/>
      <c r="AO66" s="278"/>
      <c r="AP66" s="278"/>
      <c r="AR66" s="278"/>
      <c r="AS66" s="278"/>
      <c r="AU66" s="278"/>
      <c r="AV66" s="278"/>
      <c r="AX66" s="278"/>
      <c r="AY66" s="278"/>
      <c r="BA66" s="278"/>
      <c r="BB66" s="278"/>
      <c r="BC66" s="2" t="str">
        <f t="shared" si="12"/>
        <v>Complete</v>
      </c>
      <c r="BE66" s="119" t="str">
        <f t="shared" si="13"/>
        <v>NPI: All development items approved/closed for SW14</v>
      </c>
    </row>
    <row r="67" spans="1:58" x14ac:dyDescent="0.35">
      <c r="A67" s="2" t="str">
        <f>IFERROR(VLOOKUP(E67,'Customer '!$A$4:$D$23,3,FALSE),"")</f>
        <v>KA</v>
      </c>
      <c r="B67" s="2" t="s">
        <v>268</v>
      </c>
      <c r="C67" s="2" t="s">
        <v>340</v>
      </c>
      <c r="E67" s="2" t="s">
        <v>139</v>
      </c>
      <c r="F67" s="2" t="str">
        <f>IFERROR(VLOOKUP(E67,'Customer '!$A$4:$D$28,2,FALSE),"")</f>
        <v>MH</v>
      </c>
      <c r="G67" s="2" t="s">
        <v>140</v>
      </c>
      <c r="H6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2026-MH-MH HOTEL PROJECT</v>
      </c>
      <c r="I67" s="2">
        <f ca="1">IF(OR($H67="",$B67=""),0,--(COUNTIFS($H$3:$H67,$H67,$B$3:$B67,$B67)=1))</f>
        <v>1</v>
      </c>
      <c r="J67" s="2" t="s">
        <v>272</v>
      </c>
      <c r="K67" s="2" t="s">
        <v>273</v>
      </c>
      <c r="L67" s="2" t="s">
        <v>274</v>
      </c>
      <c r="M67" s="278">
        <v>46079</v>
      </c>
      <c r="N67" s="278">
        <v>46066</v>
      </c>
      <c r="O67" s="279"/>
      <c r="P67" s="2" t="s">
        <v>51</v>
      </c>
      <c r="Q67" s="2" t="s">
        <v>352</v>
      </c>
      <c r="V67" s="276">
        <v>6</v>
      </c>
      <c r="X67" s="280">
        <v>48755</v>
      </c>
      <c r="Y67" s="280">
        <v>48755</v>
      </c>
      <c r="Z67" s="2" t="s">
        <v>280</v>
      </c>
      <c r="AA67" s="2" t="str">
        <f t="shared" si="0"/>
        <v>2026</v>
      </c>
      <c r="AB67" s="278">
        <v>46183</v>
      </c>
      <c r="AC67" s="278"/>
      <c r="AD67" s="277">
        <v>46116</v>
      </c>
      <c r="AE67" s="278">
        <v>46116</v>
      </c>
      <c r="AF67" s="2" t="str">
        <f>IF(AD67="","",IF(ISNUMBER(AD67),IF(AND(AD67&gt;='2026 Calendar'!$C$4,AD67&lt;='2026 Calendar'!$E$107),LOOKUP(AD67,'2026 Calendar'!$C$4:$C$107,'2026 Calendar'!$A$4:$A$107),YEAR(AD67-WEEKDAY(AD67,2)+4)&amp;"/W"&amp;TEXT(WEEKNUM(AD67,21),"00")),IF(IFERROR(ISNUMBER(SEARCH("/W",AD67)),FALSE),IF(IFERROR(ISNUMBER(SEARCH("-",AD67)),FALSE),LEFT(AD67,SEARCH("-",AD67)-1),AD67),AD67)))</f>
        <v>2026/W14</v>
      </c>
      <c r="AG67" s="2" t="str">
        <f>IF(AE67="","",IF(ISNUMBER(AE67),IF(AND(AE67&gt;='2026 Calendar'!$C$4,AE67&lt;='2026 Calendar'!$E$107),LOOKUP(AE67,'2026 Calendar'!$C$4:$C$107,'2026 Calendar'!$A$4:$A$107),YEAR(AE67-WEEKDAY(AE67,2)+4)&amp;"/W"&amp;TEXT(WEEKNUM(AE67,21),"00")),IF(IFERROR(ISNUMBER(SEARCH("/W",AE67)),FALSE),IF(IFERROR(ISNUMBER(SEARCH("-",AE67)),FALSE),MID(AE67,SEARCH("-",AE67)+1,100),AE67),AE67)))</f>
        <v>2026/W14</v>
      </c>
      <c r="AH67" s="2" t="s">
        <v>56</v>
      </c>
      <c r="AI67" s="278"/>
      <c r="AJ67" s="278"/>
      <c r="AK67" s="2" t="s">
        <v>56</v>
      </c>
      <c r="AL67" s="278"/>
      <c r="AM67" s="278"/>
      <c r="AN67" s="2" t="s">
        <v>73</v>
      </c>
      <c r="AO67" s="278"/>
      <c r="AP67" s="278"/>
      <c r="AQ67" s="2" t="s">
        <v>56</v>
      </c>
      <c r="AR67" s="278"/>
      <c r="AS67" s="278"/>
      <c r="AT67" s="2" t="s">
        <v>73</v>
      </c>
      <c r="AU67" s="278"/>
      <c r="AV67" s="278"/>
      <c r="AW67" s="2" t="s">
        <v>73</v>
      </c>
      <c r="AX67" s="278"/>
      <c r="AY67" s="278"/>
      <c r="AZ67" s="2" t="s">
        <v>73</v>
      </c>
      <c r="BA67" s="278"/>
      <c r="BB67" s="278"/>
      <c r="BC67" s="2" t="str">
        <f t="shared" ref="BC67:BC87" si="17">IF(J67="","",IF(OR(J67="OB",J67="NOR",J67="FC",J67="PIPELINE"),"Active","Complete"))</f>
        <v>Complete</v>
      </c>
      <c r="BE67" s="119" t="str">
        <f t="shared" ref="BE67:BE87" si="18">IF(UPPER(TRIM(J67))="SHIPPED","READY",_xlfn.LET(_xlpm.stage,IF(B67="","",B67&amp;": "),_xlpm.ip,_xlfn.TEXTJOIN(", ",TRUE,IF(LOWER(AH67)="in progress","Drawing",""),IF(LOWER(AK67)="in progress","Veneer/Wood",""),IF(LOWER(AN67)="in progress","Marble",""),IF(LOWER(AQ67)="in progress","Metal",""),IF(LOWER(AT67)="in progress","Mirror",""),IF(LOWER(AW67)="in progress","Electrical",""),IF(LOWER(AZ67)="in progress","Fabric","")),_xlpm.pa,_xlfn.TEXTJOIN(", ",TRUE,IF(LOWER(AH67)="pending approval","Drawing",""),IF(LOWER(AK67)="pending approval","Veneer/Wood",""),IF(LOWER(AN67)="pending approval","Marble",""),IF(LOWER(AQ67)="pending approval","Metal",""),IF(LOWER(AT67)="pending approval","Mirror",""),IF(LOWER(AW67)="pending approval","Electrical",""),IF(LOWER(AZ67)="pending approval","Fabric","")),_xlpm.ns,_xlfn.TEXTJOIN(", ",TRUE,IF(LOWER(AH67)="not started","Drawing",""),IF(LOWER(AK67)="not started","Veneer/Wood",""),IF(LOWER(AN67)="not started","Marble",""),IF(LOWER(AQ67)="not started","Metal",""),IF(LOWER(AT67)="not started","Mirror",""),IF(LOWER(AW67)="not started","Electrical",""),IF(LOWER(AZ67)="not started","Fabric","")),_xlpm.fab,IF(OR(LOWER(AZ67)="com",LOWER(AZ67)="com pending",LOWER(AZ67)="com received"),"Fabric is "&amp;LOWER(AZ67),""),_xlpm.parts,_xlfn.TEXTJOIN("; ",TRUE,IF(_xlpm.ip&lt;&gt;"","In progress: "&amp;_xlpm.ip,""),IF(_xlpm.pa&lt;&gt;"","Pending approval: "&amp;_xlpm.pa,""),IF(_xlpm.ns&lt;&gt;"","Not started: "&amp;_xlpm.ns,""),_xlpm.fab),_xlpm.deadline,MIN(IF(AND(AH67&lt;&gt;"",LOWER(AH67)&lt;&gt;"approved",LOWER(AH67)&lt;&gt;"n/a",ISNUMBER(AI67)),AI67,1E+99),IF(AND(AK67&lt;&gt;"",LOWER(AK67)&lt;&gt;"approved",LOWER(AK67)&lt;&gt;"n/a",ISNUMBER(AL67)),AL67,1E+99),IF(AND(AN67&lt;&gt;"",LOWER(AN67)&lt;&gt;"approved",LOWER(AN67)&lt;&gt;"n/a",ISNUMBER(AO67)),AO67,1E+99),IF(AND(AQ67&lt;&gt;"",LOWER(AQ67)&lt;&gt;"approved",LOWER(AQ67)&lt;&gt;"n/a",ISNUMBER(AR67)),AR67,1E+99),IF(AND(AT67&lt;&gt;"",LOWER(AT67)&lt;&gt;"approved",LOWER(AT67)&lt;&gt;"n/a",ISNUMBER(AU67)),AU67,1E+99),IF(AND(AW67&lt;&gt;"",LOWER(AW67)&lt;&gt;"approved",LOWER(AW67)&lt;&gt;"n/a",ISNUMBER(AX67)),AX67,1E+99),IF(AND(AZ67&lt;&gt;"",LOWER(AZ67)&lt;&gt;"approved",LOWER(AZ67)&lt;&gt;"n/a",ISNUMBER(BA67)),BA67,1E+99)),_xlpm.sw,IF(AG67="","",IFERROR("SW"&amp;MID(AG67,FIND("/W",AG67)+2,99),"SW "&amp;AG67)),_xlpm.stage&amp;IF(_xlpm.parts="","All development items approved/closed",_xlpm.parts)&amp;IF(AND(_xlpm.parts&lt;&gt;"",_xlpm.deadline&lt;1E+99),"; need approval by "&amp;TEXT(_xlpm.deadline,"d-mmm-yy"),"")&amp;IF(_xlpm.sw&lt;&gt;""," for "&amp;_xlpm.sw,"")))</f>
        <v>READY</v>
      </c>
    </row>
    <row r="68" spans="1:58" x14ac:dyDescent="0.35">
      <c r="A68" s="2" t="str">
        <f>IFERROR(VLOOKUP(E68,'Customer '!$A$4:$D$23,3,FALSE),"")</f>
        <v>NON RH</v>
      </c>
      <c r="B68" s="2" t="s">
        <v>268</v>
      </c>
      <c r="C68" s="2" t="s">
        <v>290</v>
      </c>
      <c r="E68" s="2" t="s">
        <v>143</v>
      </c>
      <c r="F68" s="2" t="str">
        <f>IFERROR(VLOOKUP(E68,'Customer '!$A$4:$D$28,2,FALSE),"")</f>
        <v>MOHI</v>
      </c>
      <c r="G68" s="2" t="s">
        <v>144</v>
      </c>
      <c r="H6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2025-MOHI-MOHI APPELLATION</v>
      </c>
      <c r="I68" s="2">
        <f ca="1">IF(OR($H68="",$B68=""),0,--(COUNTIFS($H$3:$H68,$H68,$B$3:$B68,$B68)=1))</f>
        <v>1</v>
      </c>
      <c r="J68" s="2" t="s">
        <v>272</v>
      </c>
      <c r="K68" s="2" t="s">
        <v>273</v>
      </c>
      <c r="L68" s="2" t="s">
        <v>274</v>
      </c>
      <c r="M68" s="278">
        <v>45905</v>
      </c>
      <c r="N68" s="278">
        <v>45913</v>
      </c>
      <c r="O68" s="279">
        <v>46000</v>
      </c>
      <c r="P68" s="2" t="s">
        <v>51</v>
      </c>
      <c r="Q68" s="2" t="s">
        <v>152</v>
      </c>
      <c r="V68" s="276">
        <v>28</v>
      </c>
      <c r="X68" s="280">
        <v>357775</v>
      </c>
      <c r="Y68" s="280">
        <v>178386</v>
      </c>
      <c r="Z68" s="2" t="s">
        <v>277</v>
      </c>
      <c r="AA68" s="2" t="str">
        <f t="shared" si="0"/>
        <v>2026</v>
      </c>
      <c r="AB68" s="278" t="s">
        <v>292</v>
      </c>
      <c r="AC68" s="278"/>
      <c r="AD68" s="277">
        <v>46116</v>
      </c>
      <c r="AE68" s="278">
        <v>46116</v>
      </c>
      <c r="AF68" s="2" t="str">
        <f>IF(AD68="","",IF(ISNUMBER(AD68),IF(AND(AD68&gt;='2026 Calendar'!$C$4,AD68&lt;='2026 Calendar'!$E$107),LOOKUP(AD68,'2026 Calendar'!$C$4:$C$107,'2026 Calendar'!$A$4:$A$107),YEAR(AD68-WEEKDAY(AD68,2)+4)&amp;"/W"&amp;TEXT(WEEKNUM(AD68,21),"00")),IF(IFERROR(ISNUMBER(SEARCH("/W",AD68)),FALSE),IF(IFERROR(ISNUMBER(SEARCH("-",AD68)),FALSE),LEFT(AD68,SEARCH("-",AD68)-1),AD68),AD68)))</f>
        <v>2026/W14</v>
      </c>
      <c r="AG68" s="2" t="str">
        <f>IF(AE68="","",IF(ISNUMBER(AE68),IF(AND(AE68&gt;='2026 Calendar'!$C$4,AE68&lt;='2026 Calendar'!$E$107),LOOKUP(AE68,'2026 Calendar'!$C$4:$C$107,'2026 Calendar'!$A$4:$A$107),YEAR(AE68-WEEKDAY(AE68,2)+4)&amp;"/W"&amp;TEXT(WEEKNUM(AE68,21),"00")),IF(IFERROR(ISNUMBER(SEARCH("/W",AE68)),FALSE),IF(IFERROR(ISNUMBER(SEARCH("-",AE68)),FALSE),MID(AE68,SEARCH("-",AE68)+1,100),AE68),AE68)))</f>
        <v>2026/W14</v>
      </c>
      <c r="AH68" s="2" t="s">
        <v>56</v>
      </c>
      <c r="AI68" s="278"/>
      <c r="AJ68" s="278"/>
      <c r="AK68" s="2" t="s">
        <v>56</v>
      </c>
      <c r="AL68" s="278"/>
      <c r="AM68" s="278"/>
      <c r="AN68" s="2" t="s">
        <v>56</v>
      </c>
      <c r="AO68" s="278"/>
      <c r="AP68" s="278"/>
      <c r="AQ68" s="2" t="s">
        <v>56</v>
      </c>
      <c r="AR68" s="278"/>
      <c r="AS68" s="278"/>
      <c r="AT68" s="2" t="s">
        <v>56</v>
      </c>
      <c r="AU68" s="278"/>
      <c r="AV68" s="278"/>
      <c r="AW68" s="2" t="s">
        <v>73</v>
      </c>
      <c r="AX68" s="278"/>
      <c r="AY68" s="278"/>
      <c r="AZ68" s="2" t="s">
        <v>304</v>
      </c>
      <c r="BA68" s="278"/>
      <c r="BB68" s="278"/>
      <c r="BC68" s="2" t="str">
        <f t="shared" si="17"/>
        <v>Complete</v>
      </c>
      <c r="BE68" s="119" t="str">
        <f t="shared" si="18"/>
        <v>READY</v>
      </c>
    </row>
    <row r="69" spans="1:58" x14ac:dyDescent="0.35">
      <c r="A69" s="2" t="str">
        <f>IFERROR(VLOOKUP(E69,'Customer '!$A$4:$D$23,3,FALSE),"")</f>
        <v>NON RH</v>
      </c>
      <c r="B69" s="2" t="s">
        <v>268</v>
      </c>
      <c r="C69" s="2" t="s">
        <v>290</v>
      </c>
      <c r="E69" s="2" t="s">
        <v>143</v>
      </c>
      <c r="F69" s="2" t="str">
        <f>IFERROR(VLOOKUP(E69,'Customer '!$A$4:$D$28,2,FALSE),"")</f>
        <v>MOHI</v>
      </c>
      <c r="G69" s="2" t="s">
        <v>144</v>
      </c>
      <c r="H6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2025-MOHI-MOHI APPELLATION</v>
      </c>
      <c r="I69" s="2">
        <f ca="1">IF(OR($H69="",$B69=""),0,--(COUNTIFS($H$3:$H69,$H69,$B$3:$B69,$B69)=1))</f>
        <v>0</v>
      </c>
      <c r="J69" s="2" t="s">
        <v>272</v>
      </c>
      <c r="K69" s="2" t="s">
        <v>273</v>
      </c>
      <c r="L69" s="2" t="s">
        <v>274</v>
      </c>
      <c r="M69" s="278">
        <v>45905</v>
      </c>
      <c r="N69" s="278">
        <v>45913</v>
      </c>
      <c r="O69" s="279">
        <v>46000</v>
      </c>
      <c r="P69" s="2" t="s">
        <v>51</v>
      </c>
      <c r="Q69" s="2" t="s">
        <v>152</v>
      </c>
      <c r="V69" s="276">
        <v>28</v>
      </c>
      <c r="X69" s="280">
        <v>357775</v>
      </c>
      <c r="Y69" s="280">
        <v>179389</v>
      </c>
      <c r="Z69" s="2" t="s">
        <v>280</v>
      </c>
      <c r="AA69" s="2" t="str">
        <f t="shared" si="0"/>
        <v>2026</v>
      </c>
      <c r="AB69" s="278" t="s">
        <v>292</v>
      </c>
      <c r="AC69" s="278"/>
      <c r="AD69" s="277">
        <v>46116</v>
      </c>
      <c r="AE69" s="278">
        <v>46116</v>
      </c>
      <c r="AF69" s="2" t="str">
        <f>IF(AD69="","",IF(ISNUMBER(AD69),IF(AND(AD69&gt;='2026 Calendar'!$C$4,AD69&lt;='2026 Calendar'!$E$107),LOOKUP(AD69,'2026 Calendar'!$C$4:$C$107,'2026 Calendar'!$A$4:$A$107),YEAR(AD69-WEEKDAY(AD69,2)+4)&amp;"/W"&amp;TEXT(WEEKNUM(AD69,21),"00")),IF(IFERROR(ISNUMBER(SEARCH("/W",AD69)),FALSE),IF(IFERROR(ISNUMBER(SEARCH("-",AD69)),FALSE),LEFT(AD69,SEARCH("-",AD69)-1),AD69),AD69)))</f>
        <v>2026/W14</v>
      </c>
      <c r="AG69" s="2" t="str">
        <f>IF(AE69="","",IF(ISNUMBER(AE69),IF(AND(AE69&gt;='2026 Calendar'!$C$4,AE69&lt;='2026 Calendar'!$E$107),LOOKUP(AE69,'2026 Calendar'!$C$4:$C$107,'2026 Calendar'!$A$4:$A$107),YEAR(AE69-WEEKDAY(AE69,2)+4)&amp;"/W"&amp;TEXT(WEEKNUM(AE69,21),"00")),IF(IFERROR(ISNUMBER(SEARCH("/W",AE69)),FALSE),IF(IFERROR(ISNUMBER(SEARCH("-",AE69)),FALSE),MID(AE69,SEARCH("-",AE69)+1,100),AE69),AE69)))</f>
        <v>2026/W14</v>
      </c>
      <c r="AH69" s="2" t="s">
        <v>56</v>
      </c>
      <c r="AI69" s="278"/>
      <c r="AJ69" s="278"/>
      <c r="AK69" s="2" t="s">
        <v>56</v>
      </c>
      <c r="AL69" s="278"/>
      <c r="AM69" s="278"/>
      <c r="AN69" s="2" t="s">
        <v>56</v>
      </c>
      <c r="AO69" s="278"/>
      <c r="AP69" s="278"/>
      <c r="AQ69" s="2" t="s">
        <v>56</v>
      </c>
      <c r="AR69" s="278"/>
      <c r="AS69" s="278"/>
      <c r="AT69" s="2" t="s">
        <v>56</v>
      </c>
      <c r="AU69" s="278"/>
      <c r="AV69" s="278"/>
      <c r="AW69" s="2" t="s">
        <v>73</v>
      </c>
      <c r="AX69" s="278"/>
      <c r="AY69" s="278"/>
      <c r="AZ69" s="2" t="s">
        <v>304</v>
      </c>
      <c r="BA69" s="278"/>
      <c r="BB69" s="278"/>
      <c r="BC69" s="2" t="str">
        <f t="shared" si="17"/>
        <v>Complete</v>
      </c>
      <c r="BE69" s="119" t="str">
        <f t="shared" si="18"/>
        <v>READY</v>
      </c>
    </row>
    <row r="70" spans="1:58" x14ac:dyDescent="0.35">
      <c r="A70" s="2" t="str">
        <f>IFERROR(VLOOKUP(E70,'Customer '!$A$4:$D$23,3,FALSE),"")</f>
        <v>NON RH</v>
      </c>
      <c r="B70" s="2" t="s">
        <v>268</v>
      </c>
      <c r="C70" s="2" t="s">
        <v>308</v>
      </c>
      <c r="D70" s="2" t="s">
        <v>353</v>
      </c>
      <c r="E70" s="2" t="s">
        <v>143</v>
      </c>
      <c r="F70" s="2" t="str">
        <f>IFERROR(VLOOKUP(E70,'Customer '!$A$4:$D$28,2,FALSE),"")</f>
        <v>MOHI</v>
      </c>
      <c r="G70" s="2" t="s">
        <v>144</v>
      </c>
      <c r="H7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2026-MOHI-MOHI APPELLATION</v>
      </c>
      <c r="I70" s="2">
        <f ca="1">IF(OR($H70="",$B70=""),0,--(COUNTIFS($H$3:$H70,$H70,$B$3:$B70,$B70)=1))</f>
        <v>1</v>
      </c>
      <c r="J70" s="2" t="s">
        <v>309</v>
      </c>
      <c r="K70" s="2" t="s">
        <v>273</v>
      </c>
      <c r="L70" s="2" t="s">
        <v>310</v>
      </c>
      <c r="M70" s="278">
        <v>46144</v>
      </c>
      <c r="N70" s="278">
        <v>46144</v>
      </c>
      <c r="O70" s="279"/>
      <c r="P70" s="2" t="s">
        <v>51</v>
      </c>
      <c r="Q70" s="2" t="s">
        <v>152</v>
      </c>
      <c r="R70" s="2">
        <v>0</v>
      </c>
      <c r="S70" s="2">
        <v>0</v>
      </c>
      <c r="V70" s="276">
        <v>13</v>
      </c>
      <c r="X70" s="280">
        <v>100242</v>
      </c>
      <c r="Y70" s="280">
        <v>49464</v>
      </c>
      <c r="Z70" s="2" t="s">
        <v>303</v>
      </c>
      <c r="AA70" s="2" t="str">
        <f t="shared" si="0"/>
        <v>2026</v>
      </c>
      <c r="AB70" s="278" t="s">
        <v>292</v>
      </c>
      <c r="AC70" s="278"/>
      <c r="AD70" s="277">
        <v>46290</v>
      </c>
      <c r="AE70" s="278">
        <v>46304</v>
      </c>
      <c r="AF70" s="2" t="str">
        <f>IF(AD70="","",IF(ISNUMBER(AD70),IF(AND(AD70&gt;='2026 Calendar'!$C$4,AD70&lt;='2026 Calendar'!$E$107),LOOKUP(AD70,'2026 Calendar'!$C$4:$C$107,'2026 Calendar'!$A$4:$A$107),YEAR(AD70-WEEKDAY(AD70,2)+4)&amp;"/W"&amp;TEXT(WEEKNUM(AD70,21),"00")),IF(IFERROR(ISNUMBER(SEARCH("/W",AD70)),FALSE),IF(IFERROR(ISNUMBER(SEARCH("-",AD70)),FALSE),LEFT(AD70,SEARCH("-",AD70)-1),AD70),AD70)))</f>
        <v>2026/W39</v>
      </c>
      <c r="AG70" s="2" t="str">
        <f>IF(AE70="","",IF(ISNUMBER(AE70),IF(AND(AE70&gt;='2026 Calendar'!$C$4,AE70&lt;='2026 Calendar'!$E$107),LOOKUP(AE70,'2026 Calendar'!$C$4:$C$107,'2026 Calendar'!$A$4:$A$107),YEAR(AE70-WEEKDAY(AE70,2)+4)&amp;"/W"&amp;TEXT(WEEKNUM(AE70,21),"00")),IF(IFERROR(ISNUMBER(SEARCH("/W",AE70)),FALSE),IF(IFERROR(ISNUMBER(SEARCH("-",AE70)),FALSE),MID(AE70,SEARCH("-",AE70)+1,100),AE70),AE70)))</f>
        <v>2026/W41</v>
      </c>
      <c r="AH70" s="2" t="s">
        <v>56</v>
      </c>
      <c r="AI70" s="278"/>
      <c r="AJ70" s="278">
        <v>46191</v>
      </c>
      <c r="AK70" s="2" t="s">
        <v>56</v>
      </c>
      <c r="AL70" s="278"/>
      <c r="AM70" s="278"/>
      <c r="AN70" s="2" t="s">
        <v>56</v>
      </c>
      <c r="AO70" s="278"/>
      <c r="AP70" s="278"/>
      <c r="AQ70" s="2" t="s">
        <v>56</v>
      </c>
      <c r="AR70" s="278"/>
      <c r="AS70" s="278"/>
      <c r="AT70" s="2" t="s">
        <v>73</v>
      </c>
      <c r="AU70" s="278"/>
      <c r="AV70" s="278"/>
      <c r="AW70" s="2" t="s">
        <v>73</v>
      </c>
      <c r="AX70" s="278"/>
      <c r="AY70" s="278"/>
      <c r="AZ70" s="2" t="s">
        <v>56</v>
      </c>
      <c r="BA70" s="278"/>
      <c r="BB70" s="278"/>
      <c r="BC70" s="2" t="str">
        <f t="shared" si="17"/>
        <v>Active</v>
      </c>
      <c r="BE70" s="119" t="str">
        <f t="shared" si="18"/>
        <v>NPI: All development items approved/closed for SW41</v>
      </c>
      <c r="BF70" s="2" t="s">
        <v>354</v>
      </c>
    </row>
    <row r="71" spans="1:58" x14ac:dyDescent="0.35">
      <c r="A71" s="2" t="str">
        <f>IFERROR(VLOOKUP(E71,'Customer '!$A$4:$D$23,3,FALSE),"")</f>
        <v>NON RH</v>
      </c>
      <c r="B71" s="2" t="s">
        <v>268</v>
      </c>
      <c r="C71" s="2" t="s">
        <v>308</v>
      </c>
      <c r="D71" s="2" t="s">
        <v>353</v>
      </c>
      <c r="E71" s="2" t="s">
        <v>143</v>
      </c>
      <c r="F71" s="2" t="str">
        <f>IFERROR(VLOOKUP(E71,'Customer '!$A$4:$D$28,2,FALSE),"")</f>
        <v>MOHI</v>
      </c>
      <c r="G71" s="2" t="s">
        <v>144</v>
      </c>
      <c r="H7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2026-MOHI-MOHI APPELLATION</v>
      </c>
      <c r="I71" s="2">
        <f ca="1">IF(OR($H71="",$B71=""),0,--(COUNTIFS($H$3:$H71,$H71,$B$3:$B71,$B71)=1))</f>
        <v>0</v>
      </c>
      <c r="J71" s="2" t="s">
        <v>309</v>
      </c>
      <c r="K71" s="2" t="s">
        <v>273</v>
      </c>
      <c r="L71" s="2" t="s">
        <v>310</v>
      </c>
      <c r="M71" s="278">
        <v>46144</v>
      </c>
      <c r="N71" s="278">
        <v>46144</v>
      </c>
      <c r="O71" s="279"/>
      <c r="P71" s="2" t="s">
        <v>51</v>
      </c>
      <c r="Q71" s="2" t="s">
        <v>152</v>
      </c>
      <c r="R71" s="2">
        <v>0</v>
      </c>
      <c r="S71" s="2">
        <v>0</v>
      </c>
      <c r="V71" s="276">
        <v>13</v>
      </c>
      <c r="X71" s="280">
        <v>100242</v>
      </c>
      <c r="Y71" s="280">
        <v>50779</v>
      </c>
      <c r="Z71" s="2" t="s">
        <v>303</v>
      </c>
      <c r="AA71" s="2" t="str">
        <f t="shared" si="0"/>
        <v>2026</v>
      </c>
      <c r="AB71" s="278" t="s">
        <v>292</v>
      </c>
      <c r="AC71" s="278"/>
      <c r="AD71" s="277">
        <v>46290</v>
      </c>
      <c r="AE71" s="278">
        <v>46304</v>
      </c>
      <c r="AF71" s="2" t="str">
        <f>IF(AD71="","",IF(ISNUMBER(AD71),IF(AND(AD71&gt;='2026 Calendar'!$C$4,AD71&lt;='2026 Calendar'!$E$107),LOOKUP(AD71,'2026 Calendar'!$C$4:$C$107,'2026 Calendar'!$A$4:$A$107),YEAR(AD71-WEEKDAY(AD71,2)+4)&amp;"/W"&amp;TEXT(WEEKNUM(AD71,21),"00")),IF(IFERROR(ISNUMBER(SEARCH("/W",AD71)),FALSE),IF(IFERROR(ISNUMBER(SEARCH("-",AD71)),FALSE),LEFT(AD71,SEARCH("-",AD71)-1),AD71),AD71)))</f>
        <v>2026/W39</v>
      </c>
      <c r="AG71" s="2" t="str">
        <f>IF(AE71="","",IF(ISNUMBER(AE71),IF(AND(AE71&gt;='2026 Calendar'!$C$4,AE71&lt;='2026 Calendar'!$E$107),LOOKUP(AE71,'2026 Calendar'!$C$4:$C$107,'2026 Calendar'!$A$4:$A$107),YEAR(AE71-WEEKDAY(AE71,2)+4)&amp;"/W"&amp;TEXT(WEEKNUM(AE71,21),"00")),IF(IFERROR(ISNUMBER(SEARCH("/W",AE71)),FALSE),IF(IFERROR(ISNUMBER(SEARCH("-",AE71)),FALSE),MID(AE71,SEARCH("-",AE71)+1,100),AE71),AE71)))</f>
        <v>2026/W41</v>
      </c>
      <c r="AH71" s="2" t="s">
        <v>56</v>
      </c>
      <c r="AI71" s="278"/>
      <c r="AJ71" s="278">
        <v>46191</v>
      </c>
      <c r="AK71" s="2" t="s">
        <v>56</v>
      </c>
      <c r="AL71" s="278"/>
      <c r="AM71" s="278"/>
      <c r="AN71" s="2" t="s">
        <v>56</v>
      </c>
      <c r="AO71" s="278"/>
      <c r="AP71" s="278"/>
      <c r="AQ71" s="2" t="s">
        <v>56</v>
      </c>
      <c r="AR71" s="278"/>
      <c r="AS71" s="278"/>
      <c r="AT71" s="2" t="s">
        <v>73</v>
      </c>
      <c r="AU71" s="278"/>
      <c r="AV71" s="278"/>
      <c r="AW71" s="2" t="s">
        <v>73</v>
      </c>
      <c r="AX71" s="278"/>
      <c r="AY71" s="278"/>
      <c r="AZ71" s="2" t="s">
        <v>56</v>
      </c>
      <c r="BA71" s="278"/>
      <c r="BB71" s="278"/>
      <c r="BC71" s="2" t="str">
        <f t="shared" si="17"/>
        <v>Active</v>
      </c>
      <c r="BE71" s="119" t="str">
        <f t="shared" si="18"/>
        <v>NPI: All development items approved/closed for SW41</v>
      </c>
      <c r="BF71" s="2" t="s">
        <v>354</v>
      </c>
    </row>
    <row r="72" spans="1:58" x14ac:dyDescent="0.35">
      <c r="A72" s="2" t="str">
        <f>IFERROR(VLOOKUP(E72,'Customer '!$A$4:$D$23,3,FALSE),"")</f>
        <v>NON RH</v>
      </c>
      <c r="B72" s="2" t="s">
        <v>268</v>
      </c>
      <c r="C72" s="2" t="s">
        <v>149</v>
      </c>
      <c r="E72" s="2" t="s">
        <v>82</v>
      </c>
      <c r="F72" s="2" t="str">
        <f>IFERROR(VLOOKUP(E72,'Customer '!$A$4:$D$28,2,FALSE),"")</f>
        <v>L&amp;S</v>
      </c>
      <c r="G72" s="2" t="s">
        <v>163</v>
      </c>
      <c r="H7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2025-L&amp;S-RITZ CARLTON COTTON BAY</v>
      </c>
      <c r="I72" s="2">
        <f ca="1">IF(OR($H72="",$B72=""),0,--(COUNTIFS($H$3:$H72,$H72,$B$3:$B72,$B72)=1))</f>
        <v>1</v>
      </c>
      <c r="J72" s="2" t="s">
        <v>284</v>
      </c>
      <c r="K72" s="2" t="s">
        <v>273</v>
      </c>
      <c r="L72" s="2" t="s">
        <v>327</v>
      </c>
      <c r="M72" s="278">
        <v>45758</v>
      </c>
      <c r="N72" s="278" t="s">
        <v>292</v>
      </c>
      <c r="O72" s="279"/>
      <c r="P72" s="2" t="s">
        <v>275</v>
      </c>
      <c r="Q72" s="2" t="s">
        <v>276</v>
      </c>
      <c r="R72" s="2">
        <v>0</v>
      </c>
      <c r="S72" s="2">
        <v>0</v>
      </c>
      <c r="V72" s="276">
        <v>117</v>
      </c>
      <c r="X72" s="280">
        <v>3134000</v>
      </c>
      <c r="Y72" s="280">
        <v>1044666.66666667</v>
      </c>
      <c r="Z72" s="2" t="s">
        <v>341</v>
      </c>
      <c r="AA72" s="2" t="str">
        <f t="shared" si="0"/>
        <v>2027</v>
      </c>
      <c r="AB72" s="278" t="s">
        <v>292</v>
      </c>
      <c r="AC72" s="278"/>
      <c r="AD72" s="277">
        <v>46116</v>
      </c>
      <c r="AE72" s="278">
        <v>46116</v>
      </c>
      <c r="AF72" s="2" t="str">
        <f>IF(AD72="","",IF(ISNUMBER(AD72),IF(AND(AD72&gt;='2026 Calendar'!$C$4,AD72&lt;='2026 Calendar'!$E$107),LOOKUP(AD72,'2026 Calendar'!$C$4:$C$107,'2026 Calendar'!$A$4:$A$107),YEAR(AD72-WEEKDAY(AD72,2)+4)&amp;"/W"&amp;TEXT(WEEKNUM(AD72,21),"00")),IF(IFERROR(ISNUMBER(SEARCH("/W",AD72)),FALSE),IF(IFERROR(ISNUMBER(SEARCH("-",AD72)),FALSE),LEFT(AD72,SEARCH("-",AD72)-1),AD72),AD72)))</f>
        <v>2026/W14</v>
      </c>
      <c r="AG72" s="2" t="str">
        <f>IF(AE72="","",IF(ISNUMBER(AE72),IF(AND(AE72&gt;='2026 Calendar'!$C$4,AE72&lt;='2026 Calendar'!$E$107),LOOKUP(AE72,'2026 Calendar'!$C$4:$C$107,'2026 Calendar'!$A$4:$A$107),YEAR(AE72-WEEKDAY(AE72,2)+4)&amp;"/W"&amp;TEXT(WEEKNUM(AE72,21),"00")),IF(IFERROR(ISNUMBER(SEARCH("/W",AE72)),FALSE),IF(IFERROR(ISNUMBER(SEARCH("-",AE72)),FALSE),MID(AE72,SEARCH("-",AE72)+1,100),AE72),AE72)))</f>
        <v>2026/W14</v>
      </c>
      <c r="AH72" s="2" t="s">
        <v>56</v>
      </c>
      <c r="AI72" s="278"/>
      <c r="AJ72" s="278"/>
      <c r="AK72" s="2" t="s">
        <v>56</v>
      </c>
      <c r="AL72" s="278"/>
      <c r="AM72" s="278"/>
      <c r="AO72" s="278"/>
      <c r="AP72" s="278"/>
      <c r="AR72" s="278"/>
      <c r="AS72" s="278"/>
      <c r="AU72" s="278"/>
      <c r="AV72" s="278"/>
      <c r="AX72" s="278"/>
      <c r="AY72" s="278"/>
      <c r="BA72" s="278"/>
      <c r="BB72" s="278"/>
      <c r="BC72" s="2" t="str">
        <f t="shared" si="17"/>
        <v>Active</v>
      </c>
      <c r="BE72" s="119" t="str">
        <f t="shared" si="18"/>
        <v>NPI: All development items approved/closed for SW14</v>
      </c>
    </row>
    <row r="73" spans="1:58" x14ac:dyDescent="0.35">
      <c r="A73" s="2" t="str">
        <f>IFERROR(VLOOKUP(E73,'Customer '!$A$4:$D$23,3,FALSE),"")</f>
        <v>NON RH</v>
      </c>
      <c r="B73" s="2" t="s">
        <v>268</v>
      </c>
      <c r="C73" s="2" t="s">
        <v>149</v>
      </c>
      <c r="E73" s="2" t="s">
        <v>82</v>
      </c>
      <c r="F73" s="2" t="str">
        <f>IFERROR(VLOOKUP(E73,'Customer '!$A$4:$D$28,2,FALSE),"")</f>
        <v>L&amp;S</v>
      </c>
      <c r="G73" s="2" t="s">
        <v>163</v>
      </c>
      <c r="H7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2025-L&amp;S-RITZ CARLTON COTTON BAY</v>
      </c>
      <c r="I73" s="2">
        <f ca="1">IF(OR($H73="",$B73=""),0,--(COUNTIFS($H$3:$H73,$H73,$B$3:$B73,$B73)=1))</f>
        <v>0</v>
      </c>
      <c r="J73" s="2" t="s">
        <v>284</v>
      </c>
      <c r="K73" s="2" t="s">
        <v>273</v>
      </c>
      <c r="L73" s="2" t="s">
        <v>327</v>
      </c>
      <c r="M73" s="278">
        <v>45758</v>
      </c>
      <c r="N73" s="278" t="s">
        <v>292</v>
      </c>
      <c r="O73" s="279"/>
      <c r="P73" s="2" t="s">
        <v>275</v>
      </c>
      <c r="Q73" s="2" t="s">
        <v>276</v>
      </c>
      <c r="R73" s="2">
        <v>0</v>
      </c>
      <c r="S73" s="2">
        <v>0</v>
      </c>
      <c r="V73" s="276">
        <v>117</v>
      </c>
      <c r="X73" s="280">
        <v>3134000</v>
      </c>
      <c r="Y73" s="280">
        <v>1044666.66666667</v>
      </c>
      <c r="Z73" s="2" t="s">
        <v>355</v>
      </c>
      <c r="AA73" s="2" t="str">
        <f t="shared" si="0"/>
        <v>2027</v>
      </c>
      <c r="AB73" s="278" t="s">
        <v>292</v>
      </c>
      <c r="AC73" s="278"/>
      <c r="AD73" s="277">
        <v>46116</v>
      </c>
      <c r="AE73" s="278">
        <v>46116</v>
      </c>
      <c r="AF73" s="2" t="str">
        <f>IF(AD73="","",IF(ISNUMBER(AD73),IF(AND(AD73&gt;='2026 Calendar'!$C$4,AD73&lt;='2026 Calendar'!$E$107),LOOKUP(AD73,'2026 Calendar'!$C$4:$C$107,'2026 Calendar'!$A$4:$A$107),YEAR(AD73-WEEKDAY(AD73,2)+4)&amp;"/W"&amp;TEXT(WEEKNUM(AD73,21),"00")),IF(IFERROR(ISNUMBER(SEARCH("/W",AD73)),FALSE),IF(IFERROR(ISNUMBER(SEARCH("-",AD73)),FALSE),LEFT(AD73,SEARCH("-",AD73)-1),AD73),AD73)))</f>
        <v>2026/W14</v>
      </c>
      <c r="AG73" s="2" t="str">
        <f>IF(AE73="","",IF(ISNUMBER(AE73),IF(AND(AE73&gt;='2026 Calendar'!$C$4,AE73&lt;='2026 Calendar'!$E$107),LOOKUP(AE73,'2026 Calendar'!$C$4:$C$107,'2026 Calendar'!$A$4:$A$107),YEAR(AE73-WEEKDAY(AE73,2)+4)&amp;"/W"&amp;TEXT(WEEKNUM(AE73,21),"00")),IF(IFERROR(ISNUMBER(SEARCH("/W",AE73)),FALSE),IF(IFERROR(ISNUMBER(SEARCH("-",AE73)),FALSE),MID(AE73,SEARCH("-",AE73)+1,100),AE73),AE73)))</f>
        <v>2026/W14</v>
      </c>
      <c r="AH73" s="2" t="s">
        <v>56</v>
      </c>
      <c r="AI73" s="278"/>
      <c r="AJ73" s="278"/>
      <c r="AK73" s="2" t="s">
        <v>56</v>
      </c>
      <c r="AL73" s="278"/>
      <c r="AM73" s="278"/>
      <c r="AO73" s="278"/>
      <c r="AP73" s="278"/>
      <c r="AR73" s="278"/>
      <c r="AS73" s="278"/>
      <c r="AU73" s="278"/>
      <c r="AV73" s="278"/>
      <c r="AX73" s="278"/>
      <c r="AY73" s="278"/>
      <c r="BA73" s="278"/>
      <c r="BB73" s="278"/>
      <c r="BC73" s="2" t="str">
        <f t="shared" si="17"/>
        <v>Active</v>
      </c>
      <c r="BE73" s="119" t="str">
        <f t="shared" si="18"/>
        <v>NPI: All development items approved/closed for SW14</v>
      </c>
    </row>
    <row r="74" spans="1:58" x14ac:dyDescent="0.35">
      <c r="A74" s="2" t="str">
        <f>IFERROR(VLOOKUP(E74,'Customer '!$A$4:$D$23,3,FALSE),"")</f>
        <v>NON RH</v>
      </c>
      <c r="B74" s="2" t="s">
        <v>268</v>
      </c>
      <c r="C74" s="2" t="s">
        <v>149</v>
      </c>
      <c r="E74" s="2" t="s">
        <v>82</v>
      </c>
      <c r="F74" s="2" t="str">
        <f>IFERROR(VLOOKUP(E74,'Customer '!$A$4:$D$28,2,FALSE),"")</f>
        <v>L&amp;S</v>
      </c>
      <c r="G74" s="2" t="s">
        <v>163</v>
      </c>
      <c r="H7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2025-L&amp;S-RITZ CARLTON COTTON BAY</v>
      </c>
      <c r="I74" s="2">
        <f ca="1">IF(OR($H74="",$B74=""),0,--(COUNTIFS($H$3:$H74,$H74,$B$3:$B74,$B74)=1))</f>
        <v>0</v>
      </c>
      <c r="J74" s="2" t="s">
        <v>284</v>
      </c>
      <c r="K74" s="2" t="s">
        <v>273</v>
      </c>
      <c r="L74" s="2" t="s">
        <v>327</v>
      </c>
      <c r="M74" s="278">
        <v>45758</v>
      </c>
      <c r="N74" s="278" t="s">
        <v>292</v>
      </c>
      <c r="O74" s="279"/>
      <c r="P74" s="2" t="s">
        <v>275</v>
      </c>
      <c r="Q74" s="2" t="s">
        <v>276</v>
      </c>
      <c r="R74" s="2">
        <v>0</v>
      </c>
      <c r="S74" s="2">
        <v>0</v>
      </c>
      <c r="V74" s="276">
        <v>117</v>
      </c>
      <c r="X74" s="280">
        <v>3134000</v>
      </c>
      <c r="Y74" s="280">
        <v>1044666.66666667</v>
      </c>
      <c r="Z74" s="2" t="s">
        <v>356</v>
      </c>
      <c r="AA74" s="2" t="str">
        <f t="shared" si="0"/>
        <v>2027</v>
      </c>
      <c r="AB74" s="278" t="s">
        <v>292</v>
      </c>
      <c r="AC74" s="278"/>
      <c r="AD74" s="277">
        <v>46116</v>
      </c>
      <c r="AE74" s="278">
        <v>46116</v>
      </c>
      <c r="AF74" s="2" t="str">
        <f>IF(AD74="","",IF(ISNUMBER(AD74),IF(AND(AD74&gt;='2026 Calendar'!$C$4,AD74&lt;='2026 Calendar'!$E$107),LOOKUP(AD74,'2026 Calendar'!$C$4:$C$107,'2026 Calendar'!$A$4:$A$107),YEAR(AD74-WEEKDAY(AD74,2)+4)&amp;"/W"&amp;TEXT(WEEKNUM(AD74,21),"00")),IF(IFERROR(ISNUMBER(SEARCH("/W",AD74)),FALSE),IF(IFERROR(ISNUMBER(SEARCH("-",AD74)),FALSE),LEFT(AD74,SEARCH("-",AD74)-1),AD74),AD74)))</f>
        <v>2026/W14</v>
      </c>
      <c r="AG74" s="2" t="str">
        <f>IF(AE74="","",IF(ISNUMBER(AE74),IF(AND(AE74&gt;='2026 Calendar'!$C$4,AE74&lt;='2026 Calendar'!$E$107),LOOKUP(AE74,'2026 Calendar'!$C$4:$C$107,'2026 Calendar'!$A$4:$A$107),YEAR(AE74-WEEKDAY(AE74,2)+4)&amp;"/W"&amp;TEXT(WEEKNUM(AE74,21),"00")),IF(IFERROR(ISNUMBER(SEARCH("/W",AE74)),FALSE),IF(IFERROR(ISNUMBER(SEARCH("-",AE74)),FALSE),MID(AE74,SEARCH("-",AE74)+1,100),AE74),AE74)))</f>
        <v>2026/W14</v>
      </c>
      <c r="AH74" s="2" t="s">
        <v>56</v>
      </c>
      <c r="AI74" s="278"/>
      <c r="AJ74" s="278"/>
      <c r="AK74" s="2" t="s">
        <v>56</v>
      </c>
      <c r="AL74" s="278"/>
      <c r="AM74" s="278"/>
      <c r="AO74" s="278"/>
      <c r="AP74" s="278"/>
      <c r="AR74" s="278"/>
      <c r="AS74" s="278"/>
      <c r="AU74" s="278"/>
      <c r="AV74" s="278"/>
      <c r="AX74" s="278"/>
      <c r="AY74" s="278"/>
      <c r="BA74" s="278"/>
      <c r="BB74" s="278"/>
      <c r="BC74" s="2" t="str">
        <f t="shared" si="17"/>
        <v>Active</v>
      </c>
      <c r="BE74" s="119" t="str">
        <f t="shared" si="18"/>
        <v>NPI: All development items approved/closed for SW14</v>
      </c>
    </row>
    <row r="75" spans="1:58" x14ac:dyDescent="0.35">
      <c r="A75" s="2" t="str">
        <f>IFERROR(VLOOKUP(E75,'Customer '!$A$4:$D$23,3,FALSE),"")</f>
        <v>NON RH</v>
      </c>
      <c r="B75" s="2" t="s">
        <v>268</v>
      </c>
      <c r="C75" s="2" t="s">
        <v>340</v>
      </c>
      <c r="E75" s="2" t="s">
        <v>168</v>
      </c>
      <c r="F75" s="2" t="str">
        <f>IFERROR(VLOOKUP(E75,'Customer '!$A$4:$D$28,2,FALSE),"")</f>
        <v>PLUS CORPORATION</v>
      </c>
      <c r="G75" s="2" t="s">
        <v>357</v>
      </c>
      <c r="H7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2025-PLUS CORPORATION-SOHO HOUSE TOKYO</v>
      </c>
      <c r="I75" s="2">
        <f ca="1">IF(OR($H75="",$B75=""),0,--(COUNTIFS($H$3:$H75,$H75,$B$3:$B75,$B75)=1))</f>
        <v>1</v>
      </c>
      <c r="J75" s="2" t="s">
        <v>272</v>
      </c>
      <c r="K75" s="2" t="s">
        <v>273</v>
      </c>
      <c r="L75" s="2" t="s">
        <v>274</v>
      </c>
      <c r="M75" s="278">
        <v>45948</v>
      </c>
      <c r="N75" s="278">
        <v>46087</v>
      </c>
      <c r="O75" s="279"/>
      <c r="P75" s="2" t="s">
        <v>170</v>
      </c>
      <c r="Q75" s="2" t="s">
        <v>358</v>
      </c>
      <c r="V75" s="276">
        <v>48</v>
      </c>
      <c r="X75" s="280">
        <v>24012</v>
      </c>
      <c r="Y75" s="280">
        <v>21344</v>
      </c>
      <c r="Z75" s="2" t="s">
        <v>321</v>
      </c>
      <c r="AA75" s="2" t="str">
        <f t="shared" si="0"/>
        <v>2026</v>
      </c>
      <c r="AB75" s="278">
        <v>46130</v>
      </c>
      <c r="AC75" s="278"/>
      <c r="AD75" s="277">
        <v>46116</v>
      </c>
      <c r="AE75" s="278">
        <v>46116</v>
      </c>
      <c r="AF75" s="2" t="str">
        <f>IF(AD75="","",IF(ISNUMBER(AD75),IF(AND(AD75&gt;='2026 Calendar'!$C$4,AD75&lt;='2026 Calendar'!$E$107),LOOKUP(AD75,'2026 Calendar'!$C$4:$C$107,'2026 Calendar'!$A$4:$A$107),YEAR(AD75-WEEKDAY(AD75,2)+4)&amp;"/W"&amp;TEXT(WEEKNUM(AD75,21),"00")),IF(IFERROR(ISNUMBER(SEARCH("/W",AD75)),FALSE),IF(IFERROR(ISNUMBER(SEARCH("-",AD75)),FALSE),LEFT(AD75,SEARCH("-",AD75)-1),AD75),AD75)))</f>
        <v>2026/W14</v>
      </c>
      <c r="AG75" s="2" t="str">
        <f>IF(AE75="","",IF(ISNUMBER(AE75),IF(AND(AE75&gt;='2026 Calendar'!$C$4,AE75&lt;='2026 Calendar'!$E$107),LOOKUP(AE75,'2026 Calendar'!$C$4:$C$107,'2026 Calendar'!$A$4:$A$107),YEAR(AE75-WEEKDAY(AE75,2)+4)&amp;"/W"&amp;TEXT(WEEKNUM(AE75,21),"00")),IF(IFERROR(ISNUMBER(SEARCH("/W",AE75)),FALSE),IF(IFERROR(ISNUMBER(SEARCH("-",AE75)),FALSE),MID(AE75,SEARCH("-",AE75)+1,100),AE75),AE75)))</f>
        <v>2026/W14</v>
      </c>
      <c r="AH75" s="2" t="s">
        <v>56</v>
      </c>
      <c r="AI75" s="278"/>
      <c r="AJ75" s="278">
        <v>45961</v>
      </c>
      <c r="AK75" s="2" t="s">
        <v>56</v>
      </c>
      <c r="AL75" s="278"/>
      <c r="AM75" s="278">
        <v>45986</v>
      </c>
      <c r="AN75" s="2" t="s">
        <v>56</v>
      </c>
      <c r="AO75" s="278"/>
      <c r="AP75" s="278">
        <v>45986</v>
      </c>
      <c r="AQ75" s="2" t="s">
        <v>56</v>
      </c>
      <c r="AR75" s="278"/>
      <c r="AS75" s="278">
        <v>45986</v>
      </c>
      <c r="AT75" s="2" t="s">
        <v>73</v>
      </c>
      <c r="AU75" s="278"/>
      <c r="AV75" s="278"/>
      <c r="AW75" s="2" t="s">
        <v>73</v>
      </c>
      <c r="AX75" s="278"/>
      <c r="AY75" s="278"/>
      <c r="AZ75" s="2" t="s">
        <v>359</v>
      </c>
      <c r="BA75" s="278"/>
      <c r="BB75" s="278"/>
      <c r="BC75" s="2" t="str">
        <f t="shared" si="17"/>
        <v>Complete</v>
      </c>
      <c r="BE75" s="119" t="str">
        <f t="shared" si="18"/>
        <v>READY</v>
      </c>
    </row>
    <row r="76" spans="1:58" x14ac:dyDescent="0.35">
      <c r="A76" s="2" t="str">
        <f>IFERROR(VLOOKUP(E76,'Customer '!$A$4:$D$23,3,FALSE),"")</f>
        <v>NON RH</v>
      </c>
      <c r="B76" s="2" t="s">
        <v>268</v>
      </c>
      <c r="C76" s="2" t="s">
        <v>340</v>
      </c>
      <c r="E76" s="2" t="s">
        <v>168</v>
      </c>
      <c r="F76" s="2" t="str">
        <f>IFERROR(VLOOKUP(E76,'Customer '!$A$4:$D$28,2,FALSE),"")</f>
        <v>PLUS CORPORATION</v>
      </c>
      <c r="G76" s="2" t="s">
        <v>357</v>
      </c>
      <c r="H7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2025-PLUS CORPORATION-SOHO HOUSE TOKYO</v>
      </c>
      <c r="I76" s="2">
        <f ca="1">IF(OR($H76="",$B76=""),0,--(COUNTIFS($H$3:$H76,$H76,$B$3:$B76,$B76)=1))</f>
        <v>0</v>
      </c>
      <c r="J76" s="2" t="s">
        <v>272</v>
      </c>
      <c r="K76" s="2" t="s">
        <v>291</v>
      </c>
      <c r="L76" s="2" t="s">
        <v>274</v>
      </c>
      <c r="M76" s="278">
        <v>45719</v>
      </c>
      <c r="N76" s="278">
        <v>46087</v>
      </c>
      <c r="O76" s="279"/>
      <c r="P76" s="2" t="s">
        <v>170</v>
      </c>
      <c r="Q76" s="2" t="s">
        <v>358</v>
      </c>
      <c r="V76" s="276">
        <v>48</v>
      </c>
      <c r="X76" s="280">
        <v>24012</v>
      </c>
      <c r="Y76" s="280">
        <v>2668</v>
      </c>
      <c r="Z76" s="2" t="s">
        <v>277</v>
      </c>
      <c r="AA76" s="2" t="str">
        <f t="shared" si="0"/>
        <v>2026</v>
      </c>
      <c r="AB76" s="278">
        <v>46130</v>
      </c>
      <c r="AC76" s="278"/>
      <c r="AD76" s="277">
        <v>46116</v>
      </c>
      <c r="AE76" s="278">
        <v>46116</v>
      </c>
      <c r="AF76" s="2" t="str">
        <f>IF(AD76="","",IF(ISNUMBER(AD76),IF(AND(AD76&gt;='2026 Calendar'!$C$4,AD76&lt;='2026 Calendar'!$E$107),LOOKUP(AD76,'2026 Calendar'!$C$4:$C$107,'2026 Calendar'!$A$4:$A$107),YEAR(AD76-WEEKDAY(AD76,2)+4)&amp;"/W"&amp;TEXT(WEEKNUM(AD76,21),"00")),IF(IFERROR(ISNUMBER(SEARCH("/W",AD76)),FALSE),IF(IFERROR(ISNUMBER(SEARCH("-",AD76)),FALSE),LEFT(AD76,SEARCH("-",AD76)-1),AD76),AD76)))</f>
        <v>2026/W14</v>
      </c>
      <c r="AG76" s="2" t="str">
        <f>IF(AE76="","",IF(ISNUMBER(AE76),IF(AND(AE76&gt;='2026 Calendar'!$C$4,AE76&lt;='2026 Calendar'!$E$107),LOOKUP(AE76,'2026 Calendar'!$C$4:$C$107,'2026 Calendar'!$A$4:$A$107),YEAR(AE76-WEEKDAY(AE76,2)+4)&amp;"/W"&amp;TEXT(WEEKNUM(AE76,21),"00")),IF(IFERROR(ISNUMBER(SEARCH("/W",AE76)),FALSE),IF(IFERROR(ISNUMBER(SEARCH("-",AE76)),FALSE),MID(AE76,SEARCH("-",AE76)+1,100),AE76),AE76)))</f>
        <v>2026/W14</v>
      </c>
      <c r="AH76" s="2" t="s">
        <v>56</v>
      </c>
      <c r="AI76" s="278"/>
      <c r="AJ76" s="278">
        <v>45961</v>
      </c>
      <c r="AK76" s="2" t="s">
        <v>73</v>
      </c>
      <c r="AL76" s="278"/>
      <c r="AM76" s="278">
        <v>45986</v>
      </c>
      <c r="AN76" s="2" t="s">
        <v>56</v>
      </c>
      <c r="AO76" s="278"/>
      <c r="AP76" s="278">
        <v>45986</v>
      </c>
      <c r="AQ76" s="2" t="s">
        <v>56</v>
      </c>
      <c r="AR76" s="278"/>
      <c r="AS76" s="278">
        <v>45986</v>
      </c>
      <c r="AT76" s="2" t="s">
        <v>73</v>
      </c>
      <c r="AU76" s="278"/>
      <c r="AV76" s="278"/>
      <c r="AW76" s="2" t="s">
        <v>73</v>
      </c>
      <c r="AX76" s="278"/>
      <c r="AY76" s="278"/>
      <c r="AZ76" s="2" t="s">
        <v>359</v>
      </c>
      <c r="BA76" s="278"/>
      <c r="BB76" s="278"/>
      <c r="BC76" s="2" t="str">
        <f t="shared" si="17"/>
        <v>Complete</v>
      </c>
      <c r="BE76" s="119" t="str">
        <f t="shared" si="18"/>
        <v>READY</v>
      </c>
    </row>
    <row r="77" spans="1:58" x14ac:dyDescent="0.35">
      <c r="A77" s="2" t="str">
        <f>IFERROR(VLOOKUP(E77,'Customer '!$A$4:$D$23,3,FALSE),"")</f>
        <v>NON RH</v>
      </c>
      <c r="B77" s="2" t="s">
        <v>268</v>
      </c>
      <c r="C77" s="2" t="s">
        <v>340</v>
      </c>
      <c r="E77" s="2" t="s">
        <v>176</v>
      </c>
      <c r="F77" s="2" t="str">
        <f>IFERROR(VLOOKUP(E77,'Customer '!$A$4:$D$28,2,FALSE),"")</f>
        <v>SPECTRUM</v>
      </c>
      <c r="G77" s="2" t="s">
        <v>360</v>
      </c>
      <c r="H7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2026-SPECTRUM-1122 MADISON </v>
      </c>
      <c r="I77" s="2">
        <f ca="1">IF(OR($H77="",$B77=""),0,--(COUNTIFS($H$3:$H77,$H77,$B$3:$B77,$B77)=1))</f>
        <v>1</v>
      </c>
      <c r="J77" s="2" t="s">
        <v>272</v>
      </c>
      <c r="K77" s="2" t="s">
        <v>273</v>
      </c>
      <c r="L77" s="2" t="s">
        <v>274</v>
      </c>
      <c r="M77" s="278">
        <v>46092</v>
      </c>
      <c r="N77" s="278">
        <v>46094</v>
      </c>
      <c r="O77" s="279">
        <v>46114</v>
      </c>
      <c r="P77" s="2" t="s">
        <v>51</v>
      </c>
      <c r="Q77" s="2" t="s">
        <v>325</v>
      </c>
      <c r="V77" s="276">
        <v>20</v>
      </c>
      <c r="X77" s="280">
        <v>93065.64</v>
      </c>
      <c r="Y77" s="280">
        <v>80755</v>
      </c>
      <c r="Z77" s="2" t="s">
        <v>281</v>
      </c>
      <c r="AA77" s="2" t="str">
        <f t="shared" si="0"/>
        <v>2026</v>
      </c>
      <c r="AB77" s="278">
        <v>46199</v>
      </c>
      <c r="AC77" s="278"/>
      <c r="AD77" s="277">
        <v>46116</v>
      </c>
      <c r="AE77" s="278">
        <v>46116</v>
      </c>
      <c r="AF77" s="2" t="str">
        <f>IF(AD77="","",IF(ISNUMBER(AD77),IF(AND(AD77&gt;='2026 Calendar'!$C$4,AD77&lt;='2026 Calendar'!$E$107),LOOKUP(AD77,'2026 Calendar'!$C$4:$C$107,'2026 Calendar'!$A$4:$A$107),YEAR(AD77-WEEKDAY(AD77,2)+4)&amp;"/W"&amp;TEXT(WEEKNUM(AD77,21),"00")),IF(IFERROR(ISNUMBER(SEARCH("/W",AD77)),FALSE),IF(IFERROR(ISNUMBER(SEARCH("-",AD77)),FALSE),LEFT(AD77,SEARCH("-",AD77)-1),AD77),AD77)))</f>
        <v>2026/W14</v>
      </c>
      <c r="AG77" s="2" t="str">
        <f>IF(AE77="","",IF(ISNUMBER(AE77),IF(AND(AE77&gt;='2026 Calendar'!$C$4,AE77&lt;='2026 Calendar'!$E$107),LOOKUP(AE77,'2026 Calendar'!$C$4:$C$107,'2026 Calendar'!$A$4:$A$107),YEAR(AE77-WEEKDAY(AE77,2)+4)&amp;"/W"&amp;TEXT(WEEKNUM(AE77,21),"00")),IF(IFERROR(ISNUMBER(SEARCH("/W",AE77)),FALSE),IF(IFERROR(ISNUMBER(SEARCH("-",AE77)),FALSE),MID(AE77,SEARCH("-",AE77)+1,100),AE77),AE77)))</f>
        <v>2026/W14</v>
      </c>
      <c r="AH77" s="2" t="s">
        <v>56</v>
      </c>
      <c r="AI77" s="278"/>
      <c r="AJ77" s="278">
        <v>46116</v>
      </c>
      <c r="AK77" s="2" t="s">
        <v>56</v>
      </c>
      <c r="AL77" s="278"/>
      <c r="AM77" s="278">
        <v>46181</v>
      </c>
      <c r="AN77" s="2" t="s">
        <v>73</v>
      </c>
      <c r="AO77" s="278"/>
      <c r="AP77" s="278"/>
      <c r="AQ77" s="2" t="s">
        <v>56</v>
      </c>
      <c r="AR77" s="278"/>
      <c r="AS77" s="278">
        <v>46169</v>
      </c>
      <c r="AT77" s="2" t="s">
        <v>56</v>
      </c>
      <c r="AU77" s="278"/>
      <c r="AV77" s="278">
        <v>46094</v>
      </c>
      <c r="AW77" s="2" t="s">
        <v>73</v>
      </c>
      <c r="AX77" s="278"/>
      <c r="AY77" s="278"/>
      <c r="AZ77" s="2" t="s">
        <v>73</v>
      </c>
      <c r="BA77" s="278"/>
      <c r="BB77" s="278"/>
      <c r="BC77" s="2" t="str">
        <f t="shared" si="17"/>
        <v>Complete</v>
      </c>
      <c r="BE77" s="119" t="str">
        <f t="shared" si="18"/>
        <v>READY</v>
      </c>
    </row>
    <row r="78" spans="1:58" x14ac:dyDescent="0.35">
      <c r="A78" s="2" t="str">
        <f>IFERROR(VLOOKUP(E78,'Customer '!$A$4:$D$23,3,FALSE),"")</f>
        <v>NON RH</v>
      </c>
      <c r="B78" s="2" t="s">
        <v>268</v>
      </c>
      <c r="C78" s="2" t="s">
        <v>340</v>
      </c>
      <c r="E78" s="2" t="s">
        <v>176</v>
      </c>
      <c r="F78" s="2" t="str">
        <f>IFERROR(VLOOKUP(E78,'Customer '!$A$4:$D$28,2,FALSE),"")</f>
        <v>SPECTRUM</v>
      </c>
      <c r="G78" s="2" t="s">
        <v>360</v>
      </c>
      <c r="H7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2026-SPECTRUM-1122 MADISON </v>
      </c>
      <c r="I78" s="2">
        <f ca="1">IF(OR($H78="",$B78=""),0,--(COUNTIFS($H$3:$H78,$H78,$B$3:$B78,$B78)=1))</f>
        <v>0</v>
      </c>
      <c r="J78" s="2" t="s">
        <v>272</v>
      </c>
      <c r="K78" s="2" t="s">
        <v>273</v>
      </c>
      <c r="L78" s="2" t="s">
        <v>274</v>
      </c>
      <c r="M78" s="278">
        <v>46092</v>
      </c>
      <c r="N78" s="278">
        <v>46094</v>
      </c>
      <c r="O78" s="279">
        <v>46114</v>
      </c>
      <c r="P78" s="2" t="s">
        <v>51</v>
      </c>
      <c r="Q78" s="2" t="s">
        <v>325</v>
      </c>
      <c r="V78" s="276">
        <v>20</v>
      </c>
      <c r="X78" s="280">
        <v>93065.64</v>
      </c>
      <c r="Y78" s="280">
        <v>12310</v>
      </c>
      <c r="Z78" s="2" t="s">
        <v>281</v>
      </c>
      <c r="AA78" s="2" t="str">
        <f t="shared" si="0"/>
        <v>2026</v>
      </c>
      <c r="AB78" s="278">
        <v>46199</v>
      </c>
      <c r="AC78" s="278"/>
      <c r="AD78" s="277">
        <v>46116</v>
      </c>
      <c r="AE78" s="278">
        <v>46116</v>
      </c>
      <c r="AF78" s="2" t="str">
        <f>IF(AD78="","",IF(ISNUMBER(AD78),IF(AND(AD78&gt;='2026 Calendar'!$C$4,AD78&lt;='2026 Calendar'!$E$107),LOOKUP(AD78,'2026 Calendar'!$C$4:$C$107,'2026 Calendar'!$A$4:$A$107),YEAR(AD78-WEEKDAY(AD78,2)+4)&amp;"/W"&amp;TEXT(WEEKNUM(AD78,21),"00")),IF(IFERROR(ISNUMBER(SEARCH("/W",AD78)),FALSE),IF(IFERROR(ISNUMBER(SEARCH("-",AD78)),FALSE),LEFT(AD78,SEARCH("-",AD78)-1),AD78),AD78)))</f>
        <v>2026/W14</v>
      </c>
      <c r="AG78" s="2" t="str">
        <f>IF(AE78="","",IF(ISNUMBER(AE78),IF(AND(AE78&gt;='2026 Calendar'!$C$4,AE78&lt;='2026 Calendar'!$E$107),LOOKUP(AE78,'2026 Calendar'!$C$4:$C$107,'2026 Calendar'!$A$4:$A$107),YEAR(AE78-WEEKDAY(AE78,2)+4)&amp;"/W"&amp;TEXT(WEEKNUM(AE78,21),"00")),IF(IFERROR(ISNUMBER(SEARCH("/W",AE78)),FALSE),IF(IFERROR(ISNUMBER(SEARCH("-",AE78)),FALSE),MID(AE78,SEARCH("-",AE78)+1,100),AE78),AE78)))</f>
        <v>2026/W14</v>
      </c>
      <c r="AH78" s="2" t="s">
        <v>56</v>
      </c>
      <c r="AI78" s="278"/>
      <c r="AJ78" s="278">
        <v>46116</v>
      </c>
      <c r="AK78" s="2" t="s">
        <v>56</v>
      </c>
      <c r="AL78" s="278"/>
      <c r="AM78" s="278">
        <v>46181</v>
      </c>
      <c r="AN78" s="2" t="s">
        <v>73</v>
      </c>
      <c r="AO78" s="278"/>
      <c r="AP78" s="278"/>
      <c r="AQ78" s="2" t="s">
        <v>56</v>
      </c>
      <c r="AR78" s="278"/>
      <c r="AS78" s="278">
        <v>46169</v>
      </c>
      <c r="AT78" s="2" t="s">
        <v>56</v>
      </c>
      <c r="AU78" s="278"/>
      <c r="AV78" s="278">
        <v>46094</v>
      </c>
      <c r="AW78" s="2" t="s">
        <v>73</v>
      </c>
      <c r="AX78" s="278"/>
      <c r="AY78" s="278"/>
      <c r="AZ78" s="2" t="s">
        <v>73</v>
      </c>
      <c r="BA78" s="278"/>
      <c r="BB78" s="278"/>
      <c r="BC78" s="2" t="str">
        <f t="shared" si="17"/>
        <v>Complete</v>
      </c>
      <c r="BE78" s="119" t="str">
        <f t="shared" si="18"/>
        <v>READY</v>
      </c>
    </row>
    <row r="79" spans="1:58" x14ac:dyDescent="0.35">
      <c r="A79" s="2" t="str">
        <f>IFERROR(VLOOKUP(E79,'Customer '!$A$4:$D$23,3,FALSE),"")</f>
        <v>LOCAL</v>
      </c>
      <c r="B79" s="2" t="s">
        <v>268</v>
      </c>
      <c r="C79" s="2" t="s">
        <v>340</v>
      </c>
      <c r="E79" s="2" t="s">
        <v>361</v>
      </c>
      <c r="F79" s="2" t="str">
        <f>IFERROR(VLOOKUP(E79,'Customer '!$A$4:$D$28,2,FALSE),"")</f>
        <v>RSC</v>
      </c>
      <c r="G79" s="2" t="s">
        <v>181</v>
      </c>
      <c r="H7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2026-RSC-THẢO ĐIỀN OFFICE</v>
      </c>
      <c r="I79" s="2">
        <f ca="1">IF(OR($H79="",$B79=""),0,--(COUNTIFS($H$3:$H79,$H79,$B$3:$B79,$B79)=1))</f>
        <v>1</v>
      </c>
      <c r="J79" s="2" t="s">
        <v>272</v>
      </c>
      <c r="K79" s="2" t="s">
        <v>273</v>
      </c>
      <c r="L79" s="2" t="s">
        <v>274</v>
      </c>
      <c r="M79" s="278"/>
      <c r="N79" s="278" t="s">
        <v>292</v>
      </c>
      <c r="O79" s="279"/>
      <c r="P79" s="2" t="s">
        <v>182</v>
      </c>
      <c r="Q79" s="2" t="s">
        <v>362</v>
      </c>
      <c r="V79" s="276">
        <v>7</v>
      </c>
      <c r="X79" s="280">
        <v>10003.5</v>
      </c>
      <c r="Y79" s="280">
        <v>10003.5</v>
      </c>
      <c r="Z79" s="2" t="s">
        <v>321</v>
      </c>
      <c r="AA79" s="2" t="str">
        <f t="shared" ref="AA79:AA148" si="19">IF(Z79="","",IF(OR(Z79="TBC",Z79="Removed"),Z79,LEFT(Z79,4)))</f>
        <v>2026</v>
      </c>
      <c r="AB79" s="278">
        <v>46115</v>
      </c>
      <c r="AC79" s="278"/>
      <c r="AD79" s="277">
        <v>46116</v>
      </c>
      <c r="AE79" s="278">
        <v>46116</v>
      </c>
      <c r="AF79" s="2" t="str">
        <f>IF(AD79="","",IF(ISNUMBER(AD79),IF(AND(AD79&gt;='2026 Calendar'!$C$4,AD79&lt;='2026 Calendar'!$E$107),LOOKUP(AD79,'2026 Calendar'!$C$4:$C$107,'2026 Calendar'!$A$4:$A$107),YEAR(AD79-WEEKDAY(AD79,2)+4)&amp;"/W"&amp;TEXT(WEEKNUM(AD79,21),"00")),IF(IFERROR(ISNUMBER(SEARCH("/W",AD79)),FALSE),IF(IFERROR(ISNUMBER(SEARCH("-",AD79)),FALSE),LEFT(AD79,SEARCH("-",AD79)-1),AD79),AD79)))</f>
        <v>2026/W14</v>
      </c>
      <c r="AG79" s="2" t="str">
        <f>IF(AE79="","",IF(ISNUMBER(AE79),IF(AND(AE79&gt;='2026 Calendar'!$C$4,AE79&lt;='2026 Calendar'!$E$107),LOOKUP(AE79,'2026 Calendar'!$C$4:$C$107,'2026 Calendar'!$A$4:$A$107),YEAR(AE79-WEEKDAY(AE79,2)+4)&amp;"/W"&amp;TEXT(WEEKNUM(AE79,21),"00")),IF(IFERROR(ISNUMBER(SEARCH("/W",AE79)),FALSE),IF(IFERROR(ISNUMBER(SEARCH("-",AE79)),FALSE),MID(AE79,SEARCH("-",AE79)+1,100),AE79),AE79)))</f>
        <v>2026/W14</v>
      </c>
      <c r="AH79" s="2" t="s">
        <v>56</v>
      </c>
      <c r="AI79" s="278"/>
      <c r="AJ79" s="278">
        <v>46037</v>
      </c>
      <c r="AK79" s="2" t="s">
        <v>56</v>
      </c>
      <c r="AL79" s="278"/>
      <c r="AM79" s="278">
        <v>46037</v>
      </c>
      <c r="AO79" s="278"/>
      <c r="AP79" s="278" t="s">
        <v>56</v>
      </c>
      <c r="AQ79" s="2">
        <v>46037</v>
      </c>
      <c r="AR79" s="278"/>
      <c r="AS79" s="278" t="s">
        <v>56</v>
      </c>
      <c r="AT79" s="2">
        <v>46037</v>
      </c>
      <c r="AU79" s="278"/>
      <c r="AV79" s="278"/>
      <c r="AW79" s="2" t="s">
        <v>73</v>
      </c>
      <c r="AX79" s="278"/>
      <c r="AY79" s="278"/>
      <c r="AZ79" s="2" t="s">
        <v>73</v>
      </c>
      <c r="BA79" s="278"/>
      <c r="BB79" s="278"/>
      <c r="BC79" s="2" t="str">
        <f t="shared" si="17"/>
        <v>Complete</v>
      </c>
      <c r="BE79" s="119" t="str">
        <f t="shared" si="18"/>
        <v>READY</v>
      </c>
    </row>
    <row r="80" spans="1:58" x14ac:dyDescent="0.35">
      <c r="A80" s="2" t="str">
        <f>IFERROR(VLOOKUP(E80,'Customer '!$A$4:$D$23,3,FALSE),"")</f>
        <v>NON RH</v>
      </c>
      <c r="B80" s="2" t="s">
        <v>268</v>
      </c>
      <c r="C80" s="2" t="s">
        <v>324</v>
      </c>
      <c r="E80" s="2" t="s">
        <v>196</v>
      </c>
      <c r="F80" s="2" t="str">
        <f>IFERROR(VLOOKUP(E80,'Customer '!$A$4:$D$28,2,FALSE),"")</f>
        <v>TRIMA</v>
      </c>
      <c r="G80" s="2" t="s">
        <v>197</v>
      </c>
      <c r="H8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2026-TRIMA-JRH</v>
      </c>
      <c r="I80" s="2">
        <f ca="1">IF(OR($H80="",$B80=""),0,--(COUNTIFS($H$3:$H80,$H80,$B$3:$B80,$B80)=1))</f>
        <v>1</v>
      </c>
      <c r="J80" s="2" t="s">
        <v>272</v>
      </c>
      <c r="K80" s="2" t="s">
        <v>273</v>
      </c>
      <c r="L80" s="2" t="s">
        <v>274</v>
      </c>
      <c r="M80" s="278">
        <v>46084</v>
      </c>
      <c r="N80" s="278">
        <v>46090</v>
      </c>
      <c r="O80" s="279"/>
      <c r="P80" s="2" t="s">
        <v>198</v>
      </c>
      <c r="Q80" s="2" t="s">
        <v>363</v>
      </c>
      <c r="V80" s="276">
        <v>4</v>
      </c>
      <c r="X80" s="280">
        <v>1022211</v>
      </c>
      <c r="Y80" s="280">
        <v>525145.19999999995</v>
      </c>
      <c r="Z80" s="2" t="s">
        <v>281</v>
      </c>
      <c r="AA80" s="2" t="str">
        <f t="shared" si="19"/>
        <v>2026</v>
      </c>
      <c r="AB80" s="278">
        <v>46234</v>
      </c>
      <c r="AC80" s="278">
        <v>46265</v>
      </c>
      <c r="AD80" s="277">
        <v>46216</v>
      </c>
      <c r="AE80" s="277">
        <v>46269</v>
      </c>
      <c r="AF80" s="2" t="str">
        <f>IF(AD80="","",IF(ISNUMBER(AD80),IF(AND(AD80&gt;='2026 Calendar'!$C$4,AD80&lt;='2026 Calendar'!$E$107),LOOKUP(AD80,'2026 Calendar'!$C$4:$C$107,'2026 Calendar'!$A$4:$A$107),YEAR(AD80-WEEKDAY(AD80,2)+4)&amp;"/W"&amp;TEXT(WEEKNUM(AD80,21),"00")),IF(IFERROR(ISNUMBER(SEARCH("/W",AD80)),FALSE),IF(IFERROR(ISNUMBER(SEARCH("-",AD80)),FALSE),LEFT(AD80,SEARCH("-",AD80)-1),AD80),AD80)))</f>
        <v>2026/W29</v>
      </c>
      <c r="AG80" s="2" t="str">
        <f>IF(AE80="","",IF(ISNUMBER(AE80),IF(AND(AE80&gt;='2026 Calendar'!$C$4,AE80&lt;='2026 Calendar'!$E$107),LOOKUP(AE80,'2026 Calendar'!$C$4:$C$107,'2026 Calendar'!$A$4:$A$107),YEAR(AE80-WEEKDAY(AE80,2)+4)&amp;"/W"&amp;TEXT(WEEKNUM(AE80,21),"00")),IF(IFERROR(ISNUMBER(SEARCH("/W",AE80)),FALSE),IF(IFERROR(ISNUMBER(SEARCH("-",AE80)),FALSE),MID(AE80,SEARCH("-",AE80)+1,100),AE80),AE80)))</f>
        <v>2026/W36</v>
      </c>
      <c r="AH80" s="2" t="s">
        <v>56</v>
      </c>
      <c r="AI80" s="278"/>
      <c r="AJ80" s="278">
        <v>46164</v>
      </c>
      <c r="AK80" s="2" t="s">
        <v>56</v>
      </c>
      <c r="AL80" s="278"/>
      <c r="AM80" s="278"/>
      <c r="AN80" s="2" t="s">
        <v>73</v>
      </c>
      <c r="AO80" s="278"/>
      <c r="AP80" s="278"/>
      <c r="AQ80" s="2" t="s">
        <v>56</v>
      </c>
      <c r="AR80" s="278"/>
      <c r="AS80" s="278"/>
      <c r="AT80" s="2" t="s">
        <v>73</v>
      </c>
      <c r="AU80" s="278"/>
      <c r="AV80" s="278"/>
      <c r="AW80" s="2" t="s">
        <v>73</v>
      </c>
      <c r="AX80" s="278"/>
      <c r="AY80" s="278"/>
      <c r="AZ80" s="2" t="s">
        <v>331</v>
      </c>
      <c r="BA80" s="278"/>
      <c r="BB80" s="278">
        <v>46178</v>
      </c>
      <c r="BC80" s="2" t="str">
        <f t="shared" si="17"/>
        <v>Complete</v>
      </c>
      <c r="BE80" s="119" t="str">
        <f t="shared" si="18"/>
        <v>READY</v>
      </c>
    </row>
    <row r="81" spans="1:58" x14ac:dyDescent="0.35">
      <c r="A81" s="2" t="str">
        <f>IFERROR(VLOOKUP(E81,'Customer '!$A$4:$D$23,3,FALSE),"")</f>
        <v>NON RH</v>
      </c>
      <c r="B81" s="2" t="s">
        <v>268</v>
      </c>
      <c r="C81" s="2" t="s">
        <v>324</v>
      </c>
      <c r="E81" s="2" t="s">
        <v>196</v>
      </c>
      <c r="F81" s="2" t="str">
        <f>IFERROR(VLOOKUP(E81,'Customer '!$A$4:$D$28,2,FALSE),"")</f>
        <v>TRIMA</v>
      </c>
      <c r="G81" s="2" t="s">
        <v>197</v>
      </c>
      <c r="H8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2026-TRIMA-JRH</v>
      </c>
      <c r="I81" s="2">
        <f ca="1">IF(OR($H81="",$B81=""),0,--(COUNTIFS($H$3:$H81,$H81,$B$3:$B81,$B81)=1))</f>
        <v>0</v>
      </c>
      <c r="J81" s="2" t="s">
        <v>272</v>
      </c>
      <c r="K81" s="2" t="s">
        <v>273</v>
      </c>
      <c r="L81" s="2" t="s">
        <v>274</v>
      </c>
      <c r="M81" s="278">
        <v>46084</v>
      </c>
      <c r="N81" s="278">
        <v>46090</v>
      </c>
      <c r="O81" s="279"/>
      <c r="P81" s="2" t="s">
        <v>198</v>
      </c>
      <c r="Q81" s="2" t="s">
        <v>363</v>
      </c>
      <c r="V81" s="276">
        <v>4</v>
      </c>
      <c r="X81" s="280">
        <v>1022211</v>
      </c>
      <c r="Y81" s="280">
        <v>471952.96</v>
      </c>
      <c r="Z81" s="2" t="s">
        <v>282</v>
      </c>
      <c r="AA81" s="2" t="str">
        <f t="shared" ref="AA81" si="20">IF(Z81="","",IF(OR(Z81="TBC",Z81="Removed"),Z81,LEFT(Z81,4)))</f>
        <v>2026</v>
      </c>
      <c r="AB81" s="278">
        <v>46234</v>
      </c>
      <c r="AC81" s="278">
        <v>46265</v>
      </c>
      <c r="AD81" s="277">
        <v>46216</v>
      </c>
      <c r="AE81" s="277">
        <v>46269</v>
      </c>
      <c r="AF81" s="2" t="str">
        <f>IF(AD81="","",IF(ISNUMBER(AD81),IF(AND(AD81&gt;='2026 Calendar'!$C$4,AD81&lt;='2026 Calendar'!$E$107),LOOKUP(AD81,'2026 Calendar'!$C$4:$C$107,'2026 Calendar'!$A$4:$A$107),YEAR(AD81-WEEKDAY(AD81,2)+4)&amp;"/W"&amp;TEXT(WEEKNUM(AD81,21),"00")),IF(IFERROR(ISNUMBER(SEARCH("/W",AD81)),FALSE),IF(IFERROR(ISNUMBER(SEARCH("-",AD81)),FALSE),LEFT(AD81,SEARCH("-",AD81)-1),AD81),AD81)))</f>
        <v>2026/W29</v>
      </c>
      <c r="AG81" s="2" t="str">
        <f>IF(AE81="","",IF(ISNUMBER(AE81),IF(AND(AE81&gt;='2026 Calendar'!$C$4,AE81&lt;='2026 Calendar'!$E$107),LOOKUP(AE81,'2026 Calendar'!$C$4:$C$107,'2026 Calendar'!$A$4:$A$107),YEAR(AE81-WEEKDAY(AE81,2)+4)&amp;"/W"&amp;TEXT(WEEKNUM(AE81,21),"00")),IF(IFERROR(ISNUMBER(SEARCH("/W",AE81)),FALSE),IF(IFERROR(ISNUMBER(SEARCH("-",AE81)),FALSE),MID(AE81,SEARCH("-",AE81)+1,100),AE81),AE81)))</f>
        <v>2026/W36</v>
      </c>
      <c r="AH81" s="2" t="s">
        <v>56</v>
      </c>
      <c r="AI81" s="278"/>
      <c r="AJ81" s="278">
        <v>46164</v>
      </c>
      <c r="AK81" s="2" t="s">
        <v>56</v>
      </c>
      <c r="AL81" s="278"/>
      <c r="AM81" s="278"/>
      <c r="AN81" s="2" t="s">
        <v>73</v>
      </c>
      <c r="AO81" s="278"/>
      <c r="AP81" s="278"/>
      <c r="AQ81" s="2" t="s">
        <v>56</v>
      </c>
      <c r="AR81" s="278"/>
      <c r="AS81" s="278"/>
      <c r="AT81" s="2" t="s">
        <v>73</v>
      </c>
      <c r="AU81" s="278"/>
      <c r="AV81" s="278"/>
      <c r="AW81" s="2" t="s">
        <v>73</v>
      </c>
      <c r="AX81" s="278"/>
      <c r="AY81" s="278"/>
      <c r="AZ81" s="2" t="s">
        <v>331</v>
      </c>
      <c r="BA81" s="278"/>
      <c r="BB81" s="278">
        <v>46178</v>
      </c>
      <c r="BC81" s="2" t="str">
        <f t="shared" si="17"/>
        <v>Complete</v>
      </c>
      <c r="BE81" s="119" t="str">
        <f t="shared" si="18"/>
        <v>READY</v>
      </c>
    </row>
    <row r="82" spans="1:58" x14ac:dyDescent="0.35">
      <c r="A82" s="2" t="str">
        <f>IFERROR(VLOOKUP(E82,'Customer '!$A$4:$D$23,3,FALSE),"")</f>
        <v>NON RH</v>
      </c>
      <c r="B82" s="2" t="s">
        <v>268</v>
      </c>
      <c r="C82" s="2" t="s">
        <v>324</v>
      </c>
      <c r="E82" s="2" t="s">
        <v>196</v>
      </c>
      <c r="F82" s="2" t="str">
        <f>IFERROR(VLOOKUP(E82,'Customer '!$A$4:$D$28,2,FALSE),"")</f>
        <v>TRIMA</v>
      </c>
      <c r="G82" s="2" t="s">
        <v>197</v>
      </c>
      <c r="H8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2026-TRIMA-JRH</v>
      </c>
      <c r="I82" s="2">
        <f ca="1">IF(OR($H82="",$B82=""),0,--(COUNTIFS($H$3:$H82,$H82,$B$3:$B82,$B82)=1))</f>
        <v>0</v>
      </c>
      <c r="J82" s="2" t="s">
        <v>272</v>
      </c>
      <c r="K82" s="2" t="s">
        <v>273</v>
      </c>
      <c r="L82" s="2" t="s">
        <v>364</v>
      </c>
      <c r="M82" s="278">
        <v>46084</v>
      </c>
      <c r="N82" s="278">
        <v>46090</v>
      </c>
      <c r="O82" s="279"/>
      <c r="P82" s="2" t="s">
        <v>198</v>
      </c>
      <c r="Q82" s="2" t="s">
        <v>363</v>
      </c>
      <c r="R82" s="2">
        <v>0</v>
      </c>
      <c r="S82" s="2">
        <v>0</v>
      </c>
      <c r="V82" s="276">
        <v>4</v>
      </c>
      <c r="X82" s="280">
        <v>1022211</v>
      </c>
      <c r="Y82" s="280">
        <v>38212.51</v>
      </c>
      <c r="Z82" s="2" t="s">
        <v>297</v>
      </c>
      <c r="AA82" s="2" t="str">
        <f t="shared" si="19"/>
        <v>2026</v>
      </c>
      <c r="AB82" s="278">
        <v>46234</v>
      </c>
      <c r="AC82" s="278">
        <v>46265</v>
      </c>
      <c r="AD82" s="277">
        <v>46216</v>
      </c>
      <c r="AE82" s="277">
        <v>46276</v>
      </c>
      <c r="AF82" s="2" t="str">
        <f>IF(AD82="","",IF(ISNUMBER(AD82),IF(AND(AD82&gt;='2026 Calendar'!$C$4,AD82&lt;='2026 Calendar'!$E$107),LOOKUP(AD82,'2026 Calendar'!$C$4:$C$107,'2026 Calendar'!$A$4:$A$107),YEAR(AD82-WEEKDAY(AD82,2)+4)&amp;"/W"&amp;TEXT(WEEKNUM(AD82,21),"00")),IF(IFERROR(ISNUMBER(SEARCH("/W",AD82)),FALSE),IF(IFERROR(ISNUMBER(SEARCH("-",AD82)),FALSE),LEFT(AD82,SEARCH("-",AD82)-1),AD82),AD82)))</f>
        <v>2026/W29</v>
      </c>
      <c r="AG82" s="2" t="str">
        <f>IF(AE82="","",IF(ISNUMBER(AE82),IF(AND(AE82&gt;='2026 Calendar'!$C$4,AE82&lt;='2026 Calendar'!$E$107),LOOKUP(AE82,'2026 Calendar'!$C$4:$C$107,'2026 Calendar'!$A$4:$A$107),YEAR(AE82-WEEKDAY(AE82,2)+4)&amp;"/W"&amp;TEXT(WEEKNUM(AE82,21),"00")),IF(IFERROR(ISNUMBER(SEARCH("/W",AE82)),FALSE),IF(IFERROR(ISNUMBER(SEARCH("-",AE82)),FALSE),MID(AE82,SEARCH("-",AE82)+1,100),AE82),AE82)))</f>
        <v>2026/W37</v>
      </c>
      <c r="AH82" s="2" t="s">
        <v>56</v>
      </c>
      <c r="AI82" s="278"/>
      <c r="AJ82" s="278">
        <v>46164</v>
      </c>
      <c r="AK82" s="2" t="s">
        <v>56</v>
      </c>
      <c r="AL82" s="278"/>
      <c r="AM82" s="278"/>
      <c r="AN82" s="2" t="s">
        <v>73</v>
      </c>
      <c r="AO82" s="278"/>
      <c r="AP82" s="278"/>
      <c r="AQ82" s="2" t="s">
        <v>56</v>
      </c>
      <c r="AR82" s="278"/>
      <c r="AS82" s="278"/>
      <c r="AT82" s="2" t="s">
        <v>73</v>
      </c>
      <c r="AU82" s="278"/>
      <c r="AV82" s="278"/>
      <c r="AW82" s="2" t="s">
        <v>73</v>
      </c>
      <c r="AX82" s="278"/>
      <c r="AY82" s="278"/>
      <c r="AZ82" s="2" t="s">
        <v>331</v>
      </c>
      <c r="BA82" s="278"/>
      <c r="BB82" s="278">
        <v>46178</v>
      </c>
      <c r="BC82" s="2" t="str">
        <f t="shared" si="17"/>
        <v>Complete</v>
      </c>
      <c r="BE82" s="119" t="str">
        <f t="shared" si="18"/>
        <v>READY</v>
      </c>
    </row>
    <row r="83" spans="1:58" x14ac:dyDescent="0.35">
      <c r="A83" s="2" t="str">
        <f>IFERROR(VLOOKUP(E83,'Customer '!$A$4:$D$23,3,FALSE),"")</f>
        <v>NON RH</v>
      </c>
      <c r="B83" s="2" t="s">
        <v>323</v>
      </c>
      <c r="C83" s="2" t="s">
        <v>340</v>
      </c>
      <c r="E83" s="2" t="s">
        <v>82</v>
      </c>
      <c r="F83" s="2" t="str">
        <f>IFERROR(VLOOKUP(E83,'Customer '!$A$4:$D$28,2,FALSE),"")</f>
        <v>L&amp;S</v>
      </c>
      <c r="G83" s="2" t="s">
        <v>90</v>
      </c>
      <c r="H8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2026-L&amp;S-ELYSEE HOTEL</v>
      </c>
      <c r="I83" s="2">
        <f ca="1">IF(OR($H83="",$B83=""),0,--(COUNTIFS($H$3:$H83,$H83,$B$3:$B83,$B83)=1))</f>
        <v>1</v>
      </c>
      <c r="J83" s="2" t="s">
        <v>272</v>
      </c>
      <c r="K83" s="2" t="s">
        <v>273</v>
      </c>
      <c r="L83" s="2" t="s">
        <v>274</v>
      </c>
      <c r="M83" s="278">
        <v>46027</v>
      </c>
      <c r="N83" s="278">
        <v>46009</v>
      </c>
      <c r="O83" s="279"/>
      <c r="P83" s="2" t="s">
        <v>51</v>
      </c>
      <c r="Q83" s="2" t="s">
        <v>325</v>
      </c>
      <c r="R83" s="2">
        <v>0</v>
      </c>
      <c r="S83" s="2">
        <v>0</v>
      </c>
      <c r="V83" s="276">
        <v>8</v>
      </c>
      <c r="X83" s="280">
        <v>3015.9900000000002</v>
      </c>
      <c r="Y83" s="280">
        <v>3015.9900000000002</v>
      </c>
      <c r="Z83" s="2" t="s">
        <v>297</v>
      </c>
      <c r="AA83" s="2" t="str">
        <f t="shared" si="19"/>
        <v>2026</v>
      </c>
      <c r="AB83" s="278" t="s">
        <v>292</v>
      </c>
      <c r="AC83" s="278"/>
      <c r="AD83" s="277">
        <v>46242</v>
      </c>
      <c r="AE83" s="278">
        <v>46277</v>
      </c>
      <c r="AF83" s="2" t="str">
        <f>IF(AD83="","",IF(ISNUMBER(AD83),IF(AND(AD83&gt;='2026 Calendar'!$C$4,AD83&lt;='2026 Calendar'!$E$107),LOOKUP(AD83,'2026 Calendar'!$C$4:$C$107,'2026 Calendar'!$A$4:$A$107),YEAR(AD83-WEEKDAY(AD83,2)+4)&amp;"/W"&amp;TEXT(WEEKNUM(AD83,21),"00")),IF(IFERROR(ISNUMBER(SEARCH("/W",AD83)),FALSE),IF(IFERROR(ISNUMBER(SEARCH("-",AD83)),FALSE),LEFT(AD83,SEARCH("-",AD83)-1),AD83),AD83)))</f>
        <v>2026/W32</v>
      </c>
      <c r="AG83" s="2" t="str">
        <f>IF(AE83="","",IF(ISNUMBER(AE83),IF(AND(AE83&gt;='2026 Calendar'!$C$4,AE83&lt;='2026 Calendar'!$E$107),LOOKUP(AE83,'2026 Calendar'!$C$4:$C$107,'2026 Calendar'!$A$4:$A$107),YEAR(AE83-WEEKDAY(AE83,2)+4)&amp;"/W"&amp;TEXT(WEEKNUM(AE83,21),"00")),IF(IFERROR(ISNUMBER(SEARCH("/W",AE83)),FALSE),IF(IFERROR(ISNUMBER(SEARCH("-",AE83)),FALSE),MID(AE83,SEARCH("-",AE83)+1,100),AE83),AE83)))</f>
        <v>2026/W37</v>
      </c>
      <c r="AH83" s="2" t="s">
        <v>56</v>
      </c>
      <c r="AI83" s="278"/>
      <c r="AJ83" s="278"/>
      <c r="AK83" s="2" t="s">
        <v>56</v>
      </c>
      <c r="AL83" s="278"/>
      <c r="AM83" s="278"/>
      <c r="AN83" s="2" t="s">
        <v>56</v>
      </c>
      <c r="AO83" s="278"/>
      <c r="AP83" s="278"/>
      <c r="AQ83" s="2" t="s">
        <v>56</v>
      </c>
      <c r="AR83" s="278"/>
      <c r="AS83" s="278"/>
      <c r="AT83" s="2" t="s">
        <v>56</v>
      </c>
      <c r="AU83" s="278"/>
      <c r="AV83" s="278"/>
      <c r="AW83" s="2" t="s">
        <v>73</v>
      </c>
      <c r="AX83" s="278"/>
      <c r="AY83" s="278"/>
      <c r="AZ83" s="2" t="s">
        <v>278</v>
      </c>
      <c r="BA83" s="278"/>
      <c r="BB83" s="278"/>
      <c r="BC83" s="2" t="str">
        <f t="shared" si="17"/>
        <v>Complete</v>
      </c>
      <c r="BE83" s="119" t="str">
        <f t="shared" si="18"/>
        <v>READY</v>
      </c>
      <c r="BF83" s="2" t="s">
        <v>365</v>
      </c>
    </row>
    <row r="84" spans="1:58" x14ac:dyDescent="0.35">
      <c r="A84" s="2" t="str">
        <f>IFERROR(VLOOKUP(E84,'Customer '!$A$4:$D$23,3,FALSE),"")</f>
        <v>NON RH</v>
      </c>
      <c r="B84" s="2" t="s">
        <v>323</v>
      </c>
      <c r="C84" s="2" t="s">
        <v>298</v>
      </c>
      <c r="E84" s="2" t="s">
        <v>366</v>
      </c>
      <c r="F84" s="2" t="str">
        <f>IFERROR(VLOOKUP(E84,'Customer '!$A$4:$D$28,2,FALSE),"")</f>
        <v>BROOKFIELD</v>
      </c>
      <c r="G84" s="2" t="s">
        <v>151</v>
      </c>
      <c r="H8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2026-BROOKFIELD-PARK HYATT VANCOUVER</v>
      </c>
      <c r="I84" s="2">
        <f ca="1">IF(OR($H84="",$B84=""),0,--(COUNTIFS($H$3:$H84,$H84,$B$3:$B84,$B84)=1))</f>
        <v>1</v>
      </c>
      <c r="J84" s="2" t="s">
        <v>272</v>
      </c>
      <c r="K84" s="2" t="s">
        <v>273</v>
      </c>
      <c r="L84" s="2" t="s">
        <v>274</v>
      </c>
      <c r="M84" s="278">
        <v>46037</v>
      </c>
      <c r="N84" s="278">
        <v>46055</v>
      </c>
      <c r="O84" s="279"/>
      <c r="P84" s="2" t="s">
        <v>152</v>
      </c>
      <c r="Q84" s="2" t="s">
        <v>293</v>
      </c>
      <c r="V84" s="276">
        <v>9</v>
      </c>
      <c r="X84" s="280">
        <v>14470.66</v>
      </c>
      <c r="Y84" s="280">
        <v>14470.66</v>
      </c>
      <c r="Z84" s="2" t="s">
        <v>277</v>
      </c>
      <c r="AA84" s="2" t="str">
        <f t="shared" si="19"/>
        <v>2026</v>
      </c>
      <c r="AB84" s="278">
        <v>46150</v>
      </c>
      <c r="AC84" s="278"/>
      <c r="AD84" s="277">
        <v>46116</v>
      </c>
      <c r="AE84" s="278">
        <v>46116</v>
      </c>
      <c r="AF84" s="2" t="str">
        <f>IF(AD84="","",IF(ISNUMBER(AD84),IF(AND(AD84&gt;='2026 Calendar'!$C$4,AD84&lt;='2026 Calendar'!$E$107),LOOKUP(AD84,'2026 Calendar'!$C$4:$C$107,'2026 Calendar'!$A$4:$A$107),YEAR(AD84-WEEKDAY(AD84,2)+4)&amp;"/W"&amp;TEXT(WEEKNUM(AD84,21),"00")),IF(IFERROR(ISNUMBER(SEARCH("/W",AD84)),FALSE),IF(IFERROR(ISNUMBER(SEARCH("-",AD84)),FALSE),LEFT(AD84,SEARCH("-",AD84)-1),AD84),AD84)))</f>
        <v>2026/W14</v>
      </c>
      <c r="AG84" s="2" t="str">
        <f>IF(AE84="","",IF(ISNUMBER(AE84),IF(AND(AE84&gt;='2026 Calendar'!$C$4,AE84&lt;='2026 Calendar'!$E$107),LOOKUP(AE84,'2026 Calendar'!$C$4:$C$107,'2026 Calendar'!$A$4:$A$107),YEAR(AE84-WEEKDAY(AE84,2)+4)&amp;"/W"&amp;TEXT(WEEKNUM(AE84,21),"00")),IF(IFERROR(ISNUMBER(SEARCH("/W",AE84)),FALSE),IF(IFERROR(ISNUMBER(SEARCH("-",AE84)),FALSE),MID(AE84,SEARCH("-",AE84)+1,100),AE84),AE84)))</f>
        <v>2026/W14</v>
      </c>
      <c r="AH84" s="2" t="s">
        <v>56</v>
      </c>
      <c r="AI84" s="278"/>
      <c r="AJ84" s="278"/>
      <c r="AK84" s="2" t="s">
        <v>56</v>
      </c>
      <c r="AL84" s="278"/>
      <c r="AM84" s="278"/>
      <c r="AN84" s="2" t="s">
        <v>304</v>
      </c>
      <c r="AO84" s="278"/>
      <c r="AP84" s="278"/>
      <c r="AQ84" s="2" t="s">
        <v>304</v>
      </c>
      <c r="AR84" s="278"/>
      <c r="AS84" s="278"/>
      <c r="AT84" s="2" t="s">
        <v>304</v>
      </c>
      <c r="AU84" s="278"/>
      <c r="AV84" s="278"/>
      <c r="AW84" s="2" t="s">
        <v>304</v>
      </c>
      <c r="AX84" s="278"/>
      <c r="AY84" s="278"/>
      <c r="AZ84" s="2" t="s">
        <v>57</v>
      </c>
      <c r="BA84" s="278"/>
      <c r="BB84" s="278"/>
      <c r="BC84" s="2" t="str">
        <f t="shared" si="17"/>
        <v>Complete</v>
      </c>
      <c r="BE84" s="119" t="str">
        <f t="shared" si="18"/>
        <v>READY</v>
      </c>
    </row>
    <row r="85" spans="1:58" x14ac:dyDescent="0.35">
      <c r="A85" s="2" t="str">
        <f>IFERROR(VLOOKUP(E85,'Customer '!$A$4:$D$23,3,FALSE),"")</f>
        <v>NON RH</v>
      </c>
      <c r="B85" s="2" t="s">
        <v>268</v>
      </c>
      <c r="C85" s="2" t="s">
        <v>298</v>
      </c>
      <c r="E85" s="2" t="s">
        <v>366</v>
      </c>
      <c r="F85" s="2" t="str">
        <f>IFERROR(VLOOKUP(E85,'Customer '!$A$4:$D$28,2,FALSE),"")</f>
        <v>BROOKFIELD</v>
      </c>
      <c r="G85" s="2" t="s">
        <v>151</v>
      </c>
      <c r="H8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2026-BROOKFIELD-PARK HYATT VANCOUVER</v>
      </c>
      <c r="I85" s="2">
        <f ca="1">IF(OR($H85="",$B85=""),0,--(COUNTIFS($H$3:$H85,$H85,$B$3:$B85,$B85)=1))</f>
        <v>1</v>
      </c>
      <c r="J85" s="2" t="s">
        <v>284</v>
      </c>
      <c r="K85" s="2" t="s">
        <v>273</v>
      </c>
      <c r="L85" s="2" t="s">
        <v>301</v>
      </c>
      <c r="M85" s="278"/>
      <c r="N85" s="278"/>
      <c r="O85" s="279"/>
      <c r="P85" s="2" t="s">
        <v>152</v>
      </c>
      <c r="Q85" s="2" t="s">
        <v>293</v>
      </c>
      <c r="R85" s="2" t="s">
        <v>149</v>
      </c>
      <c r="S85" s="2" t="s">
        <v>149</v>
      </c>
      <c r="V85" s="276">
        <v>9</v>
      </c>
      <c r="X85" s="280">
        <v>802234</v>
      </c>
      <c r="Y85" s="280">
        <f>DetailTracker[[#This Row],[PROJECT VALUE $]]/2</f>
        <v>401117</v>
      </c>
      <c r="Z85" s="2" t="s">
        <v>328</v>
      </c>
      <c r="AA85" s="2" t="str">
        <f t="shared" ref="AA85" si="21">IF(Z85="","",IF(OR(Z85="TBC",Z85="Removed"),Z85,LEFT(Z85,4)))</f>
        <v>2027</v>
      </c>
      <c r="AB85" s="278" t="s">
        <v>292</v>
      </c>
      <c r="AC85" s="278"/>
      <c r="AD85" s="277" t="s">
        <v>149</v>
      </c>
      <c r="AE85" s="278" t="s">
        <v>149</v>
      </c>
      <c r="AF85" s="2" t="str">
        <f>IF(AD85="","",IF(ISNUMBER(AD85),IF(AND(AD85&gt;='2026 Calendar'!$C$4,AD85&lt;='2026 Calendar'!$E$107),LOOKUP(AD85,'2026 Calendar'!$C$4:$C$107,'2026 Calendar'!$A$4:$A$107),YEAR(AD85-WEEKDAY(AD85,2)+4)&amp;"/W"&amp;TEXT(WEEKNUM(AD85,21),"00")),IF(IFERROR(ISNUMBER(SEARCH("/W",AD85)),FALSE),IF(IFERROR(ISNUMBER(SEARCH("-",AD85)),FALSE),LEFT(AD85,SEARCH("-",AD85)-1),AD85),AD85)))</f>
        <v>TBC</v>
      </c>
      <c r="AG85" s="2" t="str">
        <f>IF(AE85="","",IF(ISNUMBER(AE85),IF(AND(AE85&gt;='2026 Calendar'!$C$4,AE85&lt;='2026 Calendar'!$E$107),LOOKUP(AE85,'2026 Calendar'!$C$4:$C$107,'2026 Calendar'!$A$4:$A$107),YEAR(AE85-WEEKDAY(AE85,2)+4)&amp;"/W"&amp;TEXT(WEEKNUM(AE85,21),"00")),IF(IFERROR(ISNUMBER(SEARCH("/W",AE85)),FALSE),IF(IFERROR(ISNUMBER(SEARCH("-",AE85)),FALSE),MID(AE85,SEARCH("-",AE85)+1,100),AE85),AE85)))</f>
        <v>TBC</v>
      </c>
      <c r="AH85" s="2" t="s">
        <v>342</v>
      </c>
      <c r="AI85" s="278"/>
      <c r="AJ85" s="278"/>
      <c r="AK85" s="2" t="s">
        <v>287</v>
      </c>
      <c r="AL85" s="278"/>
      <c r="AM85" s="278"/>
      <c r="AN85" s="2" t="s">
        <v>342</v>
      </c>
      <c r="AO85" s="278"/>
      <c r="AP85" s="278"/>
      <c r="AQ85" s="2" t="s">
        <v>342</v>
      </c>
      <c r="AR85" s="278"/>
      <c r="AS85" s="278"/>
      <c r="AT85" s="2" t="s">
        <v>342</v>
      </c>
      <c r="AU85" s="278"/>
      <c r="AV85" s="278"/>
      <c r="AW85" s="2" t="s">
        <v>342</v>
      </c>
      <c r="AX85" s="278"/>
      <c r="AY85" s="278"/>
      <c r="AZ85" s="2" t="s">
        <v>342</v>
      </c>
      <c r="BA85" s="278"/>
      <c r="BB85" s="278"/>
      <c r="BC85" s="2" t="str">
        <f t="shared" si="17"/>
        <v>Active</v>
      </c>
      <c r="BE85" s="119" t="str">
        <f t="shared" si="18"/>
        <v>NPI: Not started: Veneer/Wood for SW TBC</v>
      </c>
    </row>
    <row r="86" spans="1:58" x14ac:dyDescent="0.35">
      <c r="A86" s="2" t="str">
        <f>IFERROR(VLOOKUP(E86,'Customer '!$A$4:$D$23,3,FALSE),"")</f>
        <v>NON RH</v>
      </c>
      <c r="B86" s="2" t="s">
        <v>268</v>
      </c>
      <c r="C86" s="2" t="s">
        <v>298</v>
      </c>
      <c r="E86" s="2" t="s">
        <v>366</v>
      </c>
      <c r="F86" s="2" t="str">
        <f>IFERROR(VLOOKUP(E86,'Customer '!$A$4:$D$28,2,FALSE),"")</f>
        <v>BROOKFIELD</v>
      </c>
      <c r="G86" s="2" t="s">
        <v>151</v>
      </c>
      <c r="H8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2026-BROOKFIELD-PARK HYATT VANCOUVER</v>
      </c>
      <c r="I86" s="2">
        <f ca="1">IF(OR($H86="",$B86=""),0,--(COUNTIFS($H$3:$H86,$H86,$B$3:$B86,$B86)=1))</f>
        <v>0</v>
      </c>
      <c r="J86" s="2" t="s">
        <v>284</v>
      </c>
      <c r="K86" s="2" t="s">
        <v>273</v>
      </c>
      <c r="L86" s="2" t="s">
        <v>301</v>
      </c>
      <c r="M86" s="278"/>
      <c r="N86" s="278"/>
      <c r="O86" s="279"/>
      <c r="P86" s="2" t="s">
        <v>152</v>
      </c>
      <c r="Q86" s="2" t="s">
        <v>293</v>
      </c>
      <c r="R86" s="2" t="s">
        <v>149</v>
      </c>
      <c r="S86" s="2" t="s">
        <v>149</v>
      </c>
      <c r="V86" s="276">
        <v>9</v>
      </c>
      <c r="X86" s="280">
        <v>802234</v>
      </c>
      <c r="Y86" s="280">
        <f>DetailTracker[[#This Row],[PROJECT VALUE $]]/2</f>
        <v>401117</v>
      </c>
      <c r="Z86" s="2" t="s">
        <v>286</v>
      </c>
      <c r="AA86" s="2" t="str">
        <f t="shared" si="19"/>
        <v>2027</v>
      </c>
      <c r="AB86" s="278" t="s">
        <v>292</v>
      </c>
      <c r="AC86" s="278"/>
      <c r="AD86" s="277" t="s">
        <v>149</v>
      </c>
      <c r="AE86" s="278" t="s">
        <v>149</v>
      </c>
      <c r="AF86" s="2" t="str">
        <f>IF(AD86="","",IF(ISNUMBER(AD86),IF(AND(AD86&gt;='2026 Calendar'!$C$4,AD86&lt;='2026 Calendar'!$E$107),LOOKUP(AD86,'2026 Calendar'!$C$4:$C$107,'2026 Calendar'!$A$4:$A$107),YEAR(AD86-WEEKDAY(AD86,2)+4)&amp;"/W"&amp;TEXT(WEEKNUM(AD86,21),"00")),IF(IFERROR(ISNUMBER(SEARCH("/W",AD86)),FALSE),IF(IFERROR(ISNUMBER(SEARCH("-",AD86)),FALSE),LEFT(AD86,SEARCH("-",AD86)-1),AD86),AD86)))</f>
        <v>TBC</v>
      </c>
      <c r="AG86" s="2" t="str">
        <f>IF(AE86="","",IF(ISNUMBER(AE86),IF(AND(AE86&gt;='2026 Calendar'!$C$4,AE86&lt;='2026 Calendar'!$E$107),LOOKUP(AE86,'2026 Calendar'!$C$4:$C$107,'2026 Calendar'!$A$4:$A$107),YEAR(AE86-WEEKDAY(AE86,2)+4)&amp;"/W"&amp;TEXT(WEEKNUM(AE86,21),"00")),IF(IFERROR(ISNUMBER(SEARCH("/W",AE86)),FALSE),IF(IFERROR(ISNUMBER(SEARCH("-",AE86)),FALSE),MID(AE86,SEARCH("-",AE86)+1,100),AE86),AE86)))</f>
        <v>TBC</v>
      </c>
      <c r="AH86" s="2" t="s">
        <v>342</v>
      </c>
      <c r="AI86" s="278"/>
      <c r="AJ86" s="278"/>
      <c r="AK86" s="2" t="s">
        <v>287</v>
      </c>
      <c r="AL86" s="278"/>
      <c r="AM86" s="278"/>
      <c r="AN86" s="2" t="s">
        <v>342</v>
      </c>
      <c r="AO86" s="278"/>
      <c r="AP86" s="278"/>
      <c r="AQ86" s="2" t="s">
        <v>342</v>
      </c>
      <c r="AR86" s="278"/>
      <c r="AS86" s="278"/>
      <c r="AT86" s="2" t="s">
        <v>342</v>
      </c>
      <c r="AU86" s="278"/>
      <c r="AV86" s="278"/>
      <c r="AW86" s="2" t="s">
        <v>342</v>
      </c>
      <c r="AX86" s="278"/>
      <c r="AY86" s="278"/>
      <c r="AZ86" s="2" t="s">
        <v>342</v>
      </c>
      <c r="BA86" s="278"/>
      <c r="BB86" s="278"/>
      <c r="BC86" s="2" t="str">
        <f t="shared" si="17"/>
        <v>Active</v>
      </c>
      <c r="BE86" s="119" t="str">
        <f t="shared" si="18"/>
        <v>NPI: Not started: Veneer/Wood for SW TBC</v>
      </c>
    </row>
    <row r="87" spans="1:58" x14ac:dyDescent="0.35">
      <c r="A87" s="2" t="str">
        <f>IFERROR(VLOOKUP(E87,'Customer '!$A$4:$D$23,3,FALSE),"")</f>
        <v>NON RH</v>
      </c>
      <c r="B87" s="2" t="s">
        <v>323</v>
      </c>
      <c r="C87" s="2" t="s">
        <v>164</v>
      </c>
      <c r="E87" s="2" t="s">
        <v>98</v>
      </c>
      <c r="F87" s="2" t="str">
        <f>IFERROR(VLOOKUP(E87,'Customer '!$A$4:$D$28,2,FALSE),"")</f>
        <v xml:space="preserve">FLEETWOOD </v>
      </c>
      <c r="G87" s="2" t="s">
        <v>188</v>
      </c>
      <c r="H8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-W-HOTEL-LAS-VEGAS</v>
      </c>
      <c r="I87" s="2">
        <f ca="1">IF(OR($H87="",$B87=""),0,--(COUNTIFS($H$3:$H87,$H87,$B$3:$B87,$B87)=1))</f>
        <v>1</v>
      </c>
      <c r="J87" s="2" t="s">
        <v>272</v>
      </c>
      <c r="K87" s="2" t="s">
        <v>273</v>
      </c>
      <c r="L87" s="2" t="s">
        <v>274</v>
      </c>
      <c r="M87" s="278">
        <v>45939</v>
      </c>
      <c r="N87" s="278">
        <v>45973</v>
      </c>
      <c r="O87" s="279"/>
      <c r="P87" s="2" t="s">
        <v>51</v>
      </c>
      <c r="Q87" s="2" t="s">
        <v>334</v>
      </c>
      <c r="V87" s="276">
        <v>12</v>
      </c>
      <c r="X87" s="280">
        <v>15271.3</v>
      </c>
      <c r="Y87" s="280">
        <v>15271.3</v>
      </c>
      <c r="Z87" s="2" t="s">
        <v>321</v>
      </c>
      <c r="AA87" s="2" t="str">
        <f t="shared" si="19"/>
        <v>2026</v>
      </c>
      <c r="AB87" s="278" t="s">
        <v>292</v>
      </c>
      <c r="AC87" s="278"/>
      <c r="AD87" s="277">
        <v>46116</v>
      </c>
      <c r="AE87" s="278">
        <v>46116</v>
      </c>
      <c r="AF87" s="2" t="str">
        <f>IF(AD87="","",IF(ISNUMBER(AD87),IF(AND(AD87&gt;='2026 Calendar'!$C$4,AD87&lt;='2026 Calendar'!$E$107),LOOKUP(AD87,'2026 Calendar'!$C$4:$C$107,'2026 Calendar'!$A$4:$A$107),YEAR(AD87-WEEKDAY(AD87,2)+4)&amp;"/W"&amp;TEXT(WEEKNUM(AD87,21),"00")),IF(IFERROR(ISNUMBER(SEARCH("/W",AD87)),FALSE),IF(IFERROR(ISNUMBER(SEARCH("-",AD87)),FALSE),LEFT(AD87,SEARCH("-",AD87)-1),AD87),AD87)))</f>
        <v>2026/W14</v>
      </c>
      <c r="AG87" s="2" t="str">
        <f>IF(AE87="","",IF(ISNUMBER(AE87),IF(AND(AE87&gt;='2026 Calendar'!$C$4,AE87&lt;='2026 Calendar'!$E$107),LOOKUP(AE87,'2026 Calendar'!$C$4:$C$107,'2026 Calendar'!$A$4:$A$107),YEAR(AE87-WEEKDAY(AE87,2)+4)&amp;"/W"&amp;TEXT(WEEKNUM(AE87,21),"00")),IF(IFERROR(ISNUMBER(SEARCH("/W",AE87)),FALSE),IF(IFERROR(ISNUMBER(SEARCH("-",AE87)),FALSE),MID(AE87,SEARCH("-",AE87)+1,100),AE87),AE87)))</f>
        <v>2026/W14</v>
      </c>
      <c r="AH87" s="2" t="s">
        <v>56</v>
      </c>
      <c r="AI87" s="278"/>
      <c r="AJ87" s="278"/>
      <c r="AK87" s="2" t="s">
        <v>56</v>
      </c>
      <c r="AL87" s="278"/>
      <c r="AM87" s="278"/>
      <c r="AN87" s="2" t="s">
        <v>56</v>
      </c>
      <c r="AO87" s="278"/>
      <c r="AP87" s="278"/>
      <c r="AQ87" s="2" t="s">
        <v>56</v>
      </c>
      <c r="AR87" s="278"/>
      <c r="AS87" s="278"/>
      <c r="AT87" s="2" t="s">
        <v>56</v>
      </c>
      <c r="AU87" s="278"/>
      <c r="AV87" s="278"/>
      <c r="AW87" s="2" t="s">
        <v>304</v>
      </c>
      <c r="AX87" s="278"/>
      <c r="AY87" s="278"/>
      <c r="AZ87" s="2" t="s">
        <v>57</v>
      </c>
      <c r="BA87" s="278"/>
      <c r="BB87" s="278"/>
      <c r="BC87" s="2" t="str">
        <f t="shared" si="17"/>
        <v>Complete</v>
      </c>
      <c r="BE87" s="119" t="str">
        <f t="shared" si="18"/>
        <v>READY</v>
      </c>
    </row>
    <row r="88" spans="1:58" x14ac:dyDescent="0.35">
      <c r="A88" s="2" t="str">
        <f>IFERROR(VLOOKUP(E88,'Customer '!$A$4:$D$23,3,FALSE),"")</f>
        <v>NON RH</v>
      </c>
      <c r="B88" s="2" t="s">
        <v>268</v>
      </c>
      <c r="C88" s="2" t="s">
        <v>329</v>
      </c>
      <c r="D88" s="2" t="s">
        <v>367</v>
      </c>
      <c r="E88" s="2" t="s">
        <v>98</v>
      </c>
      <c r="F88" s="2" t="str">
        <f>IFERROR(VLOOKUP(E88,'Customer '!$A$4:$D$28,2,FALSE),"")</f>
        <v xml:space="preserve">FLEETWOOD </v>
      </c>
      <c r="G88" s="2" t="s">
        <v>188</v>
      </c>
      <c r="H8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-W-HOTEL-LAS-VEGAS</v>
      </c>
      <c r="I88" s="2">
        <f ca="1">IF(OR($H88="",$B88=""),0,--(COUNTIFS($H$3:$H88,$H88,$B$3:$B88,$B88)=1))</f>
        <v>1</v>
      </c>
      <c r="J88" s="2" t="s">
        <v>284</v>
      </c>
      <c r="K88" s="2" t="s">
        <v>273</v>
      </c>
      <c r="L88" s="2" t="s">
        <v>301</v>
      </c>
      <c r="M88" s="278">
        <v>45939</v>
      </c>
      <c r="N88" s="284" t="s">
        <v>368</v>
      </c>
      <c r="O88" s="284" t="s">
        <v>368</v>
      </c>
      <c r="P88" s="2" t="s">
        <v>51</v>
      </c>
      <c r="Q88" s="2" t="s">
        <v>334</v>
      </c>
      <c r="R88" s="2">
        <v>0</v>
      </c>
      <c r="S88" s="2">
        <v>0</v>
      </c>
      <c r="V88" s="276">
        <v>12</v>
      </c>
      <c r="X88" s="280">
        <v>3466407</v>
      </c>
      <c r="Y88" s="280">
        <v>1155469</v>
      </c>
      <c r="Z88" s="2" t="s">
        <v>328</v>
      </c>
      <c r="AA88" s="2" t="str">
        <f t="shared" si="19"/>
        <v>2027</v>
      </c>
      <c r="AB88" s="278" t="s">
        <v>292</v>
      </c>
      <c r="AC88" s="278"/>
      <c r="AD88" s="277" t="s">
        <v>149</v>
      </c>
      <c r="AE88" s="278" t="s">
        <v>149</v>
      </c>
      <c r="AF88" s="2" t="str">
        <f>IF(AD88="","",IF(ISNUMBER(AD88),IF(AND(AD88&gt;='2026 Calendar'!$C$4,AD88&lt;='2026 Calendar'!$E$107),LOOKUP(AD88,'2026 Calendar'!$C$4:$C$107,'2026 Calendar'!$A$4:$A$107),YEAR(AD88-WEEKDAY(AD88,2)+4)&amp;"/W"&amp;TEXT(WEEKNUM(AD88,21),"00")),IF(IFERROR(ISNUMBER(SEARCH("/W",AD88)),FALSE),IF(IFERROR(ISNUMBER(SEARCH("-",AD88)),FALSE),LEFT(AD88,SEARCH("-",AD88)-1),AD88),AD88)))</f>
        <v>TBC</v>
      </c>
      <c r="AG88" s="2" t="str">
        <f>IF(AE88="","",IF(ISNUMBER(AE88),IF(AND(AE88&gt;='2026 Calendar'!$C$4,AE88&lt;='2026 Calendar'!$E$107),LOOKUP(AE88,'2026 Calendar'!$C$4:$C$107,'2026 Calendar'!$A$4:$A$107),YEAR(AE88-WEEKDAY(AE88,2)+4)&amp;"/W"&amp;TEXT(WEEKNUM(AE88,21),"00")),IF(IFERROR(ISNUMBER(SEARCH("/W",AE88)),FALSE),IF(IFERROR(ISNUMBER(SEARCH("-",AE88)),FALSE),MID(AE88,SEARCH("-",AE88)+1,100),AE88),AE88)))</f>
        <v>TBC</v>
      </c>
      <c r="AH88" s="2" t="s">
        <v>342</v>
      </c>
      <c r="AI88" s="278"/>
      <c r="AJ88" s="278"/>
      <c r="AK88" s="2" t="s">
        <v>287</v>
      </c>
      <c r="AL88" s="278"/>
      <c r="AM88" s="278"/>
      <c r="AO88" s="278"/>
      <c r="AP88" s="278"/>
      <c r="AR88" s="278"/>
      <c r="AS88" s="278"/>
      <c r="AU88" s="278"/>
      <c r="AV88" s="278"/>
      <c r="AX88" s="278"/>
      <c r="AY88" s="278"/>
      <c r="BA88" s="278"/>
      <c r="BB88" s="278"/>
      <c r="BC88" s="2" t="str">
        <f>IF(J89="","",IF(OR(J89="OB",J89="NOR",J89="FC",J89="PIPELINE"),"Active","Complete"))</f>
        <v>Active</v>
      </c>
      <c r="BE88" s="119" t="str">
        <f>IF(UPPER(TRIM(J89))="SHIPPED","READY",_xlfn.LET(_xlpm.stage,IF(B88="","",B88&amp;": "),_xlpm.ip,_xlfn.TEXTJOIN(", ",TRUE,IF(LOWER(AH88)="in progress","Drawing",""),IF(LOWER(AK88)="in progress","Veneer/Wood",""),IF(LOWER(AN88)="in progress","Marble",""),IF(LOWER(AQ88)="in progress","Metal",""),IF(LOWER(AT88)="in progress","Mirror",""),IF(LOWER(AW88)="in progress","Electrical",""),IF(LOWER(AZ88)="in progress","Fabric","")),_xlpm.pa,_xlfn.TEXTJOIN(", ",TRUE,IF(LOWER(AH88)="pending approval","Drawing",""),IF(LOWER(AK88)="pending approval","Veneer/Wood",""),IF(LOWER(AN88)="pending approval","Marble",""),IF(LOWER(AQ88)="pending approval","Metal",""),IF(LOWER(AT88)="pending approval","Mirror",""),IF(LOWER(AW88)="pending approval","Electrical",""),IF(LOWER(AZ88)="pending approval","Fabric","")),_xlpm.ns,_xlfn.TEXTJOIN(", ",TRUE,IF(LOWER(AH88)="not started","Drawing",""),IF(LOWER(AK88)="not started","Veneer/Wood",""),IF(LOWER(AN88)="not started","Marble",""),IF(LOWER(AQ88)="not started","Metal",""),IF(LOWER(AT88)="not started","Mirror",""),IF(LOWER(AW88)="not started","Electrical",""),IF(LOWER(AZ88)="not started","Fabric","")),_xlpm.fab,IF(OR(LOWER(AZ88)="com",LOWER(AZ88)="com pending",LOWER(AZ88)="com received"),"Fabric is "&amp;LOWER(AZ88),""),_xlpm.parts,_xlfn.TEXTJOIN("; ",TRUE,IF(_xlpm.ip&lt;&gt;"","In progress: "&amp;_xlpm.ip,""),IF(_xlpm.pa&lt;&gt;"","Pending approval: "&amp;_xlpm.pa,""),IF(_xlpm.ns&lt;&gt;"","Not started: "&amp;_xlpm.ns,""),_xlpm.fab),_xlpm.deadline,MIN(IF(AND(AH88&lt;&gt;"",LOWER(AH88)&lt;&gt;"approved",LOWER(AH88)&lt;&gt;"n/a",ISNUMBER(AI88)),AI88,1E+99),IF(AND(AK88&lt;&gt;"",LOWER(AK88)&lt;&gt;"approved",LOWER(AK88)&lt;&gt;"n/a",ISNUMBER(AL88)),AL88,1E+99),IF(AND(AN88&lt;&gt;"",LOWER(AN88)&lt;&gt;"approved",LOWER(AN88)&lt;&gt;"n/a",ISNUMBER(AO88)),AO88,1E+99),IF(AND(AQ88&lt;&gt;"",LOWER(AQ88)&lt;&gt;"approved",LOWER(AQ88)&lt;&gt;"n/a",ISNUMBER(AR88)),AR88,1E+99),IF(AND(AT88&lt;&gt;"",LOWER(AT88)&lt;&gt;"approved",LOWER(AT88)&lt;&gt;"n/a",ISNUMBER(AU88)),AU88,1E+99),IF(AND(AW88&lt;&gt;"",LOWER(AW88)&lt;&gt;"approved",LOWER(AW88)&lt;&gt;"n/a",ISNUMBER(AX88)),AX88,1E+99),IF(AND(AZ88&lt;&gt;"",LOWER(AZ88)&lt;&gt;"approved",LOWER(AZ88)&lt;&gt;"n/a",ISNUMBER(BA88)),BA88,1E+99)),_xlpm.sw,IF(AG88="","",IFERROR("SW"&amp;MID(AG88,FIND("/W",AG88)+2,99),"SW "&amp;AG88)),_xlpm.stage&amp;IF(_xlpm.parts="","All development items approved/closed",_xlpm.parts)&amp;IF(AND(_xlpm.parts&lt;&gt;"",_xlpm.deadline&lt;1E+99),"; need approval by "&amp;TEXT(_xlpm.deadline,"d-mmm-yy"),"")&amp;IF(_xlpm.sw&lt;&gt;""," for "&amp;_xlpm.sw,"")))</f>
        <v>NPI: Not started: Veneer/Wood for SW TBC</v>
      </c>
    </row>
    <row r="89" spans="1:58" x14ac:dyDescent="0.35">
      <c r="A89" s="2" t="str">
        <f>IFERROR(VLOOKUP(E89,'Customer '!$A$4:$D$23,3,FALSE),"")</f>
        <v>NON RH</v>
      </c>
      <c r="B89" s="2" t="s">
        <v>268</v>
      </c>
      <c r="C89" s="2" t="s">
        <v>329</v>
      </c>
      <c r="D89" s="2" t="s">
        <v>367</v>
      </c>
      <c r="E89" s="2" t="s">
        <v>98</v>
      </c>
      <c r="F89" s="2" t="str">
        <f>IFERROR(VLOOKUP(E89,'Customer '!$A$4:$D$28,2,FALSE),"")</f>
        <v xml:space="preserve">FLEETWOOD </v>
      </c>
      <c r="G89" s="2" t="s">
        <v>188</v>
      </c>
      <c r="H8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-W-HOTEL-LAS-VEGAS</v>
      </c>
      <c r="I89" s="2">
        <f ca="1">IF(OR($H89="",$B89=""),0,--(COUNTIFS($H$3:$H89,$H89,$B$3:$B89,$B89)=1))</f>
        <v>0</v>
      </c>
      <c r="J89" s="2" t="s">
        <v>284</v>
      </c>
      <c r="K89" s="2" t="s">
        <v>273</v>
      </c>
      <c r="L89" s="2" t="s">
        <v>301</v>
      </c>
      <c r="M89" s="278">
        <v>45939</v>
      </c>
      <c r="N89" s="284" t="s">
        <v>368</v>
      </c>
      <c r="O89" s="284" t="s">
        <v>368</v>
      </c>
      <c r="P89" s="2" t="s">
        <v>51</v>
      </c>
      <c r="Q89" s="2" t="s">
        <v>334</v>
      </c>
      <c r="R89" s="2">
        <v>0</v>
      </c>
      <c r="S89" s="2">
        <v>0</v>
      </c>
      <c r="V89" s="276">
        <v>12</v>
      </c>
      <c r="X89" s="280">
        <v>3466407</v>
      </c>
      <c r="Y89" s="280">
        <v>1155469</v>
      </c>
      <c r="Z89" s="2" t="s">
        <v>286</v>
      </c>
      <c r="AA89" s="2" t="str">
        <f t="shared" si="19"/>
        <v>2027</v>
      </c>
      <c r="AB89" s="278" t="s">
        <v>292</v>
      </c>
      <c r="AC89" s="278"/>
      <c r="AD89" s="277" t="s">
        <v>149</v>
      </c>
      <c r="AE89" s="278" t="s">
        <v>149</v>
      </c>
      <c r="AF89" s="2" t="str">
        <f>IF(AD89="","",IF(ISNUMBER(AD89),IF(AND(AD89&gt;='2026 Calendar'!$C$4,AD89&lt;='2026 Calendar'!$E$107),LOOKUP(AD89,'2026 Calendar'!$C$4:$C$107,'2026 Calendar'!$A$4:$A$107),YEAR(AD89-WEEKDAY(AD89,2)+4)&amp;"/W"&amp;TEXT(WEEKNUM(AD89,21),"00")),IF(IFERROR(ISNUMBER(SEARCH("/W",AD89)),FALSE),IF(IFERROR(ISNUMBER(SEARCH("-",AD89)),FALSE),LEFT(AD89,SEARCH("-",AD89)-1),AD89),AD89)))</f>
        <v>TBC</v>
      </c>
      <c r="AG89" s="2" t="str">
        <f>IF(AE89="","",IF(ISNUMBER(AE89),IF(AND(AE89&gt;='2026 Calendar'!$C$4,AE89&lt;='2026 Calendar'!$E$107),LOOKUP(AE89,'2026 Calendar'!$C$4:$C$107,'2026 Calendar'!$A$4:$A$107),YEAR(AE89-WEEKDAY(AE89,2)+4)&amp;"/W"&amp;TEXT(WEEKNUM(AE89,21),"00")),IF(IFERROR(ISNUMBER(SEARCH("/W",AE89)),FALSE),IF(IFERROR(ISNUMBER(SEARCH("-",AE89)),FALSE),MID(AE89,SEARCH("-",AE89)+1,100),AE89),AE89)))</f>
        <v>TBC</v>
      </c>
      <c r="AH89" s="2" t="s">
        <v>342</v>
      </c>
      <c r="AI89" s="278"/>
      <c r="AJ89" s="278"/>
      <c r="AK89" s="2" t="s">
        <v>287</v>
      </c>
      <c r="AL89" s="278"/>
      <c r="AM89" s="278"/>
      <c r="AO89" s="278"/>
      <c r="AP89" s="278"/>
      <c r="AR89" s="278"/>
      <c r="AS89" s="278"/>
      <c r="AU89" s="278"/>
      <c r="AV89" s="278"/>
      <c r="AX89" s="278"/>
      <c r="AY89" s="278"/>
      <c r="BA89" s="278"/>
      <c r="BB89" s="278"/>
      <c r="BC89" s="2" t="str">
        <f>IF(J90="","",IF(OR(J90="OB",J90="NOR",J90="FC",J90="PIPELINE"),"Active","Complete"))</f>
        <v>Active</v>
      </c>
      <c r="BE89" s="119" t="str">
        <f>IF(UPPER(TRIM(J90))="SHIPPED","READY",_xlfn.LET(_xlpm.stage,IF(B89="","",B89&amp;": "),_xlpm.ip,_xlfn.TEXTJOIN(", ",TRUE,IF(LOWER(AH89)="in progress","Drawing",""),IF(LOWER(AK89)="in progress","Veneer/Wood",""),IF(LOWER(AN89)="in progress","Marble",""),IF(LOWER(AQ89)="in progress","Metal",""),IF(LOWER(AT89)="in progress","Mirror",""),IF(LOWER(AW89)="in progress","Electrical",""),IF(LOWER(AZ89)="in progress","Fabric","")),_xlpm.pa,_xlfn.TEXTJOIN(", ",TRUE,IF(LOWER(AH89)="pending approval","Drawing",""),IF(LOWER(AK89)="pending approval","Veneer/Wood",""),IF(LOWER(AN89)="pending approval","Marble",""),IF(LOWER(AQ89)="pending approval","Metal",""),IF(LOWER(AT89)="pending approval","Mirror",""),IF(LOWER(AW89)="pending approval","Electrical",""),IF(LOWER(AZ89)="pending approval","Fabric","")),_xlpm.ns,_xlfn.TEXTJOIN(", ",TRUE,IF(LOWER(AH89)="not started","Drawing",""),IF(LOWER(AK89)="not started","Veneer/Wood",""),IF(LOWER(AN89)="not started","Marble",""),IF(LOWER(AQ89)="not started","Metal",""),IF(LOWER(AT89)="not started","Mirror",""),IF(LOWER(AW89)="not started","Electrical",""),IF(LOWER(AZ89)="not started","Fabric","")),_xlpm.fab,IF(OR(LOWER(AZ89)="com",LOWER(AZ89)="com pending",LOWER(AZ89)="com received"),"Fabric is "&amp;LOWER(AZ89),""),_xlpm.parts,_xlfn.TEXTJOIN("; ",TRUE,IF(_xlpm.ip&lt;&gt;"","In progress: "&amp;_xlpm.ip,""),IF(_xlpm.pa&lt;&gt;"","Pending approval: "&amp;_xlpm.pa,""),IF(_xlpm.ns&lt;&gt;"","Not started: "&amp;_xlpm.ns,""),_xlpm.fab),_xlpm.deadline,MIN(IF(AND(AH89&lt;&gt;"",LOWER(AH89)&lt;&gt;"approved",LOWER(AH89)&lt;&gt;"n/a",ISNUMBER(AI89)),AI89,1E+99),IF(AND(AK89&lt;&gt;"",LOWER(AK89)&lt;&gt;"approved",LOWER(AK89)&lt;&gt;"n/a",ISNUMBER(AL89)),AL89,1E+99),IF(AND(AN89&lt;&gt;"",LOWER(AN89)&lt;&gt;"approved",LOWER(AN89)&lt;&gt;"n/a",ISNUMBER(AO89)),AO89,1E+99),IF(AND(AQ89&lt;&gt;"",LOWER(AQ89)&lt;&gt;"approved",LOWER(AQ89)&lt;&gt;"n/a",ISNUMBER(AR89)),AR89,1E+99),IF(AND(AT89&lt;&gt;"",LOWER(AT89)&lt;&gt;"approved",LOWER(AT89)&lt;&gt;"n/a",ISNUMBER(AU89)),AU89,1E+99),IF(AND(AW89&lt;&gt;"",LOWER(AW89)&lt;&gt;"approved",LOWER(AW89)&lt;&gt;"n/a",ISNUMBER(AX89)),AX89,1E+99),IF(AND(AZ89&lt;&gt;"",LOWER(AZ89)&lt;&gt;"approved",LOWER(AZ89)&lt;&gt;"n/a",ISNUMBER(BA89)),BA89,1E+99)),_xlpm.sw,IF(AG89="","",IFERROR("SW"&amp;MID(AG89,FIND("/W",AG89)+2,99),"SW "&amp;AG89)),_xlpm.stage&amp;IF(_xlpm.parts="","All development items approved/closed",_xlpm.parts)&amp;IF(AND(_xlpm.parts&lt;&gt;"",_xlpm.deadline&lt;1E+99),"; need approval by "&amp;TEXT(_xlpm.deadline,"d-mmm-yy"),"")&amp;IF(_xlpm.sw&lt;&gt;""," for "&amp;_xlpm.sw,"")))</f>
        <v>NPI: Not started: Veneer/Wood for SW TBC</v>
      </c>
    </row>
    <row r="90" spans="1:58" x14ac:dyDescent="0.35">
      <c r="A90" s="2" t="str">
        <f>IFERROR(VLOOKUP(E90,'Customer '!$A$4:$D$23,3,FALSE),"")</f>
        <v>NON RH</v>
      </c>
      <c r="B90" s="2" t="s">
        <v>268</v>
      </c>
      <c r="C90" s="2" t="s">
        <v>329</v>
      </c>
      <c r="D90" s="2" t="s">
        <v>367</v>
      </c>
      <c r="E90" s="2" t="s">
        <v>98</v>
      </c>
      <c r="F90" s="2" t="str">
        <f>IFERROR(VLOOKUP(E90,'Customer '!$A$4:$D$28,2,FALSE),"")</f>
        <v xml:space="preserve">FLEETWOOD </v>
      </c>
      <c r="G90" s="2" t="s">
        <v>188</v>
      </c>
      <c r="H9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-W-HOTEL-LAS-VEGAS</v>
      </c>
      <c r="I90" s="2">
        <f ca="1">IF(OR($H90="",$B90=""),0,--(COUNTIFS($H$3:$H90,$H90,$B$3:$B90,$B90)=1))</f>
        <v>0</v>
      </c>
      <c r="J90" s="2" t="s">
        <v>284</v>
      </c>
      <c r="K90" s="2" t="s">
        <v>273</v>
      </c>
      <c r="L90" s="2" t="s">
        <v>301</v>
      </c>
      <c r="M90" s="278">
        <v>45939</v>
      </c>
      <c r="N90" s="284" t="s">
        <v>368</v>
      </c>
      <c r="O90" s="284" t="s">
        <v>368</v>
      </c>
      <c r="P90" s="2" t="s">
        <v>51</v>
      </c>
      <c r="Q90" s="2" t="s">
        <v>334</v>
      </c>
      <c r="R90" s="2">
        <v>0</v>
      </c>
      <c r="S90" s="2">
        <v>0</v>
      </c>
      <c r="V90" s="276">
        <v>12</v>
      </c>
      <c r="X90" s="280">
        <v>3466407</v>
      </c>
      <c r="Y90" s="280">
        <v>1155469</v>
      </c>
      <c r="Z90" s="2" t="s">
        <v>288</v>
      </c>
      <c r="AA90" s="2" t="str">
        <f t="shared" si="19"/>
        <v>2027</v>
      </c>
      <c r="AB90" s="278" t="s">
        <v>292</v>
      </c>
      <c r="AC90" s="278"/>
      <c r="AD90" s="277" t="s">
        <v>149</v>
      </c>
      <c r="AE90" s="278" t="s">
        <v>149</v>
      </c>
      <c r="AF90" s="2" t="str">
        <f>IF(AD90="","",IF(ISNUMBER(AD90),IF(AND(AD90&gt;='2026 Calendar'!$C$4,AD90&lt;='2026 Calendar'!$E$107),LOOKUP(AD90,'2026 Calendar'!$C$4:$C$107,'2026 Calendar'!$A$4:$A$107),YEAR(AD90-WEEKDAY(AD90,2)+4)&amp;"/W"&amp;TEXT(WEEKNUM(AD90,21),"00")),IF(IFERROR(ISNUMBER(SEARCH("/W",AD90)),FALSE),IF(IFERROR(ISNUMBER(SEARCH("-",AD90)),FALSE),LEFT(AD90,SEARCH("-",AD90)-1),AD90),AD90)))</f>
        <v>TBC</v>
      </c>
      <c r="AG90" s="2" t="str">
        <f>IF(AE90="","",IF(ISNUMBER(AE90),IF(AND(AE90&gt;='2026 Calendar'!$C$4,AE90&lt;='2026 Calendar'!$E$107),LOOKUP(AE90,'2026 Calendar'!$C$4:$C$107,'2026 Calendar'!$A$4:$A$107),YEAR(AE90-WEEKDAY(AE90,2)+4)&amp;"/W"&amp;TEXT(WEEKNUM(AE90,21),"00")),IF(IFERROR(ISNUMBER(SEARCH("/W",AE90)),FALSE),IF(IFERROR(ISNUMBER(SEARCH("-",AE90)),FALSE),MID(AE90,SEARCH("-",AE90)+1,100),AE90),AE90)))</f>
        <v>TBC</v>
      </c>
      <c r="AH90" s="2" t="s">
        <v>342</v>
      </c>
      <c r="AI90" s="278"/>
      <c r="AJ90" s="278"/>
      <c r="AK90" s="2" t="s">
        <v>287</v>
      </c>
      <c r="AL90" s="278"/>
      <c r="AM90" s="278"/>
      <c r="AO90" s="278"/>
      <c r="AP90" s="278"/>
      <c r="AR90" s="278"/>
      <c r="AS90" s="278"/>
      <c r="AU90" s="278"/>
      <c r="AV90" s="278"/>
      <c r="AX90" s="278"/>
      <c r="AY90" s="278"/>
      <c r="BA90" s="278"/>
      <c r="BB90" s="278"/>
      <c r="BC90" s="2" t="str">
        <f t="shared" ref="BC90:BC121" si="22">IF(J90="","",IF(OR(J90="OB",J90="NOR",J90="FC",J90="PIPELINE"),"Active","Complete"))</f>
        <v>Active</v>
      </c>
      <c r="BE90" s="119" t="str">
        <f t="shared" ref="BE90:BE121" si="23">IF(UPPER(TRIM(J90))="SHIPPED","READY",_xlfn.LET(_xlpm.stage,IF(B90="","",B90&amp;": "),_xlpm.ip,_xlfn.TEXTJOIN(", ",TRUE,IF(LOWER(AH90)="in progress","Drawing",""),IF(LOWER(AK90)="in progress","Veneer/Wood",""),IF(LOWER(AN90)="in progress","Marble",""),IF(LOWER(AQ90)="in progress","Metal",""),IF(LOWER(AT90)="in progress","Mirror",""),IF(LOWER(AW90)="in progress","Electrical",""),IF(LOWER(AZ90)="in progress","Fabric","")),_xlpm.pa,_xlfn.TEXTJOIN(", ",TRUE,IF(LOWER(AH90)="pending approval","Drawing",""),IF(LOWER(AK90)="pending approval","Veneer/Wood",""),IF(LOWER(AN90)="pending approval","Marble",""),IF(LOWER(AQ90)="pending approval","Metal",""),IF(LOWER(AT90)="pending approval","Mirror",""),IF(LOWER(AW90)="pending approval","Electrical",""),IF(LOWER(AZ90)="pending approval","Fabric","")),_xlpm.ns,_xlfn.TEXTJOIN(", ",TRUE,IF(LOWER(AH90)="not started","Drawing",""),IF(LOWER(AK90)="not started","Veneer/Wood",""),IF(LOWER(AN90)="not started","Marble",""),IF(LOWER(AQ90)="not started","Metal",""),IF(LOWER(AT90)="not started","Mirror",""),IF(LOWER(AW90)="not started","Electrical",""),IF(LOWER(AZ90)="not started","Fabric","")),_xlpm.fab,IF(OR(LOWER(AZ90)="com",LOWER(AZ90)="com pending",LOWER(AZ90)="com received"),"Fabric is "&amp;LOWER(AZ90),""),_xlpm.parts,_xlfn.TEXTJOIN("; ",TRUE,IF(_xlpm.ip&lt;&gt;"","In progress: "&amp;_xlpm.ip,""),IF(_xlpm.pa&lt;&gt;"","Pending approval: "&amp;_xlpm.pa,""),IF(_xlpm.ns&lt;&gt;"","Not started: "&amp;_xlpm.ns,""),_xlpm.fab),_xlpm.deadline,MIN(IF(AND(AH90&lt;&gt;"",LOWER(AH90)&lt;&gt;"approved",LOWER(AH90)&lt;&gt;"n/a",ISNUMBER(AI90)),AI90,1E+99),IF(AND(AK90&lt;&gt;"",LOWER(AK90)&lt;&gt;"approved",LOWER(AK90)&lt;&gt;"n/a",ISNUMBER(AL90)),AL90,1E+99),IF(AND(AN90&lt;&gt;"",LOWER(AN90)&lt;&gt;"approved",LOWER(AN90)&lt;&gt;"n/a",ISNUMBER(AO90)),AO90,1E+99),IF(AND(AQ90&lt;&gt;"",LOWER(AQ90)&lt;&gt;"approved",LOWER(AQ90)&lt;&gt;"n/a",ISNUMBER(AR90)),AR90,1E+99),IF(AND(AT90&lt;&gt;"",LOWER(AT90)&lt;&gt;"approved",LOWER(AT90)&lt;&gt;"n/a",ISNUMBER(AU90)),AU90,1E+99),IF(AND(AW90&lt;&gt;"",LOWER(AW90)&lt;&gt;"approved",LOWER(AW90)&lt;&gt;"n/a",ISNUMBER(AX90)),AX90,1E+99),IF(AND(AZ90&lt;&gt;"",LOWER(AZ90)&lt;&gt;"approved",LOWER(AZ90)&lt;&gt;"n/a",ISNUMBER(BA90)),BA90,1E+99)),_xlpm.sw,IF(AG90="","",IFERROR("SW"&amp;MID(AG90,FIND("/W",AG90)+2,99),"SW "&amp;AG90)),_xlpm.stage&amp;IF(_xlpm.parts="","All development items approved/closed",_xlpm.parts)&amp;IF(AND(_xlpm.parts&lt;&gt;"",_xlpm.deadline&lt;1E+99),"; need approval by "&amp;TEXT(_xlpm.deadline,"d-mmm-yy"),"")&amp;IF(_xlpm.sw&lt;&gt;""," for "&amp;_xlpm.sw,"")))</f>
        <v>NPI: Not started: Veneer/Wood for SW TBC</v>
      </c>
    </row>
    <row r="91" spans="1:58" ht="29" x14ac:dyDescent="0.35">
      <c r="A91" s="2" t="str">
        <f>IFERROR(VLOOKUP(E91,'Customer '!$A$4:$D$23,3,FALSE),"")</f>
        <v>NON RH</v>
      </c>
      <c r="B91" s="2" t="s">
        <v>323</v>
      </c>
      <c r="C91" s="2" t="s">
        <v>340</v>
      </c>
      <c r="E91" s="2" t="s">
        <v>82</v>
      </c>
      <c r="F91" s="2" t="str">
        <f>IFERROR(VLOOKUP(E91,'Customer '!$A$4:$D$28,2,FALSE),"")</f>
        <v>L&amp;S</v>
      </c>
      <c r="G91" s="2" t="s">
        <v>191</v>
      </c>
      <c r="H9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2026-L&amp;S-HARD ROCK SAN JUAN</v>
      </c>
      <c r="I91" s="2">
        <f ca="1">IF(OR($H91="",$B91=""),0,--(COUNTIFS($H$3:$H91,$H91,$B$3:$B91,$B91)=1))</f>
        <v>1</v>
      </c>
      <c r="J91" s="2" t="s">
        <v>396</v>
      </c>
      <c r="K91" s="2" t="s">
        <v>273</v>
      </c>
      <c r="L91" s="2" t="s">
        <v>333</v>
      </c>
      <c r="M91" s="278">
        <v>46141</v>
      </c>
      <c r="N91" s="278">
        <v>46175</v>
      </c>
      <c r="O91" s="279">
        <v>46100</v>
      </c>
      <c r="P91" s="2" t="s">
        <v>51</v>
      </c>
      <c r="Q91" s="2" t="s">
        <v>369</v>
      </c>
      <c r="R91" s="2">
        <v>0</v>
      </c>
      <c r="S91" s="2">
        <v>0</v>
      </c>
      <c r="V91" s="276">
        <v>16</v>
      </c>
      <c r="W91" s="276">
        <v>20</v>
      </c>
      <c r="X91" s="280">
        <v>6614.04</v>
      </c>
      <c r="Y91" s="280">
        <v>6614.04</v>
      </c>
      <c r="Z91" s="2" t="s">
        <v>297</v>
      </c>
      <c r="AA91" s="2" t="str">
        <f t="shared" si="19"/>
        <v>2026</v>
      </c>
      <c r="AB91" s="278">
        <v>46234</v>
      </c>
      <c r="AC91" s="278"/>
      <c r="AD91" s="277">
        <v>46311</v>
      </c>
      <c r="AE91" s="278">
        <v>46325</v>
      </c>
      <c r="AF91" s="2" t="str">
        <f>IF(AD91="","",IF(ISNUMBER(AD91),IF(AND(AD91&gt;='2026 Calendar'!$C$4,AD91&lt;='2026 Calendar'!$E$107),LOOKUP(AD91,'2026 Calendar'!$C$4:$C$107,'2026 Calendar'!$A$4:$A$107),YEAR(AD91-WEEKDAY(AD91,2)+4)&amp;"/W"&amp;TEXT(WEEKNUM(AD91,21),"00")),IF(IFERROR(ISNUMBER(SEARCH("/W",AD91)),FALSE),IF(IFERROR(ISNUMBER(SEARCH("-",AD91)),FALSE),LEFT(AD91,SEARCH("-",AD91)-1),AD91),AD91)))</f>
        <v>2026/W42</v>
      </c>
      <c r="AG91" s="2" t="str">
        <f>IF(AE91="","",IF(ISNUMBER(AE91),IF(AND(AE91&gt;='2026 Calendar'!$C$4,AE91&lt;='2026 Calendar'!$E$107),LOOKUP(AE91,'2026 Calendar'!$C$4:$C$107,'2026 Calendar'!$A$4:$A$107),YEAR(AE91-WEEKDAY(AE91,2)+4)&amp;"/W"&amp;TEXT(WEEKNUM(AE91,21),"00")),IF(IFERROR(ISNUMBER(SEARCH("/W",AE91)),FALSE),IF(IFERROR(ISNUMBER(SEARCH("-",AE91)),FALSE),MID(AE91,SEARCH("-",AE91)+1,100),AE91),AE91)))</f>
        <v>2026/W44</v>
      </c>
      <c r="AH91" s="2" t="s">
        <v>304</v>
      </c>
      <c r="AI91" s="278"/>
      <c r="AJ91" s="278"/>
      <c r="AK91" s="2" t="s">
        <v>318</v>
      </c>
      <c r="AL91" s="278"/>
      <c r="AM91" s="278"/>
      <c r="AN91" s="2" t="s">
        <v>304</v>
      </c>
      <c r="AO91" s="278"/>
      <c r="AP91" s="278"/>
      <c r="AQ91" s="2" t="s">
        <v>318</v>
      </c>
      <c r="AR91" s="278"/>
      <c r="AS91" s="278"/>
      <c r="AT91" s="2" t="s">
        <v>72</v>
      </c>
      <c r="AU91" s="278"/>
      <c r="AV91" s="278"/>
      <c r="AW91" s="2" t="s">
        <v>304</v>
      </c>
      <c r="AX91" s="278"/>
      <c r="AY91" s="278"/>
      <c r="AZ91" s="2" t="s">
        <v>73</v>
      </c>
      <c r="BA91" s="278"/>
      <c r="BB91" s="278"/>
      <c r="BC91" s="2" t="str">
        <f t="shared" si="22"/>
        <v>Complete</v>
      </c>
      <c r="BE91" s="119" t="str">
        <f t="shared" si="23"/>
        <v>NPD: In progress: Drawing, Marble, Electrical; Pending approval: Veneer/Wood, Metal, Mirror for SW44</v>
      </c>
    </row>
    <row r="92" spans="1:58" x14ac:dyDescent="0.35">
      <c r="A92" s="2" t="str">
        <f>IFERROR(VLOOKUP(E92,'Customer '!$A$4:$D$23,3,FALSE),"")</f>
        <v>NON RH</v>
      </c>
      <c r="B92" s="2" t="s">
        <v>268</v>
      </c>
      <c r="C92" s="2" t="s">
        <v>340</v>
      </c>
      <c r="E92" s="2" t="s">
        <v>82</v>
      </c>
      <c r="F92" s="2" t="str">
        <f>IFERROR(VLOOKUP(E92,'Customer '!$A$4:$D$28,2,FALSE),"")</f>
        <v>L&amp;S</v>
      </c>
      <c r="G92" s="2" t="s">
        <v>191</v>
      </c>
      <c r="H9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2026-L&amp;S-HARD ROCK SAN JUAN</v>
      </c>
      <c r="I92" s="2">
        <f ca="1">IF(OR($H92="",$B92=""),0,--(COUNTIFS($H$3:$H92,$H92,$B$3:$B92,$B92)=1))</f>
        <v>1</v>
      </c>
      <c r="J92" s="2" t="s">
        <v>284</v>
      </c>
      <c r="K92" s="2" t="s">
        <v>273</v>
      </c>
      <c r="L92" s="2" t="s">
        <v>317</v>
      </c>
      <c r="M92" s="278"/>
      <c r="N92" s="278"/>
      <c r="O92" s="279"/>
      <c r="P92" s="2" t="s">
        <v>51</v>
      </c>
      <c r="Q92" s="2" t="s">
        <v>369</v>
      </c>
      <c r="R92" s="2">
        <v>20</v>
      </c>
      <c r="S92" s="2">
        <v>34</v>
      </c>
      <c r="V92" s="276">
        <v>5</v>
      </c>
      <c r="X92" s="280">
        <v>1500000</v>
      </c>
      <c r="Y92" s="280">
        <f>DetailTracker[[#This Row],[PROJECT VALUE $]]/2</f>
        <v>750000</v>
      </c>
      <c r="Z92" s="2" t="s">
        <v>370</v>
      </c>
      <c r="AA92" s="2" t="str">
        <f t="shared" si="19"/>
        <v>2027</v>
      </c>
      <c r="AB92" s="278"/>
      <c r="AC92" s="278"/>
      <c r="AD92" s="277" t="s">
        <v>149</v>
      </c>
      <c r="AE92" s="278" t="s">
        <v>149</v>
      </c>
      <c r="AF92" s="2" t="str">
        <f>IF(AD92="","",IF(ISNUMBER(AD92),IF(AND(AD92&gt;='2026 Calendar'!$C$4,AD92&lt;='2026 Calendar'!$E$107),LOOKUP(AD92,'2026 Calendar'!$C$4:$C$107,'2026 Calendar'!$A$4:$A$107),YEAR(AD92-WEEKDAY(AD92,2)+4)&amp;"/W"&amp;TEXT(WEEKNUM(AD92,21),"00")),IF(IFERROR(ISNUMBER(SEARCH("/W",AD92)),FALSE),IF(IFERROR(ISNUMBER(SEARCH("-",AD92)),FALSE),LEFT(AD92,SEARCH("-",AD92)-1),AD92),AD92)))</f>
        <v>TBC</v>
      </c>
      <c r="AG92" s="2" t="str">
        <f>IF(AE92="","",IF(ISNUMBER(AE92),IF(AND(AE92&gt;='2026 Calendar'!$C$4,AE92&lt;='2026 Calendar'!$E$107),LOOKUP(AE92,'2026 Calendar'!$C$4:$C$107,'2026 Calendar'!$A$4:$A$107),YEAR(AE92-WEEKDAY(AE92,2)+4)&amp;"/W"&amp;TEXT(WEEKNUM(AE92,21),"00")),IF(IFERROR(ISNUMBER(SEARCH("/W",AE92)),FALSE),IF(IFERROR(ISNUMBER(SEARCH("-",AE92)),FALSE),MID(AE92,SEARCH("-",AE92)+1,100),AE92),AE92)))</f>
        <v>TBC</v>
      </c>
      <c r="AH92" s="2" t="s">
        <v>304</v>
      </c>
      <c r="AI92" s="278"/>
      <c r="AJ92" s="278"/>
      <c r="AK92" s="2" t="s">
        <v>304</v>
      </c>
      <c r="AL92" s="278"/>
      <c r="AM92" s="278"/>
      <c r="AO92" s="278"/>
      <c r="AP92" s="278"/>
      <c r="AR92" s="278"/>
      <c r="AS92" s="278"/>
      <c r="AU92" s="278"/>
      <c r="AV92" s="278"/>
      <c r="AX92" s="278"/>
      <c r="AY92" s="278"/>
      <c r="BA92" s="278"/>
      <c r="BB92" s="278"/>
      <c r="BC92" s="2" t="str">
        <f t="shared" si="22"/>
        <v>Active</v>
      </c>
      <c r="BE92" s="119" t="str">
        <f t="shared" si="23"/>
        <v>NPI: In progress: Drawing, Veneer/Wood for SW TBC</v>
      </c>
    </row>
    <row r="93" spans="1:58" x14ac:dyDescent="0.35">
      <c r="A93" s="2" t="str">
        <f>IFERROR(VLOOKUP(E93,'Customer '!$A$4:$D$23,3,FALSE),"")</f>
        <v>NON RH</v>
      </c>
      <c r="B93" s="2" t="s">
        <v>268</v>
      </c>
      <c r="C93" s="2" t="s">
        <v>340</v>
      </c>
      <c r="E93" s="2" t="s">
        <v>82</v>
      </c>
      <c r="F93" s="2" t="str">
        <f>IFERROR(VLOOKUP(E93,'Customer '!$A$4:$D$28,2,FALSE),"")</f>
        <v>L&amp;S</v>
      </c>
      <c r="G93" s="2" t="s">
        <v>191</v>
      </c>
      <c r="H9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2026-L&amp;S-HARD ROCK SAN JUAN</v>
      </c>
      <c r="I93" s="2">
        <f ca="1">IF(OR($H93="",$B93=""),0,--(COUNTIFS($H$3:$H93,$H93,$B$3:$B93,$B93)=1))</f>
        <v>0</v>
      </c>
      <c r="J93" s="2" t="s">
        <v>284</v>
      </c>
      <c r="K93" s="2" t="s">
        <v>273</v>
      </c>
      <c r="L93" s="2" t="s">
        <v>317</v>
      </c>
      <c r="M93" s="278"/>
      <c r="N93" s="278"/>
      <c r="O93" s="279"/>
      <c r="P93" s="2" t="s">
        <v>51</v>
      </c>
      <c r="Q93" s="2" t="s">
        <v>369</v>
      </c>
      <c r="R93" s="2">
        <v>20</v>
      </c>
      <c r="S93" s="2">
        <v>34</v>
      </c>
      <c r="V93" s="276">
        <v>5</v>
      </c>
      <c r="X93" s="280">
        <v>1500000</v>
      </c>
      <c r="Y93" s="280">
        <f>DetailTracker[[#This Row],[PROJECT VALUE $]]/2</f>
        <v>750000</v>
      </c>
      <c r="Z93" s="2" t="s">
        <v>341</v>
      </c>
      <c r="AA93" s="2" t="str">
        <f t="shared" si="19"/>
        <v>2027</v>
      </c>
      <c r="AB93" s="278"/>
      <c r="AC93" s="278"/>
      <c r="AD93" s="277" t="s">
        <v>149</v>
      </c>
      <c r="AE93" s="278" t="s">
        <v>149</v>
      </c>
      <c r="AF93" s="2" t="str">
        <f>IF(AD93="","",IF(ISNUMBER(AD93),IF(AND(AD93&gt;='2026 Calendar'!$C$4,AD93&lt;='2026 Calendar'!$E$107),LOOKUP(AD93,'2026 Calendar'!$C$4:$C$107,'2026 Calendar'!$A$4:$A$107),YEAR(AD93-WEEKDAY(AD93,2)+4)&amp;"/W"&amp;TEXT(WEEKNUM(AD93,21),"00")),IF(IFERROR(ISNUMBER(SEARCH("/W",AD93)),FALSE),IF(IFERROR(ISNUMBER(SEARCH("-",AD93)),FALSE),LEFT(AD93,SEARCH("-",AD93)-1),AD93),AD93)))</f>
        <v>TBC</v>
      </c>
      <c r="AG93" s="2" t="str">
        <f>IF(AE93="","",IF(ISNUMBER(AE93),IF(AND(AE93&gt;='2026 Calendar'!$C$4,AE93&lt;='2026 Calendar'!$E$107),LOOKUP(AE93,'2026 Calendar'!$C$4:$C$107,'2026 Calendar'!$A$4:$A$107),YEAR(AE93-WEEKDAY(AE93,2)+4)&amp;"/W"&amp;TEXT(WEEKNUM(AE93,21),"00")),IF(IFERROR(ISNUMBER(SEARCH("/W",AE93)),FALSE),IF(IFERROR(ISNUMBER(SEARCH("-",AE93)),FALSE),MID(AE93,SEARCH("-",AE93)+1,100),AE93),AE93)))</f>
        <v>TBC</v>
      </c>
      <c r="AH93" s="2" t="s">
        <v>304</v>
      </c>
      <c r="AI93" s="278"/>
      <c r="AJ93" s="278"/>
      <c r="AK93" s="2" t="s">
        <v>304</v>
      </c>
      <c r="AL93" s="278"/>
      <c r="AM93" s="278"/>
      <c r="AO93" s="278"/>
      <c r="AP93" s="278"/>
      <c r="AR93" s="278"/>
      <c r="AS93" s="278"/>
      <c r="AU93" s="278"/>
      <c r="AV93" s="278"/>
      <c r="AX93" s="278"/>
      <c r="AY93" s="278"/>
      <c r="BA93" s="278"/>
      <c r="BB93" s="278"/>
      <c r="BC93" s="2" t="str">
        <f t="shared" si="22"/>
        <v>Active</v>
      </c>
      <c r="BE93" s="119" t="str">
        <f t="shared" si="23"/>
        <v>NPI: In progress: Drawing, Veneer/Wood for SW TBC</v>
      </c>
    </row>
    <row r="94" spans="1:58" x14ac:dyDescent="0.35">
      <c r="A94" s="2" t="str">
        <f>IFERROR(VLOOKUP(E94,'Customer '!$A$4:$D$23,3,FALSE),"")</f>
        <v>NON RH</v>
      </c>
      <c r="B94" s="2" t="s">
        <v>323</v>
      </c>
      <c r="C94" s="2" t="s">
        <v>298</v>
      </c>
      <c r="E94" s="2" t="s">
        <v>176</v>
      </c>
      <c r="F94" s="2" t="str">
        <f>IFERROR(VLOOKUP(E94,'Customer '!$A$4:$D$28,2,FALSE),"")</f>
        <v>SPECTRUM</v>
      </c>
      <c r="G94" s="2" t="s">
        <v>371</v>
      </c>
      <c r="H9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2026-SPECTRUM-OTMB VANITY</v>
      </c>
      <c r="I94" s="2">
        <f ca="1">IF(OR($H94="",$B94=""),0,--(COUNTIFS($H$3:$H94,$H94,$B$3:$B94,$B94)=1))</f>
        <v>1</v>
      </c>
      <c r="J94" s="2" t="s">
        <v>309</v>
      </c>
      <c r="K94" s="2" t="s">
        <v>273</v>
      </c>
      <c r="L94" s="2" t="s">
        <v>310</v>
      </c>
      <c r="M94" s="278">
        <v>46091</v>
      </c>
      <c r="N94" s="278">
        <v>46099</v>
      </c>
      <c r="O94" s="279"/>
      <c r="P94" s="2" t="s">
        <v>51</v>
      </c>
      <c r="Q94" s="2" t="s">
        <v>325</v>
      </c>
      <c r="R94" s="2">
        <v>0</v>
      </c>
      <c r="S94" s="2">
        <v>0</v>
      </c>
      <c r="V94" s="276">
        <v>4</v>
      </c>
      <c r="W94" s="276">
        <v>4</v>
      </c>
      <c r="X94" s="280">
        <v>4027.44</v>
      </c>
      <c r="Y94" s="280">
        <v>3273</v>
      </c>
      <c r="Z94" s="2" t="s">
        <v>282</v>
      </c>
      <c r="AA94" s="2" t="str">
        <f t="shared" si="19"/>
        <v>2026</v>
      </c>
      <c r="AB94" s="278" t="s">
        <v>292</v>
      </c>
      <c r="AC94" s="278"/>
      <c r="AD94" s="277">
        <v>46276</v>
      </c>
      <c r="AE94" s="278">
        <v>46297</v>
      </c>
      <c r="AF94" s="2" t="str">
        <f>IF(AD94="","",IF(ISNUMBER(AD94),IF(AND(AD94&gt;='2026 Calendar'!$C$4,AD94&lt;='2026 Calendar'!$E$107),LOOKUP(AD94,'2026 Calendar'!$C$4:$C$107,'2026 Calendar'!$A$4:$A$107),YEAR(AD94-WEEKDAY(AD94,2)+4)&amp;"/W"&amp;TEXT(WEEKNUM(AD94,21),"00")),IF(IFERROR(ISNUMBER(SEARCH("/W",AD94)),FALSE),IF(IFERROR(ISNUMBER(SEARCH("-",AD94)),FALSE),LEFT(AD94,SEARCH("-",AD94)-1),AD94),AD94)))</f>
        <v>2026/W37</v>
      </c>
      <c r="AG94" s="2" t="str">
        <f>IF(AE94="","",IF(ISNUMBER(AE94),IF(AND(AE94&gt;='2026 Calendar'!$C$4,AE94&lt;='2026 Calendar'!$E$107),LOOKUP(AE94,'2026 Calendar'!$C$4:$C$107,'2026 Calendar'!$A$4:$A$107),YEAR(AE94-WEEKDAY(AE94,2)+4)&amp;"/W"&amp;TEXT(WEEKNUM(AE94,21),"00")),IF(IFERROR(ISNUMBER(SEARCH("/W",AE94)),FALSE),IF(IFERROR(ISNUMBER(SEARCH("-",AE94)),FALSE),MID(AE94,SEARCH("-",AE94)+1,100),AE94),AE94)))</f>
        <v>2026/W40</v>
      </c>
      <c r="AH94" s="2" t="s">
        <v>56</v>
      </c>
      <c r="AI94" s="278"/>
      <c r="AJ94" s="278"/>
      <c r="AK94" s="2" t="s">
        <v>56</v>
      </c>
      <c r="AL94" s="278"/>
      <c r="AM94" s="278"/>
      <c r="AN94" s="2" t="s">
        <v>73</v>
      </c>
      <c r="AO94" s="278"/>
      <c r="AP94" s="278"/>
      <c r="AQ94" s="2" t="s">
        <v>56</v>
      </c>
      <c r="AR94" s="278"/>
      <c r="AS94" s="278"/>
      <c r="AT94" s="2" t="s">
        <v>56</v>
      </c>
      <c r="AU94" s="278"/>
      <c r="AV94" s="278"/>
      <c r="AW94" s="2" t="s">
        <v>73</v>
      </c>
      <c r="AX94" s="278"/>
      <c r="AY94" s="278"/>
      <c r="AZ94" s="2" t="s">
        <v>73</v>
      </c>
      <c r="BA94" s="278"/>
      <c r="BB94" s="278"/>
      <c r="BC94" s="2" t="str">
        <f t="shared" si="22"/>
        <v>Active</v>
      </c>
      <c r="BE94" s="119" t="str">
        <f t="shared" si="23"/>
        <v>NPD: All development items approved/closed for SW40</v>
      </c>
    </row>
    <row r="95" spans="1:58" x14ac:dyDescent="0.35">
      <c r="A95" s="2" t="str">
        <f>IFERROR(VLOOKUP(E95,'Customer '!$A$4:$D$23,3,FALSE),"")</f>
        <v>NON RH</v>
      </c>
      <c r="B95" s="2" t="s">
        <v>268</v>
      </c>
      <c r="C95" s="2" t="s">
        <v>298</v>
      </c>
      <c r="E95" s="2" t="s">
        <v>176</v>
      </c>
      <c r="F95" s="2" t="str">
        <f>IFERROR(VLOOKUP(E95,'Customer '!$A$4:$D$28,2,FALSE),"")</f>
        <v>SPECTRUM</v>
      </c>
      <c r="G95" s="2" t="s">
        <v>371</v>
      </c>
      <c r="H9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2026-SPECTRUM-OTMB VANITY</v>
      </c>
      <c r="I95" s="2">
        <f ca="1">IF(OR($H95="",$B95=""),0,--(COUNTIFS($H$3:$H95,$H95,$B$3:$B95,$B95)=1))</f>
        <v>1</v>
      </c>
      <c r="J95" s="2" t="s">
        <v>284</v>
      </c>
      <c r="K95" s="2" t="s">
        <v>273</v>
      </c>
      <c r="L95" s="2" t="s">
        <v>301</v>
      </c>
      <c r="M95" s="278"/>
      <c r="N95" s="278" t="s">
        <v>292</v>
      </c>
      <c r="O95" s="279"/>
      <c r="P95" s="2" t="s">
        <v>51</v>
      </c>
      <c r="Q95" s="2" t="s">
        <v>325</v>
      </c>
      <c r="R95" s="2">
        <v>0</v>
      </c>
      <c r="S95" s="2">
        <v>0</v>
      </c>
      <c r="V95" s="276">
        <v>4</v>
      </c>
      <c r="X95" s="280">
        <v>179782</v>
      </c>
      <c r="Y95" s="280">
        <v>179782</v>
      </c>
      <c r="Z95" s="2" t="s">
        <v>345</v>
      </c>
      <c r="AA95" s="2" t="str">
        <f t="shared" si="19"/>
        <v>2027</v>
      </c>
      <c r="AB95" s="278" t="s">
        <v>292</v>
      </c>
      <c r="AC95" s="278"/>
      <c r="AD95" s="277" t="s">
        <v>149</v>
      </c>
      <c r="AE95" s="278" t="s">
        <v>149</v>
      </c>
      <c r="AF95" s="2" t="str">
        <f>IF(AD95="","",IF(ISNUMBER(AD95),IF(AND(AD95&gt;='2026 Calendar'!$C$4,AD95&lt;='2026 Calendar'!$E$107),LOOKUP(AD95,'2026 Calendar'!$C$4:$C$107,'2026 Calendar'!$A$4:$A$107),YEAR(AD95-WEEKDAY(AD95,2)+4)&amp;"/W"&amp;TEXT(WEEKNUM(AD95,21),"00")),IF(IFERROR(ISNUMBER(SEARCH("/W",AD95)),FALSE),IF(IFERROR(ISNUMBER(SEARCH("-",AD95)),FALSE),LEFT(AD95,SEARCH("-",AD95)-1),AD95),AD95)))</f>
        <v>TBC</v>
      </c>
      <c r="AG95" s="2" t="str">
        <f>IF(AE95="","",IF(ISNUMBER(AE95),IF(AND(AE95&gt;='2026 Calendar'!$C$4,AE95&lt;='2026 Calendar'!$E$107),LOOKUP(AE95,'2026 Calendar'!$C$4:$C$107,'2026 Calendar'!$A$4:$A$107),YEAR(AE95-WEEKDAY(AE95,2)+4)&amp;"/W"&amp;TEXT(WEEKNUM(AE95,21),"00")),IF(IFERROR(ISNUMBER(SEARCH("/W",AE95)),FALSE),IF(IFERROR(ISNUMBER(SEARCH("-",AE95)),FALSE),MID(AE95,SEARCH("-",AE95)+1,100),AE95),AE95)))</f>
        <v>TBC</v>
      </c>
      <c r="AH95" s="2" t="s">
        <v>342</v>
      </c>
      <c r="AI95" s="278"/>
      <c r="AJ95" s="278"/>
      <c r="AK95" s="2" t="s">
        <v>287</v>
      </c>
      <c r="AL95" s="278"/>
      <c r="AM95" s="278"/>
      <c r="AN95" s="2" t="s">
        <v>73</v>
      </c>
      <c r="AO95" s="278"/>
      <c r="AP95" s="278"/>
      <c r="AQ95" s="2" t="s">
        <v>342</v>
      </c>
      <c r="AR95" s="278"/>
      <c r="AS95" s="278"/>
      <c r="AT95" s="2" t="s">
        <v>342</v>
      </c>
      <c r="AU95" s="278"/>
      <c r="AV95" s="278"/>
      <c r="AW95" s="2" t="s">
        <v>342</v>
      </c>
      <c r="AX95" s="278"/>
      <c r="AY95" s="278"/>
      <c r="AZ95" s="2" t="s">
        <v>342</v>
      </c>
      <c r="BA95" s="278"/>
      <c r="BB95" s="278"/>
      <c r="BC95" s="2" t="str">
        <f t="shared" si="22"/>
        <v>Active</v>
      </c>
      <c r="BE95" s="119" t="str">
        <f t="shared" si="23"/>
        <v>NPI: Not started: Veneer/Wood for SW TBC</v>
      </c>
    </row>
    <row r="96" spans="1:58" x14ac:dyDescent="0.35">
      <c r="A96" s="2" t="str">
        <f>IFERROR(VLOOKUP(E96,'Customer '!$A$4:$D$23,3,FALSE),"")</f>
        <v>NON RH</v>
      </c>
      <c r="B96" s="2" t="s">
        <v>323</v>
      </c>
      <c r="C96" s="2" t="s">
        <v>329</v>
      </c>
      <c r="E96" s="2" t="s">
        <v>373</v>
      </c>
      <c r="F96" s="2" t="str">
        <f>IFERROR(VLOOKUP(E96,'Customer '!$A$4:$D$28,2,FALSE),"")</f>
        <v>AYALA</v>
      </c>
      <c r="G96" s="2" t="s">
        <v>374</v>
      </c>
      <c r="H9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2026-AYALA-KHOBAR HILTON CANOPY HOTEL</v>
      </c>
      <c r="I96" s="2">
        <f ca="1">IF(OR($H96="",$B96=""),0,--(COUNTIFS($H$3:$H96,$H96,$B$3:$B96,$B96)=1))</f>
        <v>1</v>
      </c>
      <c r="J96" s="2" t="s">
        <v>272</v>
      </c>
      <c r="K96" s="2" t="s">
        <v>273</v>
      </c>
      <c r="L96" s="2" t="s">
        <v>274</v>
      </c>
      <c r="M96" s="278">
        <v>46156</v>
      </c>
      <c r="N96" s="278">
        <v>46177</v>
      </c>
      <c r="O96" s="279">
        <v>46197</v>
      </c>
      <c r="P96" s="2" t="s">
        <v>132</v>
      </c>
      <c r="Q96" s="2" t="s">
        <v>350</v>
      </c>
      <c r="R96" s="2">
        <v>0</v>
      </c>
      <c r="S96" s="2">
        <v>0</v>
      </c>
      <c r="V96" s="276">
        <v>9</v>
      </c>
      <c r="W96" s="276">
        <v>9</v>
      </c>
      <c r="X96" s="280">
        <v>7901.24</v>
      </c>
      <c r="Y96" s="280">
        <v>7901.24</v>
      </c>
      <c r="Z96" s="2" t="s">
        <v>282</v>
      </c>
      <c r="AA96" s="2" t="str">
        <f t="shared" si="19"/>
        <v>2026</v>
      </c>
      <c r="AB96" s="278">
        <v>46237</v>
      </c>
      <c r="AC96" s="278">
        <v>46241</v>
      </c>
      <c r="AD96" s="277">
        <v>46262</v>
      </c>
      <c r="AE96" s="278">
        <v>46262</v>
      </c>
      <c r="AF96" s="2" t="str">
        <f>IF(AD96="","",IF(ISNUMBER(AD96),IF(AND(AD96&gt;='2026 Calendar'!$C$4,AD96&lt;='2026 Calendar'!$E$107),LOOKUP(AD96,'2026 Calendar'!$C$4:$C$107,'2026 Calendar'!$A$4:$A$107),YEAR(AD96-WEEKDAY(AD96,2)+4)&amp;"/W"&amp;TEXT(WEEKNUM(AD96,21),"00")),IF(IFERROR(ISNUMBER(SEARCH("/W",AD96)),FALSE),IF(IFERROR(ISNUMBER(SEARCH("-",AD96)),FALSE),LEFT(AD96,SEARCH("-",AD96)-1),AD96),AD96)))</f>
        <v>2026/W35</v>
      </c>
      <c r="AG96" s="2" t="str">
        <f>IF(AE96="","",IF(ISNUMBER(AE96),IF(AND(AE96&gt;='2026 Calendar'!$C$4,AE96&lt;='2026 Calendar'!$E$107),LOOKUP(AE96,'2026 Calendar'!$C$4:$C$107,'2026 Calendar'!$A$4:$A$107),YEAR(AE96-WEEKDAY(AE96,2)+4)&amp;"/W"&amp;TEXT(WEEKNUM(AE96,21),"00")),IF(IFERROR(ISNUMBER(SEARCH("/W",AE96)),FALSE),IF(IFERROR(ISNUMBER(SEARCH("-",AE96)),FALSE),MID(AE96,SEARCH("-",AE96)+1,100),AE96),AE96)))</f>
        <v>2026/W35</v>
      </c>
      <c r="AH96" s="2" t="s">
        <v>304</v>
      </c>
      <c r="AI96" s="278"/>
      <c r="AJ96" s="278"/>
      <c r="AK96" s="2" t="s">
        <v>304</v>
      </c>
      <c r="AL96" s="278"/>
      <c r="AM96" s="278"/>
      <c r="AN96" s="2" t="s">
        <v>56</v>
      </c>
      <c r="AO96" s="278"/>
      <c r="AP96" s="278">
        <v>46196</v>
      </c>
      <c r="AQ96" s="2" t="s">
        <v>318</v>
      </c>
      <c r="AR96" s="278"/>
      <c r="AS96" s="278"/>
      <c r="AT96" s="2" t="s">
        <v>73</v>
      </c>
      <c r="AU96" s="278"/>
      <c r="AV96" s="278"/>
      <c r="AW96" s="2" t="s">
        <v>73</v>
      </c>
      <c r="AX96" s="278"/>
      <c r="AY96" s="278"/>
      <c r="AZ96" s="2" t="s">
        <v>57</v>
      </c>
      <c r="BA96" s="278"/>
      <c r="BB96" s="278">
        <v>46210</v>
      </c>
      <c r="BC96" s="2" t="str">
        <f t="shared" si="22"/>
        <v>Complete</v>
      </c>
      <c r="BE96" s="119" t="str">
        <f t="shared" si="23"/>
        <v>READY</v>
      </c>
    </row>
    <row r="97" spans="1:57" ht="29" x14ac:dyDescent="0.35">
      <c r="A97" s="2" t="str">
        <f>IFERROR(VLOOKUP(E97,'Customer '!$A$4:$D$23,3,FALSE),"")</f>
        <v>NON RH</v>
      </c>
      <c r="B97" s="2" t="s">
        <v>323</v>
      </c>
      <c r="C97" s="2" t="s">
        <v>329</v>
      </c>
      <c r="E97" s="2" t="s">
        <v>376</v>
      </c>
      <c r="F97" s="2" t="str">
        <f>IFERROR(VLOOKUP(E97,'Customer '!$A$4:$D$28,2,FALSE),"")</f>
        <v>BENJAMIN</v>
      </c>
      <c r="G97" s="2" t="s">
        <v>377</v>
      </c>
      <c r="H9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2026-BENJAMIN-HACIENDA HOTEL LISBON PORTUGAL </v>
      </c>
      <c r="I97" s="2">
        <f ca="1">IF(OR($H97="",$B97=""),0,--(COUNTIFS($H$3:$H97,$H97,$B$3:$B97,$B97)=1))</f>
        <v>1</v>
      </c>
      <c r="J97" s="2" t="s">
        <v>309</v>
      </c>
      <c r="K97" s="2" t="s">
        <v>273</v>
      </c>
      <c r="L97" s="2" t="s">
        <v>372</v>
      </c>
      <c r="M97" s="278">
        <v>46202</v>
      </c>
      <c r="N97" s="278">
        <v>46233</v>
      </c>
      <c r="O97" s="279"/>
      <c r="P97" s="2" t="s">
        <v>147</v>
      </c>
      <c r="Q97" s="2" t="s">
        <v>313</v>
      </c>
      <c r="R97" s="2">
        <v>0</v>
      </c>
      <c r="S97" s="2">
        <v>0</v>
      </c>
      <c r="V97" s="276">
        <v>21</v>
      </c>
      <c r="W97" s="276">
        <v>23</v>
      </c>
      <c r="X97" s="280">
        <v>32000</v>
      </c>
      <c r="Y97" s="280">
        <v>32000</v>
      </c>
      <c r="Z97" s="2" t="s">
        <v>330</v>
      </c>
      <c r="AA97" s="2" t="str">
        <f t="shared" si="19"/>
        <v>2026</v>
      </c>
      <c r="AB97" s="278"/>
      <c r="AC97" s="278"/>
      <c r="AD97" s="277">
        <v>46339</v>
      </c>
      <c r="AE97" s="278">
        <v>46360</v>
      </c>
      <c r="AF97" s="2" t="str">
        <f>IF(AD97="","",IF(ISNUMBER(AD97),IF(AND(AD97&gt;='2026 Calendar'!$C$4,AD97&lt;='2026 Calendar'!$E$107),LOOKUP(AD97,'2026 Calendar'!$C$4:$C$107,'2026 Calendar'!$A$4:$A$107),YEAR(AD97-WEEKDAY(AD97,2)+4)&amp;"/W"&amp;TEXT(WEEKNUM(AD97,21),"00")),IF(IFERROR(ISNUMBER(SEARCH("/W",AD97)),FALSE),IF(IFERROR(ISNUMBER(SEARCH("-",AD97)),FALSE),LEFT(AD97,SEARCH("-",AD97)-1),AD97),AD97)))</f>
        <v>2026/W46</v>
      </c>
      <c r="AG97" s="2" t="str">
        <f>IF(AE97="","",IF(ISNUMBER(AE97),IF(AND(AE97&gt;='2026 Calendar'!$C$4,AE97&lt;='2026 Calendar'!$E$107),LOOKUP(AE97,'2026 Calendar'!$C$4:$C$107,'2026 Calendar'!$A$4:$A$107),YEAR(AE97-WEEKDAY(AE97,2)+4)&amp;"/W"&amp;TEXT(WEEKNUM(AE97,21),"00")),IF(IFERROR(ISNUMBER(SEARCH("/W",AE97)),FALSE),IF(IFERROR(ISNUMBER(SEARCH("-",AE97)),FALSE),MID(AE97,SEARCH("-",AE97)+1,100),AE97),AE97)))</f>
        <v>2026/W49</v>
      </c>
      <c r="AH97" s="2" t="s">
        <v>304</v>
      </c>
      <c r="AI97" s="278">
        <v>46291</v>
      </c>
      <c r="AJ97" s="278"/>
      <c r="AK97" s="2" t="s">
        <v>304</v>
      </c>
      <c r="AL97" s="278">
        <v>46291</v>
      </c>
      <c r="AM97" s="278"/>
      <c r="AN97" s="2" t="s">
        <v>304</v>
      </c>
      <c r="AO97" s="278">
        <v>46291</v>
      </c>
      <c r="AP97" s="278"/>
      <c r="AQ97" s="2" t="s">
        <v>304</v>
      </c>
      <c r="AR97" s="278">
        <v>46291</v>
      </c>
      <c r="AS97" s="278"/>
      <c r="AT97" s="2" t="s">
        <v>73</v>
      </c>
      <c r="AU97" s="278"/>
      <c r="AV97" s="278"/>
      <c r="AW97" s="2" t="s">
        <v>73</v>
      </c>
      <c r="AX97" s="278"/>
      <c r="AY97" s="278"/>
      <c r="AZ97" s="2" t="s">
        <v>331</v>
      </c>
      <c r="BA97" s="278"/>
      <c r="BB97" s="278"/>
      <c r="BC97" s="2" t="str">
        <f t="shared" si="22"/>
        <v>Active</v>
      </c>
      <c r="BE97" s="119" t="str">
        <f t="shared" si="23"/>
        <v>NPD: In progress: Drawing, Veneer/Wood, Marble, Metal; Fabric is com pending; need approval by 26-Sep-26 for SW49</v>
      </c>
    </row>
    <row r="98" spans="1:57" x14ac:dyDescent="0.35">
      <c r="A98" s="2" t="str">
        <f>IFERROR(VLOOKUP(E98,'Customer '!$A$4:$D$23,3,FALSE),"")</f>
        <v>NON RH</v>
      </c>
      <c r="B98" s="2" t="s">
        <v>268</v>
      </c>
      <c r="C98" s="2" t="s">
        <v>329</v>
      </c>
      <c r="E98" s="2" t="s">
        <v>376</v>
      </c>
      <c r="F98" s="2" t="str">
        <f>IFERROR(VLOOKUP(E98,'Customer '!$A$4:$D$28,2,FALSE),"")</f>
        <v>BENJAMIN</v>
      </c>
      <c r="G98" s="2" t="s">
        <v>377</v>
      </c>
      <c r="H9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2026-BENJAMIN-HACIENDA HOTEL LISBON PORTUGAL </v>
      </c>
      <c r="I98" s="2">
        <f ca="1">IF(OR($H98="",$B98=""),0,--(COUNTIFS($H$3:$H98,$H98,$B$3:$B98,$B98)=1))</f>
        <v>1</v>
      </c>
      <c r="J98" s="2" t="s">
        <v>284</v>
      </c>
      <c r="K98" s="2" t="s">
        <v>273</v>
      </c>
      <c r="L98" s="2" t="s">
        <v>317</v>
      </c>
      <c r="M98" s="278"/>
      <c r="N98" s="278"/>
      <c r="O98" s="279"/>
      <c r="P98" s="2" t="s">
        <v>147</v>
      </c>
      <c r="Q98" s="2" t="s">
        <v>313</v>
      </c>
      <c r="R98" s="2">
        <v>64</v>
      </c>
      <c r="S98" s="2">
        <v>137</v>
      </c>
      <c r="V98" s="276">
        <v>122</v>
      </c>
      <c r="W98" s="276">
        <v>1011</v>
      </c>
      <c r="X98" s="280">
        <v>596794</v>
      </c>
      <c r="Y98" s="280">
        <v>596794</v>
      </c>
      <c r="Z98" s="2" t="s">
        <v>286</v>
      </c>
      <c r="AA98" s="2" t="str">
        <f t="shared" si="19"/>
        <v>2027</v>
      </c>
      <c r="AB98" s="278"/>
      <c r="AC98" s="278"/>
      <c r="AD98" s="277" t="s">
        <v>149</v>
      </c>
      <c r="AE98" s="278" t="s">
        <v>149</v>
      </c>
      <c r="AF98" s="2" t="str">
        <f>IF(AD98="","",IF(ISNUMBER(AD98),IF(AND(AD98&gt;='2026 Calendar'!$C$4,AD98&lt;='2026 Calendar'!$E$107),LOOKUP(AD98,'2026 Calendar'!$C$4:$C$107,'2026 Calendar'!$A$4:$A$107),YEAR(AD98-WEEKDAY(AD98,2)+4)&amp;"/W"&amp;TEXT(WEEKNUM(AD98,21),"00")),IF(IFERROR(ISNUMBER(SEARCH("/W",AD98)),FALSE),IF(IFERROR(ISNUMBER(SEARCH("-",AD98)),FALSE),LEFT(AD98,SEARCH("-",AD98)-1),AD98),AD98)))</f>
        <v>TBC</v>
      </c>
      <c r="AG98" s="2" t="str">
        <f>IF(AE98="","",IF(ISNUMBER(AE98),IF(AND(AE98&gt;='2026 Calendar'!$C$4,AE98&lt;='2026 Calendar'!$E$107),LOOKUP(AE98,'2026 Calendar'!$C$4:$C$107,'2026 Calendar'!$A$4:$A$107),YEAR(AE98-WEEKDAY(AE98,2)+4)&amp;"/W"&amp;TEXT(WEEKNUM(AE98,21),"00")),IF(IFERROR(ISNUMBER(SEARCH("/W",AE98)),FALSE),IF(IFERROR(ISNUMBER(SEARCH("-",AE98)),FALSE),MID(AE98,SEARCH("-",AE98)+1,100),AE98),AE98)))</f>
        <v>TBC</v>
      </c>
      <c r="AH98" s="2" t="s">
        <v>287</v>
      </c>
      <c r="AI98" s="278"/>
      <c r="AJ98" s="278"/>
      <c r="AK98" s="2" t="s">
        <v>287</v>
      </c>
      <c r="AL98" s="278"/>
      <c r="AM98" s="278"/>
      <c r="AO98" s="278"/>
      <c r="AP98" s="278"/>
      <c r="AR98" s="278"/>
      <c r="AS98" s="278"/>
      <c r="AU98" s="278"/>
      <c r="AV98" s="278"/>
      <c r="AX98" s="278"/>
      <c r="AY98" s="278"/>
      <c r="BA98" s="278"/>
      <c r="BB98" s="278"/>
      <c r="BC98" s="2" t="str">
        <f t="shared" si="22"/>
        <v>Active</v>
      </c>
      <c r="BE98" s="119" t="str">
        <f t="shared" si="23"/>
        <v>NPI: Not started: Drawing, Veneer/Wood for SW TBC</v>
      </c>
    </row>
    <row r="99" spans="1:57" x14ac:dyDescent="0.35">
      <c r="A99" s="2" t="str">
        <f>IFERROR(VLOOKUP(E99,'Customer '!$A$4:$D$23,3,FALSE),"")</f>
        <v>RH</v>
      </c>
      <c r="B99" s="2" t="s">
        <v>268</v>
      </c>
      <c r="C99" s="2" t="s">
        <v>272</v>
      </c>
      <c r="D99" s="2" t="s">
        <v>270</v>
      </c>
      <c r="E99" s="2" t="s">
        <v>61</v>
      </c>
      <c r="F99" s="2" t="str">
        <f>IFERROR(VLOOKUP(E99,'Customer '!$A$4:$D$28,2,FALSE),"")</f>
        <v>RH</v>
      </c>
      <c r="G99" s="2" t="s">
        <v>103</v>
      </c>
      <c r="H9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2025-RH-FOX HARBOR</v>
      </c>
      <c r="I99" s="2">
        <f ca="1">IF(OR($H99="",$B99=""),0,--(COUNTIFS($H$3:$H99,$H99,$B$3:$B99,$B99)=1))</f>
        <v>0</v>
      </c>
      <c r="J99" s="2" t="s">
        <v>272</v>
      </c>
      <c r="K99" s="2" t="s">
        <v>273</v>
      </c>
      <c r="L99" s="2" t="s">
        <v>274</v>
      </c>
      <c r="M99" s="278">
        <v>45917</v>
      </c>
      <c r="N99" s="278"/>
      <c r="O99" s="279"/>
      <c r="P99" s="2" t="s">
        <v>152</v>
      </c>
      <c r="Q99" s="2" t="s">
        <v>152</v>
      </c>
      <c r="V99" s="276">
        <v>26</v>
      </c>
      <c r="X99" s="280">
        <v>71837</v>
      </c>
      <c r="Y99" s="280">
        <v>71837</v>
      </c>
      <c r="Z99" s="2" t="s">
        <v>378</v>
      </c>
      <c r="AA99" s="2" t="str">
        <f t="shared" si="19"/>
        <v>2026</v>
      </c>
      <c r="AB99" s="278"/>
      <c r="AC99" s="278"/>
      <c r="AD99" s="277">
        <v>45674</v>
      </c>
      <c r="AE99" s="278">
        <v>45674</v>
      </c>
      <c r="AF99" s="2" t="str">
        <f>IF(AD99="","",IF(ISNUMBER(AD99),IF(AND(AD99&gt;='2026 Calendar'!$C$4,AD99&lt;='2026 Calendar'!$E$107),LOOKUP(AD99,'2026 Calendar'!$C$4:$C$107,'2026 Calendar'!$A$4:$A$107),YEAR(AD99-WEEKDAY(AD99,2)+4)&amp;"/W"&amp;TEXT(WEEKNUM(AD99,21),"00")),IF(IFERROR(ISNUMBER(SEARCH("/W",AD99)),FALSE),IF(IFERROR(ISNUMBER(SEARCH("-",AD99)),FALSE),LEFT(AD99,SEARCH("-",AD99)-1),AD99),AD99)))</f>
        <v>2025/W03</v>
      </c>
      <c r="AG99" s="2" t="str">
        <f>IF(AE99="","",IF(ISNUMBER(AE99),IF(AND(AE99&gt;='2026 Calendar'!$C$4,AE99&lt;='2026 Calendar'!$E$107),LOOKUP(AE99,'2026 Calendar'!$C$4:$C$107,'2026 Calendar'!$A$4:$A$107),YEAR(AE99-WEEKDAY(AE99,2)+4)&amp;"/W"&amp;TEXT(WEEKNUM(AE99,21),"00")),IF(IFERROR(ISNUMBER(SEARCH("/W",AE99)),FALSE),IF(IFERROR(ISNUMBER(SEARCH("-",AE99)),FALSE),MID(AE99,SEARCH("-",AE99)+1,100),AE99),AE99)))</f>
        <v>2025/W03</v>
      </c>
      <c r="AH99" s="2" t="s">
        <v>56</v>
      </c>
      <c r="AI99" s="278"/>
      <c r="AJ99" s="278"/>
      <c r="AK99" s="2" t="s">
        <v>56</v>
      </c>
      <c r="AL99" s="278"/>
      <c r="AM99" s="278"/>
      <c r="AN99" s="2" t="s">
        <v>73</v>
      </c>
      <c r="AO99" s="278"/>
      <c r="AP99" s="278"/>
      <c r="AQ99" s="2" t="s">
        <v>56</v>
      </c>
      <c r="AR99" s="278"/>
      <c r="AS99" s="278"/>
      <c r="AT99" s="2" t="s">
        <v>73</v>
      </c>
      <c r="AU99" s="278"/>
      <c r="AV99" s="278"/>
      <c r="AW99" s="2" t="s">
        <v>73</v>
      </c>
      <c r="AX99" s="278"/>
      <c r="AY99" s="278"/>
      <c r="AZ99" s="2" t="s">
        <v>57</v>
      </c>
      <c r="BA99" s="278"/>
      <c r="BB99" s="278"/>
      <c r="BC99" s="2" t="str">
        <f t="shared" si="22"/>
        <v>Complete</v>
      </c>
      <c r="BD99" s="2" t="s">
        <v>279</v>
      </c>
      <c r="BE99" s="119" t="str">
        <f t="shared" si="23"/>
        <v>READY</v>
      </c>
    </row>
    <row r="100" spans="1:57" x14ac:dyDescent="0.35">
      <c r="A100" s="2" t="str">
        <f>IFERROR(VLOOKUP(E100,'Customer '!$A$4:$D$23,3,FALSE),"")</f>
        <v>NON RH</v>
      </c>
      <c r="B100" s="2" t="s">
        <v>268</v>
      </c>
      <c r="C100" s="2" t="s">
        <v>308</v>
      </c>
      <c r="E100" s="2" t="s">
        <v>379</v>
      </c>
      <c r="F100" s="2" t="str">
        <f>IFERROR(VLOOKUP(E100,'Customer '!$A$4:$D$28,2,FALSE),"")</f>
        <v>WOODHAUS</v>
      </c>
      <c r="G100" s="2" t="s">
        <v>380</v>
      </c>
      <c r="H10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2026-WOODHAUS-KNOX HENDERSON</v>
      </c>
      <c r="I100" s="2">
        <f ca="1">IF(OR($H100="",$B100=""),0,--(COUNTIFS($H$3:$H100,$H100,$B$3:$B100,$B100)=1))</f>
        <v>1</v>
      </c>
      <c r="J100" s="2" t="s">
        <v>272</v>
      </c>
      <c r="K100" s="2" t="s">
        <v>273</v>
      </c>
      <c r="L100" s="2" t="s">
        <v>274</v>
      </c>
      <c r="M100" s="278">
        <v>46128</v>
      </c>
      <c r="N100" s="278">
        <v>46158</v>
      </c>
      <c r="O100" s="279"/>
      <c r="P100" s="2" t="s">
        <v>51</v>
      </c>
      <c r="Q100" s="2" t="s">
        <v>349</v>
      </c>
      <c r="V100" s="276">
        <v>12</v>
      </c>
      <c r="X100" s="280">
        <v>22198</v>
      </c>
      <c r="Y100" s="280">
        <v>22198</v>
      </c>
      <c r="Z100" s="2" t="s">
        <v>282</v>
      </c>
      <c r="AA100" s="2" t="str">
        <f t="shared" si="19"/>
        <v>2026</v>
      </c>
      <c r="AB100" s="278">
        <v>46218</v>
      </c>
      <c r="AC100" s="278">
        <v>46234</v>
      </c>
      <c r="AD100" s="277">
        <v>46238</v>
      </c>
      <c r="AE100" s="277">
        <v>46238</v>
      </c>
      <c r="AF100" s="2" t="str">
        <f>IF(AD100="","",IF(ISNUMBER(AD100),IF(AND(AD100&gt;='2026 Calendar'!$C$4,AD100&lt;='2026 Calendar'!$E$107),LOOKUP(AD100,'2026 Calendar'!$C$4:$C$107,'2026 Calendar'!$A$4:$A$107),YEAR(AD100-WEEKDAY(AD100,2)+4)&amp;"/W"&amp;TEXT(WEEKNUM(AD100,21),"00")),IF(IFERROR(ISNUMBER(SEARCH("/W",AD100)),FALSE),IF(IFERROR(ISNUMBER(SEARCH("-",AD100)),FALSE),LEFT(AD100,SEARCH("-",AD100)-1),AD100),AD100)))</f>
        <v>2026/W32</v>
      </c>
      <c r="AG100" s="2" t="str">
        <f>IF(AE100="","",IF(ISNUMBER(AE100),IF(AND(AE100&gt;='2026 Calendar'!$C$4,AE100&lt;='2026 Calendar'!$E$107),LOOKUP(AE100,'2026 Calendar'!$C$4:$C$107,'2026 Calendar'!$A$4:$A$107),YEAR(AE100-WEEKDAY(AE100,2)+4)&amp;"/W"&amp;TEXT(WEEKNUM(AE100,21),"00")),IF(IFERROR(ISNUMBER(SEARCH("/W",AE100)),FALSE),IF(IFERROR(ISNUMBER(SEARCH("-",AE100)),FALSE),MID(AE100,SEARCH("-",AE100)+1,100),AE100),AE100)))</f>
        <v>2026/W32</v>
      </c>
      <c r="AH100" s="2" t="s">
        <v>56</v>
      </c>
      <c r="AI100" s="278"/>
      <c r="AJ100" s="278">
        <v>46156</v>
      </c>
      <c r="AK100" s="2" t="s">
        <v>56</v>
      </c>
      <c r="AL100" s="278"/>
      <c r="AM100" s="278"/>
      <c r="AN100" s="2" t="s">
        <v>73</v>
      </c>
      <c r="AO100" s="278"/>
      <c r="AP100" s="278"/>
      <c r="AQ100" s="2" t="s">
        <v>73</v>
      </c>
      <c r="AR100" s="278"/>
      <c r="AS100" s="278"/>
      <c r="AT100" s="2" t="s">
        <v>73</v>
      </c>
      <c r="AU100" s="278"/>
      <c r="AV100" s="278"/>
      <c r="AW100" s="2" t="s">
        <v>73</v>
      </c>
      <c r="AX100" s="278"/>
      <c r="AY100" s="278"/>
      <c r="AZ100" s="2" t="s">
        <v>73</v>
      </c>
      <c r="BA100" s="278"/>
      <c r="BB100" s="278"/>
      <c r="BC100" s="2" t="str">
        <f t="shared" si="22"/>
        <v>Complete</v>
      </c>
      <c r="BE100" s="119" t="str">
        <f t="shared" si="23"/>
        <v>READY</v>
      </c>
    </row>
    <row r="101" spans="1:57" x14ac:dyDescent="0.35">
      <c r="A101" s="2" t="str">
        <f>IFERROR(VLOOKUP(E101,'Customer '!$A$4:$D$23,3,FALSE),"")</f>
        <v>NON RH</v>
      </c>
      <c r="B101" s="2" t="s">
        <v>268</v>
      </c>
      <c r="C101" s="2" t="s">
        <v>340</v>
      </c>
      <c r="E101" s="2" t="s">
        <v>196</v>
      </c>
      <c r="F101" s="2" t="str">
        <f>IFERROR(VLOOKUP(E101,'Customer '!$A$4:$D$28,2,FALSE),"")</f>
        <v>TRIMA</v>
      </c>
      <c r="G101" s="2" t="s">
        <v>381</v>
      </c>
      <c r="H10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2026-TRIMA-JOIA TIERRA DEL SOL</v>
      </c>
      <c r="I101" s="2">
        <f ca="1">IF(OR($H101="",$B101=""),0,--(COUNTIFS($H$3:$H101,$H101,$B$3:$B101,$B101)=1))</f>
        <v>1</v>
      </c>
      <c r="J101" s="2" t="s">
        <v>316</v>
      </c>
      <c r="K101" s="2" t="s">
        <v>273</v>
      </c>
      <c r="L101" s="2" t="s">
        <v>285</v>
      </c>
      <c r="M101" s="278"/>
      <c r="N101" s="278"/>
      <c r="O101" s="279"/>
      <c r="P101" s="2" t="s">
        <v>382</v>
      </c>
      <c r="Q101" s="2" t="s">
        <v>383</v>
      </c>
      <c r="R101" s="2">
        <v>0</v>
      </c>
      <c r="S101" s="2">
        <v>0</v>
      </c>
      <c r="X101" s="280">
        <v>1131814</v>
      </c>
      <c r="Y101" s="280">
        <v>1131814</v>
      </c>
      <c r="Z101" s="2" t="s">
        <v>288</v>
      </c>
      <c r="AA101" s="2" t="str">
        <f t="shared" si="19"/>
        <v>2027</v>
      </c>
      <c r="AB101" s="278"/>
      <c r="AC101" s="278"/>
      <c r="AD101" s="277" t="s">
        <v>149</v>
      </c>
      <c r="AE101" s="278" t="s">
        <v>149</v>
      </c>
      <c r="AF101" s="2" t="str">
        <f>IF(AD101="","",IF(ISNUMBER(AD101),IF(AND(AD101&gt;='2026 Calendar'!$C$4,AD101&lt;='2026 Calendar'!$E$107),LOOKUP(AD101,'2026 Calendar'!$C$4:$C$107,'2026 Calendar'!$A$4:$A$107),YEAR(AD101-WEEKDAY(AD101,2)+4)&amp;"/W"&amp;TEXT(WEEKNUM(AD101,21),"00")),IF(IFERROR(ISNUMBER(SEARCH("/W",AD101)),FALSE),IF(IFERROR(ISNUMBER(SEARCH("-",AD101)),FALSE),LEFT(AD101,SEARCH("-",AD101)-1),AD101),AD101)))</f>
        <v>TBC</v>
      </c>
      <c r="AG101" s="2" t="str">
        <f>IF(AE101="","",IF(ISNUMBER(AE101),IF(AND(AE101&gt;='2026 Calendar'!$C$4,AE101&lt;='2026 Calendar'!$E$107),LOOKUP(AE101,'2026 Calendar'!$C$4:$C$107,'2026 Calendar'!$A$4:$A$107),YEAR(AE101-WEEKDAY(AE101,2)+4)&amp;"/W"&amp;TEXT(WEEKNUM(AE101,21),"00")),IF(IFERROR(ISNUMBER(SEARCH("/W",AE101)),FALSE),IF(IFERROR(ISNUMBER(SEARCH("-",AE101)),FALSE),MID(AE101,SEARCH("-",AE101)+1,100),AE101),AE101)))</f>
        <v>TBC</v>
      </c>
      <c r="AH101" s="2" t="s">
        <v>342</v>
      </c>
      <c r="AI101" s="278"/>
      <c r="AJ101" s="278"/>
      <c r="AL101" s="278"/>
      <c r="AM101" s="278"/>
      <c r="AO101" s="278"/>
      <c r="AP101" s="278"/>
      <c r="AR101" s="278"/>
      <c r="AS101" s="278"/>
      <c r="AU101" s="278"/>
      <c r="AV101" s="278"/>
      <c r="AX101" s="278"/>
      <c r="AY101" s="278"/>
      <c r="BA101" s="278"/>
      <c r="BB101" s="278"/>
      <c r="BC101" s="2" t="str">
        <f t="shared" si="22"/>
        <v>Active</v>
      </c>
      <c r="BE101" s="119" t="str">
        <f t="shared" si="23"/>
        <v>NPI: All development items approved/closed for SW TBC</v>
      </c>
    </row>
    <row r="102" spans="1:57" x14ac:dyDescent="0.35">
      <c r="A102" s="2" t="str">
        <f>IFERROR(VLOOKUP(E102,'Customer '!$A$4:$D$23,3,FALSE),"")</f>
        <v>NON RH</v>
      </c>
      <c r="B102" s="2" t="s">
        <v>268</v>
      </c>
      <c r="C102" s="2" t="s">
        <v>340</v>
      </c>
      <c r="E102" s="2" t="s">
        <v>196</v>
      </c>
      <c r="F102" s="2" t="str">
        <f>IFERROR(VLOOKUP(E102,'Customer '!$A$4:$D$28,2,FALSE),"")</f>
        <v>TRIMA</v>
      </c>
      <c r="G102" s="2" t="s">
        <v>381</v>
      </c>
      <c r="H10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2026-TRIMA-JOIA TIERRA DEL SOL</v>
      </c>
      <c r="I102" s="2">
        <f ca="1">IF(OR($H102="",$B102=""),0,--(COUNTIFS($H$3:$H102,$H102,$B$3:$B102,$B102)=1))</f>
        <v>0</v>
      </c>
      <c r="J102" s="2" t="s">
        <v>316</v>
      </c>
      <c r="K102" s="2" t="s">
        <v>273</v>
      </c>
      <c r="L102" s="2" t="s">
        <v>285</v>
      </c>
      <c r="M102" s="278"/>
      <c r="N102" s="278"/>
      <c r="O102" s="279"/>
      <c r="P102" s="2" t="s">
        <v>382</v>
      </c>
      <c r="Q102" s="2" t="s">
        <v>383</v>
      </c>
      <c r="R102" s="2">
        <v>0</v>
      </c>
      <c r="S102" s="2">
        <v>0</v>
      </c>
      <c r="X102" s="280">
        <v>1131814</v>
      </c>
      <c r="Y102" s="280">
        <v>1131814</v>
      </c>
      <c r="Z102" s="2" t="s">
        <v>289</v>
      </c>
      <c r="AA102" s="2" t="str">
        <f t="shared" si="19"/>
        <v>2027</v>
      </c>
      <c r="AB102" s="278"/>
      <c r="AC102" s="278"/>
      <c r="AD102" s="277" t="s">
        <v>149</v>
      </c>
      <c r="AE102" s="278" t="s">
        <v>149</v>
      </c>
      <c r="AF102" s="2" t="str">
        <f>IF(AD102="","",IF(ISNUMBER(AD102),IF(AND(AD102&gt;='2026 Calendar'!$C$4,AD102&lt;='2026 Calendar'!$E$107),LOOKUP(AD102,'2026 Calendar'!$C$4:$C$107,'2026 Calendar'!$A$4:$A$107),YEAR(AD102-WEEKDAY(AD102,2)+4)&amp;"/W"&amp;TEXT(WEEKNUM(AD102,21),"00")),IF(IFERROR(ISNUMBER(SEARCH("/W",AD102)),FALSE),IF(IFERROR(ISNUMBER(SEARCH("-",AD102)),FALSE),LEFT(AD102,SEARCH("-",AD102)-1),AD102),AD102)))</f>
        <v>TBC</v>
      </c>
      <c r="AG102" s="2" t="str">
        <f>IF(AE102="","",IF(ISNUMBER(AE102),IF(AND(AE102&gt;='2026 Calendar'!$C$4,AE102&lt;='2026 Calendar'!$E$107),LOOKUP(AE102,'2026 Calendar'!$C$4:$C$107,'2026 Calendar'!$A$4:$A$107),YEAR(AE102-WEEKDAY(AE102,2)+4)&amp;"/W"&amp;TEXT(WEEKNUM(AE102,21),"00")),IF(IFERROR(ISNUMBER(SEARCH("/W",AE102)),FALSE),IF(IFERROR(ISNUMBER(SEARCH("-",AE102)),FALSE),MID(AE102,SEARCH("-",AE102)+1,100),AE102),AE102)))</f>
        <v>TBC</v>
      </c>
      <c r="AH102" s="2" t="s">
        <v>342</v>
      </c>
      <c r="AI102" s="278"/>
      <c r="AJ102" s="278"/>
      <c r="AL102" s="278"/>
      <c r="AM102" s="278"/>
      <c r="AO102" s="278"/>
      <c r="AP102" s="278"/>
      <c r="AR102" s="278"/>
      <c r="AS102" s="278"/>
      <c r="AU102" s="278"/>
      <c r="AV102" s="278"/>
      <c r="AX102" s="278"/>
      <c r="AY102" s="278"/>
      <c r="BA102" s="278"/>
      <c r="BB102" s="278"/>
      <c r="BC102" s="2" t="str">
        <f t="shared" si="22"/>
        <v>Active</v>
      </c>
      <c r="BE102" s="119" t="str">
        <f t="shared" si="23"/>
        <v>NPI: All development items approved/closed for SW TBC</v>
      </c>
    </row>
    <row r="103" spans="1:57" x14ac:dyDescent="0.35">
      <c r="A103" s="2" t="str">
        <f>IFERROR(VLOOKUP(E103,'Customer '!$A$4:$D$23,3,FALSE),"")</f>
        <v>RH</v>
      </c>
      <c r="B103" s="2" t="s">
        <v>268</v>
      </c>
      <c r="C103" s="2" t="s">
        <v>149</v>
      </c>
      <c r="D103" s="2" t="s">
        <v>312</v>
      </c>
      <c r="E103" s="2" t="s">
        <v>61</v>
      </c>
      <c r="F103" s="2" t="str">
        <f>IFERROR(VLOOKUP(E103,'Customer '!$A$4:$D$28,2,FALSE),"")</f>
        <v>RH</v>
      </c>
      <c r="G103" s="2" t="s">
        <v>384</v>
      </c>
      <c r="H10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2026-RH-RED SEA</v>
      </c>
      <c r="I103" s="2">
        <f ca="1">IF(OR($H103="",$B103=""),0,--(COUNTIFS($H$3:$H103,$H103,$B$3:$B103,$B103)=1))</f>
        <v>1</v>
      </c>
      <c r="J103" s="2" t="s">
        <v>284</v>
      </c>
      <c r="K103" s="2" t="s">
        <v>273</v>
      </c>
      <c r="L103" s="2" t="s">
        <v>285</v>
      </c>
      <c r="M103" s="278"/>
      <c r="N103" s="278"/>
      <c r="O103" s="279"/>
      <c r="P103" s="2" t="s">
        <v>132</v>
      </c>
      <c r="Q103" s="2" t="s">
        <v>132</v>
      </c>
      <c r="R103" s="2">
        <v>0</v>
      </c>
      <c r="S103" s="2">
        <v>0</v>
      </c>
      <c r="X103" s="280">
        <v>1000000</v>
      </c>
      <c r="Y103" s="280">
        <v>1000000</v>
      </c>
      <c r="Z103" s="2" t="s">
        <v>370</v>
      </c>
      <c r="AA103" s="2" t="str">
        <f t="shared" si="19"/>
        <v>2027</v>
      </c>
      <c r="AB103" s="278"/>
      <c r="AC103" s="278"/>
      <c r="AD103" s="277">
        <v>46276</v>
      </c>
      <c r="AE103" s="278">
        <v>46290</v>
      </c>
      <c r="AF103" s="2" t="str">
        <f>IF(AD103="","",IF(ISNUMBER(AD103),IF(AND(AD103&gt;='2026 Calendar'!$C$4,AD103&lt;='2026 Calendar'!$E$107),LOOKUP(AD103,'2026 Calendar'!$C$4:$C$107,'2026 Calendar'!$A$4:$A$107),YEAR(AD103-WEEKDAY(AD103,2)+4)&amp;"/W"&amp;TEXT(WEEKNUM(AD103,21),"00")),IF(IFERROR(ISNUMBER(SEARCH("/W",AD103)),FALSE),IF(IFERROR(ISNUMBER(SEARCH("-",AD103)),FALSE),LEFT(AD103,SEARCH("-",AD103)-1),AD103),AD103)))</f>
        <v>2026/W37</v>
      </c>
      <c r="AG103" s="2" t="str">
        <f>IF(AE103="","",IF(ISNUMBER(AE103),IF(AND(AE103&gt;='2026 Calendar'!$C$4,AE103&lt;='2026 Calendar'!$E$107),LOOKUP(AE103,'2026 Calendar'!$C$4:$C$107,'2026 Calendar'!$A$4:$A$107),YEAR(AE103-WEEKDAY(AE103,2)+4)&amp;"/W"&amp;TEXT(WEEKNUM(AE103,21),"00")),IF(IFERROR(ISNUMBER(SEARCH("/W",AE103)),FALSE),IF(IFERROR(ISNUMBER(SEARCH("-",AE103)),FALSE),MID(AE103,SEARCH("-",AE103)+1,100),AE103),AE103)))</f>
        <v>2026/W39</v>
      </c>
      <c r="AH103" s="2" t="s">
        <v>342</v>
      </c>
      <c r="AI103" s="278"/>
      <c r="AJ103" s="278"/>
      <c r="AL103" s="278"/>
      <c r="AM103" s="278"/>
      <c r="AO103" s="278"/>
      <c r="AP103" s="278"/>
      <c r="AR103" s="278"/>
      <c r="AS103" s="278"/>
      <c r="AU103" s="278"/>
      <c r="AV103" s="278"/>
      <c r="AX103" s="278"/>
      <c r="AY103" s="278"/>
      <c r="BA103" s="278"/>
      <c r="BB103" s="278"/>
      <c r="BC103" s="2" t="str">
        <f t="shared" si="22"/>
        <v>Active</v>
      </c>
      <c r="BD103" s="2" t="s">
        <v>279</v>
      </c>
      <c r="BE103" s="119" t="str">
        <f t="shared" si="23"/>
        <v>NPI: All development items approved/closed for SW39</v>
      </c>
    </row>
    <row r="104" spans="1:57" x14ac:dyDescent="0.35">
      <c r="A104" s="2" t="str">
        <f>IFERROR(VLOOKUP(E104,'Customer '!$A$4:$D$23,3,FALSE),"")</f>
        <v>RH</v>
      </c>
      <c r="B104" s="2" t="s">
        <v>268</v>
      </c>
      <c r="C104" s="2" t="s">
        <v>329</v>
      </c>
      <c r="D104" s="2" t="s">
        <v>312</v>
      </c>
      <c r="E104" s="2" t="s">
        <v>61</v>
      </c>
      <c r="F104" s="2" t="str">
        <f>IFERROR(VLOOKUP(E104,'Customer '!$A$4:$D$28,2,FALSE),"")</f>
        <v>RH</v>
      </c>
      <c r="G104" s="2" t="s">
        <v>385</v>
      </c>
      <c r="H10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2026-RH-VICEROY SUGAR BEACH - ASH WOOD VERSION</v>
      </c>
      <c r="I104" s="2">
        <f ca="1">IF(OR($H104="",$B104=""),0,--(COUNTIFS($H$3:$H104,$H104,$B$3:$B104,$B104)=1))</f>
        <v>1</v>
      </c>
      <c r="J104" s="2" t="s">
        <v>272</v>
      </c>
      <c r="K104" s="2" t="s">
        <v>273</v>
      </c>
      <c r="L104" s="2" t="s">
        <v>310</v>
      </c>
      <c r="M104" s="278">
        <v>46104</v>
      </c>
      <c r="N104" s="278">
        <v>46118</v>
      </c>
      <c r="O104" s="279"/>
      <c r="P104" s="2" t="s">
        <v>386</v>
      </c>
      <c r="Q104" s="2" t="s">
        <v>387</v>
      </c>
      <c r="R104" s="2">
        <v>0</v>
      </c>
      <c r="S104" s="2">
        <v>0</v>
      </c>
      <c r="V104" s="276">
        <v>18</v>
      </c>
      <c r="X104" s="280">
        <v>149029</v>
      </c>
      <c r="Y104" s="280">
        <f>DetailTracker[[#This Row],[PROJECT VALUE $]]/2</f>
        <v>74514.5</v>
      </c>
      <c r="Z104" s="2" t="s">
        <v>297</v>
      </c>
      <c r="AA104" s="2" t="str">
        <f t="shared" si="19"/>
        <v>2026</v>
      </c>
      <c r="AB104" s="278">
        <v>46241</v>
      </c>
      <c r="AC104" s="278">
        <v>46241</v>
      </c>
      <c r="AD104" s="277">
        <v>46291</v>
      </c>
      <c r="AE104" s="278">
        <v>46291</v>
      </c>
      <c r="AF104" s="2" t="str">
        <f>IF(AD104="","",IF(ISNUMBER(AD104),IF(AND(AD104&gt;='2026 Calendar'!$C$4,AD104&lt;='2026 Calendar'!$E$107),LOOKUP(AD104,'2026 Calendar'!$C$4:$C$107,'2026 Calendar'!$A$4:$A$107),YEAR(AD104-WEEKDAY(AD104,2)+4)&amp;"/W"&amp;TEXT(WEEKNUM(AD104,21),"00")),IF(IFERROR(ISNUMBER(SEARCH("/W",AD104)),FALSE),IF(IFERROR(ISNUMBER(SEARCH("-",AD104)),FALSE),LEFT(AD104,SEARCH("-",AD104)-1),AD104),AD104)))</f>
        <v>2026/W39</v>
      </c>
      <c r="AG104" s="2" t="str">
        <f>IF(AE104="","",IF(ISNUMBER(AE104),IF(AND(AE104&gt;='2026 Calendar'!$C$4,AE104&lt;='2026 Calendar'!$E$107),LOOKUP(AE104,'2026 Calendar'!$C$4:$C$107,'2026 Calendar'!$A$4:$A$107),YEAR(AE104-WEEKDAY(AE104,2)+4)&amp;"/W"&amp;TEXT(WEEKNUM(AE104,21),"00")),IF(IFERROR(ISNUMBER(SEARCH("/W",AE104)),FALSE),IF(IFERROR(ISNUMBER(SEARCH("-",AE104)),FALSE),MID(AE104,SEARCH("-",AE104)+1,100),AE104),AE104)))</f>
        <v>2026/W39</v>
      </c>
      <c r="AH104" s="2" t="s">
        <v>56</v>
      </c>
      <c r="AI104" s="278"/>
      <c r="AJ104" s="278"/>
      <c r="AK104" s="2" t="s">
        <v>56</v>
      </c>
      <c r="AL104" s="278"/>
      <c r="AM104" s="278"/>
      <c r="AN104" s="2" t="s">
        <v>56</v>
      </c>
      <c r="AO104" s="278"/>
      <c r="AP104" s="278"/>
      <c r="AQ104" s="2" t="s">
        <v>56</v>
      </c>
      <c r="AR104" s="278"/>
      <c r="AS104" s="278"/>
      <c r="AT104" s="2" t="s">
        <v>56</v>
      </c>
      <c r="AU104" s="278"/>
      <c r="AV104" s="278"/>
      <c r="AW104" s="2" t="s">
        <v>56</v>
      </c>
      <c r="AX104" s="278"/>
      <c r="AY104" s="278"/>
      <c r="AZ104" s="2" t="s">
        <v>278</v>
      </c>
      <c r="BA104" s="278"/>
      <c r="BB104" s="278"/>
      <c r="BC104" s="2" t="str">
        <f t="shared" si="22"/>
        <v>Complete</v>
      </c>
      <c r="BD104" s="2" t="s">
        <v>279</v>
      </c>
      <c r="BE104" s="119" t="str">
        <f t="shared" si="23"/>
        <v>READY</v>
      </c>
    </row>
    <row r="105" spans="1:57" x14ac:dyDescent="0.35">
      <c r="A105" s="2" t="str">
        <f>IFERROR(VLOOKUP(E105,'Customer '!$A$4:$D$23,3,FALSE),"")</f>
        <v>RH</v>
      </c>
      <c r="B105" s="2" t="s">
        <v>268</v>
      </c>
      <c r="C105" s="2" t="s">
        <v>329</v>
      </c>
      <c r="D105" s="2" t="s">
        <v>312</v>
      </c>
      <c r="E105" s="2" t="s">
        <v>61</v>
      </c>
      <c r="F105" s="2" t="str">
        <f>IFERROR(VLOOKUP(E105,'Customer '!$A$4:$D$28,2,FALSE),"")</f>
        <v>RH</v>
      </c>
      <c r="G105" s="2" t="s">
        <v>385</v>
      </c>
      <c r="H10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2026-RH-VICEROY SUGAR BEACH - ASH WOOD VERSION</v>
      </c>
      <c r="I105" s="2">
        <f ca="1">IF(OR($H105="",$B105=""),0,--(COUNTIFS($H$3:$H105,$H105,$B$3:$B105,$B105)=1))</f>
        <v>0</v>
      </c>
      <c r="J105" s="2" t="s">
        <v>272</v>
      </c>
      <c r="K105" s="2" t="s">
        <v>273</v>
      </c>
      <c r="L105" s="2" t="s">
        <v>310</v>
      </c>
      <c r="M105" s="278">
        <v>46104</v>
      </c>
      <c r="N105" s="278">
        <v>46118</v>
      </c>
      <c r="O105" s="279"/>
      <c r="P105" s="2" t="s">
        <v>386</v>
      </c>
      <c r="Q105" s="2" t="s">
        <v>387</v>
      </c>
      <c r="R105" s="2">
        <v>0</v>
      </c>
      <c r="S105" s="2">
        <v>0</v>
      </c>
      <c r="V105" s="276">
        <v>18</v>
      </c>
      <c r="X105" s="280">
        <v>149029</v>
      </c>
      <c r="Y105" s="280">
        <f>DetailTracker[[#This Row],[PROJECT VALUE $]]/2</f>
        <v>74514.5</v>
      </c>
      <c r="Z105" s="2" t="s">
        <v>297</v>
      </c>
      <c r="AA105" s="2" t="str">
        <f t="shared" si="19"/>
        <v>2026</v>
      </c>
      <c r="AB105" s="278">
        <v>46241</v>
      </c>
      <c r="AC105" s="278">
        <v>46241</v>
      </c>
      <c r="AD105" s="277">
        <v>46291</v>
      </c>
      <c r="AE105" s="278">
        <v>46291</v>
      </c>
      <c r="AF105" s="2" t="str">
        <f>IF(AD105="","",IF(ISNUMBER(AD105),IF(AND(AD105&gt;='2026 Calendar'!$C$4,AD105&lt;='2026 Calendar'!$E$107),LOOKUP(AD105,'2026 Calendar'!$C$4:$C$107,'2026 Calendar'!$A$4:$A$107),YEAR(AD105-WEEKDAY(AD105,2)+4)&amp;"/W"&amp;TEXT(WEEKNUM(AD105,21),"00")),IF(IFERROR(ISNUMBER(SEARCH("/W",AD105)),FALSE),IF(IFERROR(ISNUMBER(SEARCH("-",AD105)),FALSE),LEFT(AD105,SEARCH("-",AD105)-1),AD105),AD105)))</f>
        <v>2026/W39</v>
      </c>
      <c r="AG105" s="2" t="str">
        <f>IF(AE105="","",IF(ISNUMBER(AE105),IF(AND(AE105&gt;='2026 Calendar'!$C$4,AE105&lt;='2026 Calendar'!$E$107),LOOKUP(AE105,'2026 Calendar'!$C$4:$C$107,'2026 Calendar'!$A$4:$A$107),YEAR(AE105-WEEKDAY(AE105,2)+4)&amp;"/W"&amp;TEXT(WEEKNUM(AE105,21),"00")),IF(IFERROR(ISNUMBER(SEARCH("/W",AE105)),FALSE),IF(IFERROR(ISNUMBER(SEARCH("-",AE105)),FALSE),MID(AE105,SEARCH("-",AE105)+1,100),AE105),AE105)))</f>
        <v>2026/W39</v>
      </c>
      <c r="AH105" s="2" t="s">
        <v>56</v>
      </c>
      <c r="AI105" s="278"/>
      <c r="AJ105" s="278"/>
      <c r="AK105" s="2" t="s">
        <v>56</v>
      </c>
      <c r="AL105" s="278"/>
      <c r="AM105" s="278"/>
      <c r="AN105" s="2" t="s">
        <v>56</v>
      </c>
      <c r="AO105" s="278"/>
      <c r="AP105" s="278"/>
      <c r="AQ105" s="2" t="s">
        <v>56</v>
      </c>
      <c r="AR105" s="278"/>
      <c r="AS105" s="278"/>
      <c r="AT105" s="2" t="s">
        <v>56</v>
      </c>
      <c r="AU105" s="278"/>
      <c r="AV105" s="278"/>
      <c r="AW105" s="2" t="s">
        <v>56</v>
      </c>
      <c r="AX105" s="278"/>
      <c r="AY105" s="278"/>
      <c r="AZ105" s="2" t="s">
        <v>278</v>
      </c>
      <c r="BA105" s="278"/>
      <c r="BB105" s="278"/>
      <c r="BC105" s="2" t="str">
        <f t="shared" si="22"/>
        <v>Complete</v>
      </c>
      <c r="BD105" s="2" t="s">
        <v>279</v>
      </c>
      <c r="BE105" s="119" t="str">
        <f t="shared" si="23"/>
        <v>READY</v>
      </c>
    </row>
    <row r="106" spans="1:57" x14ac:dyDescent="0.35">
      <c r="A106" s="2" t="str">
        <f>IFERROR(VLOOKUP(E106,'Customer '!$A$4:$D$23,3,FALSE),"")</f>
        <v>NON RH</v>
      </c>
      <c r="B106" s="2" t="s">
        <v>268</v>
      </c>
      <c r="C106" s="2" t="s">
        <v>340</v>
      </c>
      <c r="E106" s="2" t="s">
        <v>82</v>
      </c>
      <c r="F106" s="2" t="str">
        <f>IFERROR(VLOOKUP(E106,'Customer '!$A$4:$D$28,2,FALSE),"")</f>
        <v>L&amp;S</v>
      </c>
      <c r="G106" s="2" t="s">
        <v>388</v>
      </c>
      <c r="H10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TBC-L&amp;S-SILVERSANDS GRAND ANSE</v>
      </c>
      <c r="I106" s="2">
        <f ca="1">IF(OR($H106="",$B106=""),0,--(COUNTIFS($H$3:$H106,$H106,$B$3:$B106,$B106)=1))</f>
        <v>1</v>
      </c>
      <c r="J106" s="2" t="s">
        <v>389</v>
      </c>
      <c r="K106" s="2" t="s">
        <v>273</v>
      </c>
      <c r="L106" s="2" t="s">
        <v>285</v>
      </c>
      <c r="M106" s="278"/>
      <c r="N106" s="278"/>
      <c r="O106" s="279"/>
      <c r="P106" s="2" t="s">
        <v>390</v>
      </c>
      <c r="Q106" s="2" t="s">
        <v>391</v>
      </c>
      <c r="V106" s="276">
        <v>55</v>
      </c>
      <c r="X106" s="280">
        <v>371262</v>
      </c>
      <c r="Y106" s="280">
        <v>371262</v>
      </c>
      <c r="Z106" s="2" t="s">
        <v>149</v>
      </c>
      <c r="AA106" s="2" t="str">
        <f t="shared" si="19"/>
        <v>TBC</v>
      </c>
      <c r="AB106" s="278"/>
      <c r="AC106" s="278"/>
      <c r="AE106" s="278"/>
      <c r="AF106" s="2" t="str">
        <f>IF(AD106="","",IF(ISNUMBER(AD106),IF(AND(AD106&gt;='2026 Calendar'!$C$4,AD106&lt;='2026 Calendar'!$E$107),LOOKUP(AD106,'2026 Calendar'!$C$4:$C$107,'2026 Calendar'!$A$4:$A$107),YEAR(AD106-WEEKDAY(AD106,2)+4)&amp;"/W"&amp;TEXT(WEEKNUM(AD106,21),"00")),IF(IFERROR(ISNUMBER(SEARCH("/W",AD106)),FALSE),IF(IFERROR(ISNUMBER(SEARCH("-",AD106)),FALSE),LEFT(AD106,SEARCH("-",AD106)-1),AD106),AD106)))</f>
        <v/>
      </c>
      <c r="AG106" s="2" t="str">
        <f>IF(AE106="","",IF(ISNUMBER(AE106),IF(AND(AE106&gt;='2026 Calendar'!$C$4,AE106&lt;='2026 Calendar'!$E$107),LOOKUP(AE106,'2026 Calendar'!$C$4:$C$107,'2026 Calendar'!$A$4:$A$107),YEAR(AE106-WEEKDAY(AE106,2)+4)&amp;"/W"&amp;TEXT(WEEKNUM(AE106,21),"00")),IF(IFERROR(ISNUMBER(SEARCH("/W",AE106)),FALSE),IF(IFERROR(ISNUMBER(SEARCH("-",AE106)),FALSE),MID(AE106,SEARCH("-",AE106)+1,100),AE106),AE106)))</f>
        <v/>
      </c>
      <c r="AI106" s="278"/>
      <c r="AJ106" s="278"/>
      <c r="AL106" s="278"/>
      <c r="AM106" s="278"/>
      <c r="AO106" s="278"/>
      <c r="AP106" s="278"/>
      <c r="AR106" s="278"/>
      <c r="AS106" s="278"/>
      <c r="AU106" s="278"/>
      <c r="AV106" s="278"/>
      <c r="AX106" s="278"/>
      <c r="AY106" s="278"/>
      <c r="BA106" s="278"/>
      <c r="BB106" s="278"/>
      <c r="BC106" s="2" t="str">
        <f t="shared" si="22"/>
        <v>Complete</v>
      </c>
      <c r="BE106" s="119" t="str">
        <f t="shared" si="23"/>
        <v>NPI: All development items approved/closed</v>
      </c>
    </row>
    <row r="107" spans="1:57" x14ac:dyDescent="0.35">
      <c r="A107" s="2" t="str">
        <f>IFERROR(VLOOKUP(E107,'Customer '!$A$4:$D$23,3,FALSE),"")</f>
        <v>NON RH</v>
      </c>
      <c r="B107" s="2" t="s">
        <v>323</v>
      </c>
      <c r="C107" s="2" t="s">
        <v>298</v>
      </c>
      <c r="E107" s="2" t="s">
        <v>176</v>
      </c>
      <c r="F107" s="2" t="str">
        <f>IFERROR(VLOOKUP(E107,'Customer '!$A$4:$D$28,2,FALSE),"")</f>
        <v>SPECTRUM</v>
      </c>
      <c r="G107" s="2" t="s">
        <v>392</v>
      </c>
      <c r="H10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2026-SPECTRUM-PROJECT 550</v>
      </c>
      <c r="I107" s="2">
        <f ca="1">IF(OR($H107="",$B107=""),0,--(COUNTIFS($H$3:$H107,$H107,$B$3:$B107,$B107)=1))</f>
        <v>1</v>
      </c>
      <c r="J107" s="2" t="s">
        <v>309</v>
      </c>
      <c r="K107" s="2" t="s">
        <v>273</v>
      </c>
      <c r="L107" s="2" t="s">
        <v>310</v>
      </c>
      <c r="M107" s="278">
        <v>46107</v>
      </c>
      <c r="N107" s="278"/>
      <c r="O107" s="279"/>
      <c r="P107" s="2" t="s">
        <v>51</v>
      </c>
      <c r="Q107" s="2" t="s">
        <v>393</v>
      </c>
      <c r="R107" s="2">
        <v>0</v>
      </c>
      <c r="S107" s="2">
        <v>0</v>
      </c>
      <c r="V107" s="276">
        <v>4</v>
      </c>
      <c r="W107" s="276">
        <v>4</v>
      </c>
      <c r="X107" s="280">
        <v>6938.58</v>
      </c>
      <c r="Y107" s="280">
        <v>6938.58</v>
      </c>
      <c r="Z107" s="2" t="s">
        <v>282</v>
      </c>
      <c r="AA107" s="2" t="str">
        <f t="shared" si="19"/>
        <v>2026</v>
      </c>
      <c r="AB107" s="278"/>
      <c r="AC107" s="278"/>
      <c r="AD107" s="277">
        <v>46276</v>
      </c>
      <c r="AE107" s="278">
        <v>46297</v>
      </c>
      <c r="AF107" s="2" t="str">
        <f>IF(AD107="","",IF(ISNUMBER(AD107),IF(AND(AD107&gt;='2026 Calendar'!$C$4,AD107&lt;='2026 Calendar'!$E$107),LOOKUP(AD107,'2026 Calendar'!$C$4:$C$107,'2026 Calendar'!$A$4:$A$107),YEAR(AD107-WEEKDAY(AD107,2)+4)&amp;"/W"&amp;TEXT(WEEKNUM(AD107,21),"00")),IF(IFERROR(ISNUMBER(SEARCH("/W",AD107)),FALSE),IF(IFERROR(ISNUMBER(SEARCH("-",AD107)),FALSE),LEFT(AD107,SEARCH("-",AD107)-1),AD107),AD107)))</f>
        <v>2026/W37</v>
      </c>
      <c r="AG107" s="2" t="str">
        <f>IF(AE107="","",IF(ISNUMBER(AE107),IF(AND(AE107&gt;='2026 Calendar'!$C$4,AE107&lt;='2026 Calendar'!$E$107),LOOKUP(AE107,'2026 Calendar'!$C$4:$C$107,'2026 Calendar'!$A$4:$A$107),YEAR(AE107-WEEKDAY(AE107,2)+4)&amp;"/W"&amp;TEXT(WEEKNUM(AE107,21),"00")),IF(IFERROR(ISNUMBER(SEARCH("/W",AE107)),FALSE),IF(IFERROR(ISNUMBER(SEARCH("-",AE107)),FALSE),MID(AE107,SEARCH("-",AE107)+1,100),AE107),AE107)))</f>
        <v>2026/W40</v>
      </c>
      <c r="AH107" s="2" t="s">
        <v>56</v>
      </c>
      <c r="AI107" s="278"/>
      <c r="AJ107" s="278"/>
      <c r="AK107" s="2" t="s">
        <v>56</v>
      </c>
      <c r="AL107" s="278"/>
      <c r="AM107" s="278"/>
      <c r="AN107" s="2" t="s">
        <v>304</v>
      </c>
      <c r="AO107" s="278"/>
      <c r="AP107" s="278"/>
      <c r="AQ107" s="2" t="s">
        <v>304</v>
      </c>
      <c r="AR107" s="278"/>
      <c r="AS107" s="278"/>
      <c r="AT107" s="2" t="s">
        <v>304</v>
      </c>
      <c r="AU107" s="278"/>
      <c r="AV107" s="278"/>
      <c r="AW107" s="2" t="s">
        <v>304</v>
      </c>
      <c r="AX107" s="278"/>
      <c r="AY107" s="278"/>
      <c r="BA107" s="278"/>
      <c r="BB107" s="278"/>
      <c r="BC107" s="2" t="str">
        <f t="shared" si="22"/>
        <v>Active</v>
      </c>
      <c r="BE107" s="119" t="str">
        <f t="shared" si="23"/>
        <v>NPD: In progress: Marble, Metal, Mirror, Electrical for SW40</v>
      </c>
    </row>
    <row r="108" spans="1:57" ht="29" x14ac:dyDescent="0.35">
      <c r="A108" s="2" t="str">
        <f>IFERROR(VLOOKUP(E108,'Customer '!$A$4:$D$23,3,FALSE),"")</f>
        <v>NON RH</v>
      </c>
      <c r="B108" s="2" t="s">
        <v>268</v>
      </c>
      <c r="C108" s="2" t="s">
        <v>298</v>
      </c>
      <c r="E108" s="2" t="s">
        <v>176</v>
      </c>
      <c r="F108" s="2" t="str">
        <f>IFERROR(VLOOKUP(E108,'Customer '!$A$4:$D$28,2,FALSE),"")</f>
        <v>SPECTRUM</v>
      </c>
      <c r="G108" s="2" t="s">
        <v>392</v>
      </c>
      <c r="H10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2026-SPECTRUM-PROJECT 550</v>
      </c>
      <c r="I108" s="2">
        <f ca="1">IF(OR($H108="",$B108=""),0,--(COUNTIFS($H$3:$H108,$H108,$B$3:$B108,$B108)=1))</f>
        <v>1</v>
      </c>
      <c r="J108" s="2" t="s">
        <v>284</v>
      </c>
      <c r="K108" s="2" t="s">
        <v>273</v>
      </c>
      <c r="L108" s="2" t="s">
        <v>317</v>
      </c>
      <c r="M108" s="278">
        <v>46107</v>
      </c>
      <c r="N108" s="278"/>
      <c r="O108" s="279"/>
      <c r="P108" s="2" t="s">
        <v>51</v>
      </c>
      <c r="Q108" s="2" t="s">
        <v>393</v>
      </c>
      <c r="R108" s="2">
        <v>0</v>
      </c>
      <c r="S108" s="2">
        <v>0</v>
      </c>
      <c r="V108" s="276">
        <v>30</v>
      </c>
      <c r="X108" s="280">
        <v>361028.77</v>
      </c>
      <c r="Y108" s="280">
        <v>361028.77</v>
      </c>
      <c r="Z108" s="2" t="s">
        <v>336</v>
      </c>
      <c r="AA108" s="2" t="str">
        <f t="shared" si="19"/>
        <v>2027</v>
      </c>
      <c r="AB108" s="278"/>
      <c r="AC108" s="278"/>
      <c r="AD108" s="277" t="s">
        <v>149</v>
      </c>
      <c r="AE108" s="278" t="s">
        <v>149</v>
      </c>
      <c r="AF108" s="2" t="str">
        <f>IF(AD108="","",IF(ISNUMBER(AD108),IF(AND(AD108&gt;='2026 Calendar'!$C$4,AD108&lt;='2026 Calendar'!$E$107),LOOKUP(AD108,'2026 Calendar'!$C$4:$C$107,'2026 Calendar'!$A$4:$A$107),YEAR(AD108-WEEKDAY(AD108,2)+4)&amp;"/W"&amp;TEXT(WEEKNUM(AD108,21),"00")),IF(IFERROR(ISNUMBER(SEARCH("/W",AD108)),FALSE),IF(IFERROR(ISNUMBER(SEARCH("-",AD108)),FALSE),LEFT(AD108,SEARCH("-",AD108)-1),AD108),AD108)))</f>
        <v>TBC</v>
      </c>
      <c r="AG108" s="2" t="str">
        <f>IF(AE108="","",IF(ISNUMBER(AE108),IF(AND(AE108&gt;='2026 Calendar'!$C$4,AE108&lt;='2026 Calendar'!$E$107),LOOKUP(AE108,'2026 Calendar'!$C$4:$C$107,'2026 Calendar'!$A$4:$A$107),YEAR(AE108-WEEKDAY(AE108,2)+4)&amp;"/W"&amp;TEXT(WEEKNUM(AE108,21),"00")),IF(IFERROR(ISNUMBER(SEARCH("/W",AE108)),FALSE),IF(IFERROR(ISNUMBER(SEARCH("-",AE108)),FALSE),MID(AE108,SEARCH("-",AE108)+1,100),AE108),AE108)))</f>
        <v>TBC</v>
      </c>
      <c r="AH108" s="2" t="s">
        <v>304</v>
      </c>
      <c r="AI108" s="278"/>
      <c r="AJ108" s="278"/>
      <c r="AK108" s="2" t="s">
        <v>304</v>
      </c>
      <c r="AL108" s="278"/>
      <c r="AM108" s="278"/>
      <c r="AN108" s="2" t="s">
        <v>304</v>
      </c>
      <c r="AO108" s="278"/>
      <c r="AP108" s="278"/>
      <c r="AQ108" s="2" t="s">
        <v>304</v>
      </c>
      <c r="AR108" s="278"/>
      <c r="AS108" s="278"/>
      <c r="AT108" s="2" t="s">
        <v>304</v>
      </c>
      <c r="AU108" s="278"/>
      <c r="AV108" s="278"/>
      <c r="AW108" s="2" t="s">
        <v>304</v>
      </c>
      <c r="AX108" s="278"/>
      <c r="AY108" s="278"/>
      <c r="BA108" s="278"/>
      <c r="BB108" s="278"/>
      <c r="BC108" s="2" t="str">
        <f t="shared" si="22"/>
        <v>Active</v>
      </c>
      <c r="BE108" s="119" t="str">
        <f t="shared" si="23"/>
        <v>NPI: In progress: Drawing, Veneer/Wood, Marble, Metal, Mirror, Electrical for SW TBC</v>
      </c>
    </row>
    <row r="109" spans="1:57" ht="29" x14ac:dyDescent="0.35">
      <c r="A109" s="2" t="str">
        <f>IFERROR(VLOOKUP(E109,'Customer '!$A$4:$D$23,3,FALSE),"")</f>
        <v>NON RH</v>
      </c>
      <c r="B109" s="2" t="s">
        <v>323</v>
      </c>
      <c r="C109" s="2" t="s">
        <v>298</v>
      </c>
      <c r="D109" s="2" t="s">
        <v>394</v>
      </c>
      <c r="E109" s="2" t="s">
        <v>98</v>
      </c>
      <c r="F109" s="2" t="str">
        <f>IFERROR(VLOOKUP(E109,'Customer '!$A$4:$D$28,2,FALSE),"")</f>
        <v xml:space="preserve">FLEETWOOD </v>
      </c>
      <c r="G109" s="2" t="s">
        <v>395</v>
      </c>
      <c r="H10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-AUBERGE HOUSTON MR</v>
      </c>
      <c r="I109" s="2">
        <f ca="1">IF(OR($H109="",$B109=""),0,--(COUNTIFS($H$3:$H109,$H109,$B$3:$B109,$B109)=1))</f>
        <v>1</v>
      </c>
      <c r="J109" s="2" t="s">
        <v>133</v>
      </c>
      <c r="K109" s="2" t="s">
        <v>273</v>
      </c>
      <c r="L109" s="2" t="s">
        <v>310</v>
      </c>
      <c r="M109" s="278">
        <v>46112</v>
      </c>
      <c r="N109" s="278">
        <v>46150</v>
      </c>
      <c r="O109" s="279">
        <v>46171</v>
      </c>
      <c r="P109" s="2" t="s">
        <v>51</v>
      </c>
      <c r="Q109" s="2" t="s">
        <v>349</v>
      </c>
      <c r="R109" s="2">
        <v>0</v>
      </c>
      <c r="S109" s="2">
        <v>0</v>
      </c>
      <c r="V109" s="276">
        <v>4</v>
      </c>
      <c r="W109" s="276">
        <v>4</v>
      </c>
      <c r="X109" s="280">
        <v>12609.46</v>
      </c>
      <c r="Y109" s="280">
        <v>15040.19</v>
      </c>
      <c r="Z109" s="2" t="s">
        <v>297</v>
      </c>
      <c r="AA109" s="2" t="str">
        <f t="shared" si="19"/>
        <v>2026</v>
      </c>
      <c r="AB109" s="278" t="s">
        <v>396</v>
      </c>
      <c r="AC109" s="278" t="s">
        <v>396</v>
      </c>
      <c r="AD109" s="278" t="s">
        <v>396</v>
      </c>
      <c r="AE109" s="278" t="s">
        <v>396</v>
      </c>
      <c r="AF109" s="2" t="str">
        <f>IF(AD109="","",IF(ISNUMBER(AD109),IF(AND(AD109&gt;='2026 Calendar'!$C$4,AD109&lt;='2026 Calendar'!$E$107),LOOKUP(AD109,'2026 Calendar'!$C$4:$C$107,'2026 Calendar'!$A$4:$A$107),YEAR(AD109-WEEKDAY(AD109,2)+4)&amp;"/W"&amp;TEXT(WEEKNUM(AD109,21),"00")),IF(IFERROR(ISNUMBER(SEARCH("/W",AD109)),FALSE),IF(IFERROR(ISNUMBER(SEARCH("-",AD109)),FALSE),LEFT(AD109,SEARCH("-",AD109)-1),AD109),AD109)))</f>
        <v>ON HOLD</v>
      </c>
      <c r="AG109" s="2" t="str">
        <f>IF(AE109="","",IF(ISNUMBER(AE109),IF(AND(AE109&gt;='2026 Calendar'!$C$4,AE109&lt;='2026 Calendar'!$E$107),LOOKUP(AE109,'2026 Calendar'!$C$4:$C$107,'2026 Calendar'!$A$4:$A$107),YEAR(AE109-WEEKDAY(AE109,2)+4)&amp;"/W"&amp;TEXT(WEEKNUM(AE109,21),"00")),IF(IFERROR(ISNUMBER(SEARCH("/W",AE109)),FALSE),IF(IFERROR(ISNUMBER(SEARCH("-",AE109)),FALSE),MID(AE109,SEARCH("-",AE109)+1,100),AE109),AE109)))</f>
        <v>ON HOLD</v>
      </c>
      <c r="AH109" s="2" t="s">
        <v>318</v>
      </c>
      <c r="AI109" s="278"/>
      <c r="AJ109" s="278"/>
      <c r="AK109" s="2" t="s">
        <v>56</v>
      </c>
      <c r="AL109" s="278"/>
      <c r="AM109" s="278">
        <v>46260</v>
      </c>
      <c r="AN109" s="2" t="s">
        <v>56</v>
      </c>
      <c r="AO109" s="278"/>
      <c r="AP109" s="278">
        <v>46260</v>
      </c>
      <c r="AQ109" s="2" t="s">
        <v>304</v>
      </c>
      <c r="AR109" s="278"/>
      <c r="AS109" s="278"/>
      <c r="AT109" s="2" t="s">
        <v>56</v>
      </c>
      <c r="AU109" s="278"/>
      <c r="AV109" s="278">
        <v>46260</v>
      </c>
      <c r="AW109" s="2" t="s">
        <v>318</v>
      </c>
      <c r="AX109" s="278"/>
      <c r="AY109" s="278"/>
      <c r="AZ109" s="2" t="s">
        <v>331</v>
      </c>
      <c r="BA109" s="278"/>
      <c r="BB109" s="278"/>
      <c r="BC109" s="2" t="str">
        <f t="shared" si="22"/>
        <v>Complete</v>
      </c>
      <c r="BE109" s="119" t="str">
        <f t="shared" si="23"/>
        <v>NPD: In progress: Metal; Pending approval: Drawing, Electrical; Fabric is com pending for SW ON HOLD</v>
      </c>
    </row>
    <row r="110" spans="1:57" x14ac:dyDescent="0.35">
      <c r="A110" s="2" t="str">
        <f>IFERROR(VLOOKUP(E110,'Customer '!$A$4:$D$23,3,FALSE),"")</f>
        <v>NON RH</v>
      </c>
      <c r="B110" s="2" t="s">
        <v>268</v>
      </c>
      <c r="C110" s="2" t="s">
        <v>298</v>
      </c>
      <c r="D110" s="2" t="s">
        <v>394</v>
      </c>
      <c r="E110" s="2" t="s">
        <v>98</v>
      </c>
      <c r="F110" s="2" t="str">
        <f>IFERROR(VLOOKUP(E110,'Customer '!$A$4:$D$28,2,FALSE),"")</f>
        <v xml:space="preserve">FLEETWOOD </v>
      </c>
      <c r="G110" s="2" t="s">
        <v>395</v>
      </c>
      <c r="H11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-AUBERGE HOUSTON MR</v>
      </c>
      <c r="I110" s="2">
        <f ca="1">IF(OR($H110="",$B110=""),0,--(COUNTIFS($H$3:$H110,$H110,$B$3:$B110,$B110)=1))</f>
        <v>1</v>
      </c>
      <c r="J110" s="2" t="s">
        <v>133</v>
      </c>
      <c r="K110" s="2" t="s">
        <v>273</v>
      </c>
      <c r="L110" s="2" t="s">
        <v>285</v>
      </c>
      <c r="M110" s="278">
        <v>46158</v>
      </c>
      <c r="N110" s="278"/>
      <c r="O110" s="279"/>
      <c r="P110" s="2" t="s">
        <v>51</v>
      </c>
      <c r="Q110" s="2" t="s">
        <v>349</v>
      </c>
      <c r="R110" s="2" t="s">
        <v>149</v>
      </c>
      <c r="S110" s="2" t="s">
        <v>149</v>
      </c>
      <c r="V110" s="276">
        <v>15</v>
      </c>
      <c r="X110" s="280">
        <v>707023.48</v>
      </c>
      <c r="Y110" s="280">
        <v>707023.48</v>
      </c>
      <c r="Z110" s="2" t="s">
        <v>149</v>
      </c>
      <c r="AA110" s="2" t="str">
        <f t="shared" si="19"/>
        <v>TBC</v>
      </c>
      <c r="AB110" s="278"/>
      <c r="AC110" s="278"/>
      <c r="AD110" s="277" t="s">
        <v>149</v>
      </c>
      <c r="AE110" s="278" t="s">
        <v>149</v>
      </c>
      <c r="AF110" s="2" t="str">
        <f>IF(AD110="","",IF(ISNUMBER(AD110),IF(AND(AD110&gt;='2026 Calendar'!$C$4,AD110&lt;='2026 Calendar'!$E$107),LOOKUP(AD110,'2026 Calendar'!$C$4:$C$107,'2026 Calendar'!$A$4:$A$107),YEAR(AD110-WEEKDAY(AD110,2)+4)&amp;"/W"&amp;TEXT(WEEKNUM(AD110,21),"00")),IF(IFERROR(ISNUMBER(SEARCH("/W",AD110)),FALSE),IF(IFERROR(ISNUMBER(SEARCH("-",AD110)),FALSE),LEFT(AD110,SEARCH("-",AD110)-1),AD110),AD110)))</f>
        <v>TBC</v>
      </c>
      <c r="AG110" s="2" t="str">
        <f>IF(AE110="","",IF(ISNUMBER(AE110),IF(AND(AE110&gt;='2026 Calendar'!$C$4,AE110&lt;='2026 Calendar'!$E$107),LOOKUP(AE110,'2026 Calendar'!$C$4:$C$107,'2026 Calendar'!$A$4:$A$107),YEAR(AE110-WEEKDAY(AE110,2)+4)&amp;"/W"&amp;TEXT(WEEKNUM(AE110,21),"00")),IF(IFERROR(ISNUMBER(SEARCH("/W",AE110)),FALSE),IF(IFERROR(ISNUMBER(SEARCH("-",AE110)),FALSE),MID(AE110,SEARCH("-",AE110)+1,100),AE110),AE110)))</f>
        <v>TBC</v>
      </c>
      <c r="AH110" s="2" t="s">
        <v>342</v>
      </c>
      <c r="AI110" s="278"/>
      <c r="AJ110" s="278"/>
      <c r="AK110" s="2" t="s">
        <v>342</v>
      </c>
      <c r="AL110" s="278"/>
      <c r="AM110" s="278"/>
      <c r="AN110" s="2" t="s">
        <v>342</v>
      </c>
      <c r="AO110" s="278"/>
      <c r="AP110" s="278"/>
      <c r="AQ110" s="2" t="s">
        <v>342</v>
      </c>
      <c r="AR110" s="278"/>
      <c r="AS110" s="278"/>
      <c r="AT110" s="2" t="s">
        <v>342</v>
      </c>
      <c r="AU110" s="278"/>
      <c r="AV110" s="278"/>
      <c r="AW110" s="2" t="s">
        <v>342</v>
      </c>
      <c r="AX110" s="278"/>
      <c r="AY110" s="278"/>
      <c r="AZ110" s="2" t="s">
        <v>342</v>
      </c>
      <c r="BA110" s="278"/>
      <c r="BB110" s="278"/>
      <c r="BC110" s="2" t="str">
        <f t="shared" si="22"/>
        <v>Complete</v>
      </c>
      <c r="BE110" s="119" t="str">
        <f t="shared" si="23"/>
        <v>NPI: All development items approved/closed for SW TBC</v>
      </c>
    </row>
    <row r="111" spans="1:57" ht="29" x14ac:dyDescent="0.35">
      <c r="A111" s="2" t="str">
        <f>IFERROR(VLOOKUP(E111,'Customer '!$A$4:$D$23,3,FALSE),"")</f>
        <v>RH</v>
      </c>
      <c r="B111" s="2" t="s">
        <v>323</v>
      </c>
      <c r="C111" s="2" t="s">
        <v>308</v>
      </c>
      <c r="D111" s="2" t="s">
        <v>312</v>
      </c>
      <c r="E111" s="2" t="s">
        <v>61</v>
      </c>
      <c r="F111" s="2" t="str">
        <f>IFERROR(VLOOKUP(E111,'Customer '!$A$4:$D$28,2,FALSE),"")</f>
        <v>RH</v>
      </c>
      <c r="G111" s="2" t="s">
        <v>397</v>
      </c>
      <c r="H11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2026-RH-AWH TOPNOTCH</v>
      </c>
      <c r="I111" s="2">
        <f ca="1">IF(OR($H111="",$B111=""),0,--(COUNTIFS($H$3:$H111,$H111,$B$3:$B111,$B111)=1))</f>
        <v>1</v>
      </c>
      <c r="J111" s="2" t="s">
        <v>396</v>
      </c>
      <c r="K111" s="2" t="s">
        <v>273</v>
      </c>
      <c r="L111" s="2" t="s">
        <v>317</v>
      </c>
      <c r="M111" s="278">
        <v>46120</v>
      </c>
      <c r="N111" s="278"/>
      <c r="O111" s="279"/>
      <c r="P111" s="2" t="s">
        <v>51</v>
      </c>
      <c r="Q111" s="2" t="s">
        <v>398</v>
      </c>
      <c r="R111" s="2">
        <v>0</v>
      </c>
      <c r="S111" s="2">
        <v>0</v>
      </c>
      <c r="V111" s="276">
        <v>17</v>
      </c>
      <c r="W111" s="276">
        <v>17</v>
      </c>
      <c r="X111" s="280">
        <v>31219.1</v>
      </c>
      <c r="Y111" s="280">
        <v>31219.1</v>
      </c>
      <c r="Z111" s="2" t="s">
        <v>330</v>
      </c>
      <c r="AA111" s="2" t="str">
        <f t="shared" si="19"/>
        <v>2026</v>
      </c>
      <c r="AB111" s="278"/>
      <c r="AC111" s="278"/>
      <c r="AD111" s="277">
        <v>46367</v>
      </c>
      <c r="AE111" s="278">
        <v>46381</v>
      </c>
      <c r="AF111" s="2" t="str">
        <f>IF(AD111="","",IF(ISNUMBER(AD111),IF(AND(AD111&gt;='2026 Calendar'!$C$4,AD111&lt;='2026 Calendar'!$E$107),LOOKUP(AD111,'2026 Calendar'!$C$4:$C$107,'2026 Calendar'!$A$4:$A$107),YEAR(AD111-WEEKDAY(AD111,2)+4)&amp;"/W"&amp;TEXT(WEEKNUM(AD111,21),"00")),IF(IFERROR(ISNUMBER(SEARCH("/W",AD111)),FALSE),IF(IFERROR(ISNUMBER(SEARCH("-",AD111)),FALSE),LEFT(AD111,SEARCH("-",AD111)-1),AD111),AD111)))</f>
        <v>2026/W50</v>
      </c>
      <c r="AG111" s="2" t="str">
        <f>IF(AE111="","",IF(ISNUMBER(AE111),IF(AND(AE111&gt;='2026 Calendar'!$C$4,AE111&lt;='2026 Calendar'!$E$107),LOOKUP(AE111,'2026 Calendar'!$C$4:$C$107,'2026 Calendar'!$A$4:$A$107),YEAR(AE111-WEEKDAY(AE111,2)+4)&amp;"/W"&amp;TEXT(WEEKNUM(AE111,21),"00")),IF(IFERROR(ISNUMBER(SEARCH("/W",AE111)),FALSE),IF(IFERROR(ISNUMBER(SEARCH("-",AE111)),FALSE),MID(AE111,SEARCH("-",AE111)+1,100),AE111),AE111)))</f>
        <v>2026/W52</v>
      </c>
      <c r="AH111" s="2" t="s">
        <v>318</v>
      </c>
      <c r="AI111" s="278"/>
      <c r="AJ111" s="278"/>
      <c r="AK111" s="2" t="s">
        <v>318</v>
      </c>
      <c r="AL111" s="278"/>
      <c r="AM111" s="278"/>
      <c r="AN111" s="2" t="s">
        <v>287</v>
      </c>
      <c r="AO111" s="278"/>
      <c r="AP111" s="278"/>
      <c r="AQ111" s="2" t="s">
        <v>318</v>
      </c>
      <c r="AR111" s="278"/>
      <c r="AS111" s="278"/>
      <c r="AT111" s="2" t="s">
        <v>73</v>
      </c>
      <c r="AU111" s="278"/>
      <c r="AV111" s="278"/>
      <c r="AW111" s="2" t="s">
        <v>304</v>
      </c>
      <c r="AX111" s="278"/>
      <c r="AY111" s="278"/>
      <c r="AZ111" s="2" t="s">
        <v>57</v>
      </c>
      <c r="BA111" s="278"/>
      <c r="BB111" s="278"/>
      <c r="BC111" s="2" t="str">
        <f t="shared" si="22"/>
        <v>Complete</v>
      </c>
      <c r="BD111" s="2" t="s">
        <v>279</v>
      </c>
      <c r="BE111" s="119" t="str">
        <f t="shared" si="23"/>
        <v>NPD: In progress: Electrical; Pending approval: Drawing, Veneer/Wood, Metal; Not started: Marble; Fabric is com for SW52</v>
      </c>
    </row>
    <row r="112" spans="1:57" ht="29" x14ac:dyDescent="0.35">
      <c r="A112" s="2" t="str">
        <f>IFERROR(VLOOKUP(E112,'Customer '!$A$4:$D$23,3,FALSE),"")</f>
        <v>RH</v>
      </c>
      <c r="B112" s="2" t="s">
        <v>268</v>
      </c>
      <c r="C112" s="2" t="s">
        <v>308</v>
      </c>
      <c r="D112" s="2" t="s">
        <v>312</v>
      </c>
      <c r="E112" s="2" t="s">
        <v>61</v>
      </c>
      <c r="F112" s="2" t="str">
        <f>IFERROR(VLOOKUP(E112,'Customer '!$A$4:$D$28,2,FALSE),"")</f>
        <v>RH</v>
      </c>
      <c r="G112" s="2" t="s">
        <v>397</v>
      </c>
      <c r="H11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2026-RH-AWH TOPNOTCH</v>
      </c>
      <c r="I112" s="2">
        <f ca="1">IF(OR($H112="",$B112=""),0,--(COUNTIFS($H$3:$H112,$H112,$B$3:$B112,$B112)=1))</f>
        <v>1</v>
      </c>
      <c r="J112" s="2" t="s">
        <v>396</v>
      </c>
      <c r="K112" s="2" t="s">
        <v>273</v>
      </c>
      <c r="L112" s="2" t="s">
        <v>285</v>
      </c>
      <c r="M112" s="278">
        <v>46120</v>
      </c>
      <c r="N112" s="278"/>
      <c r="O112" s="279"/>
      <c r="P112" s="2" t="s">
        <v>51</v>
      </c>
      <c r="Q112" s="2" t="s">
        <v>398</v>
      </c>
      <c r="R112" s="2">
        <v>0</v>
      </c>
      <c r="S112" s="2">
        <v>0</v>
      </c>
      <c r="V112" s="276">
        <v>17</v>
      </c>
      <c r="X112" s="280">
        <v>532175</v>
      </c>
      <c r="Y112" s="280">
        <v>532175</v>
      </c>
      <c r="Z112" s="2" t="s">
        <v>328</v>
      </c>
      <c r="AA112" s="2" t="str">
        <f t="shared" si="19"/>
        <v>2027</v>
      </c>
      <c r="AB112" s="278"/>
      <c r="AC112" s="278"/>
      <c r="AD112" s="277">
        <v>46094</v>
      </c>
      <c r="AE112" s="278">
        <v>46108</v>
      </c>
      <c r="AF112" s="2" t="str">
        <f>IF(AD112="","",IF(ISNUMBER(AD112),IF(AND(AD112&gt;='2026 Calendar'!$C$4,AD112&lt;='2026 Calendar'!$E$107),LOOKUP(AD112,'2026 Calendar'!$C$4:$C$107,'2026 Calendar'!$A$4:$A$107),YEAR(AD112-WEEKDAY(AD112,2)+4)&amp;"/W"&amp;TEXT(WEEKNUM(AD112,21),"00")),IF(IFERROR(ISNUMBER(SEARCH("/W",AD112)),FALSE),IF(IFERROR(ISNUMBER(SEARCH("-",AD112)),FALSE),LEFT(AD112,SEARCH("-",AD112)-1),AD112),AD112)))</f>
        <v>2026/W11</v>
      </c>
      <c r="AG112" s="2" t="str">
        <f>IF(AE112="","",IF(ISNUMBER(AE112),IF(AND(AE112&gt;='2026 Calendar'!$C$4,AE112&lt;='2026 Calendar'!$E$107),LOOKUP(AE112,'2026 Calendar'!$C$4:$C$107,'2026 Calendar'!$A$4:$A$107),YEAR(AE112-WEEKDAY(AE112,2)+4)&amp;"/W"&amp;TEXT(WEEKNUM(AE112,21),"00")),IF(IFERROR(ISNUMBER(SEARCH("/W",AE112)),FALSE),IF(IFERROR(ISNUMBER(SEARCH("-",AE112)),FALSE),MID(AE112,SEARCH("-",AE112)+1,100),AE112),AE112)))</f>
        <v>2026/W13</v>
      </c>
      <c r="AH112" s="2" t="s">
        <v>304</v>
      </c>
      <c r="AI112" s="278"/>
      <c r="AJ112" s="278"/>
      <c r="AK112" s="2" t="s">
        <v>318</v>
      </c>
      <c r="AL112" s="278"/>
      <c r="AM112" s="278"/>
      <c r="AN112" s="2" t="s">
        <v>287</v>
      </c>
      <c r="AO112" s="278"/>
      <c r="AP112" s="278"/>
      <c r="AQ112" s="2" t="s">
        <v>318</v>
      </c>
      <c r="AR112" s="278"/>
      <c r="AS112" s="278"/>
      <c r="AT112" s="2" t="s">
        <v>73</v>
      </c>
      <c r="AU112" s="278"/>
      <c r="AV112" s="278"/>
      <c r="AW112" s="2" t="s">
        <v>304</v>
      </c>
      <c r="AX112" s="278"/>
      <c r="AY112" s="278"/>
      <c r="AZ112" s="2" t="s">
        <v>57</v>
      </c>
      <c r="BA112" s="278"/>
      <c r="BB112" s="278"/>
      <c r="BC112" s="2" t="str">
        <f t="shared" si="22"/>
        <v>Complete</v>
      </c>
      <c r="BD112" s="2" t="s">
        <v>279</v>
      </c>
      <c r="BE112" s="119" t="str">
        <f t="shared" si="23"/>
        <v>NPI: In progress: Drawing, Electrical; Pending approval: Veneer/Wood, Metal; Not started: Marble; Fabric is com for SW13</v>
      </c>
    </row>
    <row r="113" spans="1:57" x14ac:dyDescent="0.35">
      <c r="A113" s="2" t="str">
        <f>IFERROR(VLOOKUP(E113,'Customer '!$A$4:$D$23,3,FALSE),"")</f>
        <v>NON RH</v>
      </c>
      <c r="B113" s="2" t="s">
        <v>268</v>
      </c>
      <c r="C113" s="2" t="s">
        <v>340</v>
      </c>
      <c r="D113" s="2" t="s">
        <v>394</v>
      </c>
      <c r="E113" s="2" t="s">
        <v>98</v>
      </c>
      <c r="F113" s="2" t="str">
        <f>IFERROR(VLOOKUP(E113,'Customer '!$A$4:$D$28,2,FALSE),"")</f>
        <v xml:space="preserve">FLEETWOOD </v>
      </c>
      <c r="G113" s="2" t="s">
        <v>399</v>
      </c>
      <c r="H11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2026-FLEETWOOD -SPANISH BAY CLUB </v>
      </c>
      <c r="I113" s="2">
        <f ca="1">IF(OR($H113="",$B113=""),0,--(COUNTIFS($H$3:$H113,$H113,$B$3:$B113,$B113)=1))</f>
        <v>1</v>
      </c>
      <c r="J113" s="2" t="s">
        <v>309</v>
      </c>
      <c r="K113" s="2" t="s">
        <v>273</v>
      </c>
      <c r="L113" s="2" t="s">
        <v>310</v>
      </c>
      <c r="M113" s="278">
        <v>46136</v>
      </c>
      <c r="N113" s="278">
        <v>46141</v>
      </c>
      <c r="O113" s="279">
        <v>46159</v>
      </c>
      <c r="P113" s="2" t="s">
        <v>51</v>
      </c>
      <c r="Q113" s="2" t="s">
        <v>152</v>
      </c>
      <c r="R113" s="2">
        <v>7</v>
      </c>
      <c r="S113" s="2">
        <v>17</v>
      </c>
      <c r="T113" s="2">
        <v>74</v>
      </c>
      <c r="V113" s="276">
        <v>15</v>
      </c>
      <c r="W113" s="276">
        <v>74</v>
      </c>
      <c r="X113" s="280">
        <v>64112.41</v>
      </c>
      <c r="Y113" s="280">
        <v>64112.41</v>
      </c>
      <c r="Z113" s="2" t="s">
        <v>311</v>
      </c>
      <c r="AA113" s="2" t="str">
        <f t="shared" si="19"/>
        <v>2026</v>
      </c>
      <c r="AB113" s="278">
        <v>46328</v>
      </c>
      <c r="AC113" s="278">
        <v>46349</v>
      </c>
      <c r="AD113" s="277">
        <v>46332</v>
      </c>
      <c r="AE113" s="277">
        <v>46353</v>
      </c>
      <c r="AF113" s="2" t="str">
        <f>IF(AD113="","",IF(ISNUMBER(AD113),IF(AND(AD113&gt;='2026 Calendar'!$C$4,AD113&lt;='2026 Calendar'!$E$107),LOOKUP(AD113,'2026 Calendar'!$C$4:$C$107,'2026 Calendar'!$A$4:$A$107),YEAR(AD113-WEEKDAY(AD113,2)+4)&amp;"/W"&amp;TEXT(WEEKNUM(AD113,21),"00")),IF(IFERROR(ISNUMBER(SEARCH("/W",AD113)),FALSE),IF(IFERROR(ISNUMBER(SEARCH("-",AD113)),FALSE),LEFT(AD113,SEARCH("-",AD113)-1),AD113),AD113)))</f>
        <v>2026/W45</v>
      </c>
      <c r="AG113" s="2" t="str">
        <f>IF(AE113="","",IF(ISNUMBER(AE113),IF(AND(AE113&gt;='2026 Calendar'!$C$4,AE113&lt;='2026 Calendar'!$E$107),LOOKUP(AE113,'2026 Calendar'!$C$4:$C$107,'2026 Calendar'!$A$4:$A$107),YEAR(AE113-WEEKDAY(AE113,2)+4)&amp;"/W"&amp;TEXT(WEEKNUM(AE113,21),"00")),IF(IFERROR(ISNUMBER(SEARCH("/W",AE113)),FALSE),IF(IFERROR(ISNUMBER(SEARCH("-",AE113)),FALSE),MID(AE113,SEARCH("-",AE113)+1,100),AE113),AE113)))</f>
        <v>2026/W48</v>
      </c>
      <c r="AH113" s="2" t="s">
        <v>56</v>
      </c>
      <c r="AI113" s="278"/>
      <c r="AJ113" s="278">
        <v>46270</v>
      </c>
      <c r="AK113" s="2" t="s">
        <v>56</v>
      </c>
      <c r="AL113" s="278"/>
      <c r="AM113" s="278">
        <v>46223</v>
      </c>
      <c r="AN113" s="2" t="s">
        <v>56</v>
      </c>
      <c r="AO113" s="278"/>
      <c r="AP113" s="278">
        <v>46252</v>
      </c>
      <c r="AQ113" s="2" t="s">
        <v>56</v>
      </c>
      <c r="AR113" s="278"/>
      <c r="AS113" s="278">
        <v>46223</v>
      </c>
      <c r="AT113" s="2" t="s">
        <v>73</v>
      </c>
      <c r="AU113" s="278"/>
      <c r="AV113" s="278"/>
      <c r="AW113" s="2" t="s">
        <v>56</v>
      </c>
      <c r="AX113" s="278"/>
      <c r="AY113" s="278">
        <v>46270</v>
      </c>
      <c r="AZ113" s="2" t="s">
        <v>73</v>
      </c>
      <c r="BA113" s="278"/>
      <c r="BB113" s="278"/>
      <c r="BC113" s="2" t="str">
        <f t="shared" si="22"/>
        <v>Active</v>
      </c>
      <c r="BE113" s="119" t="str">
        <f t="shared" si="23"/>
        <v>NPI: All development items approved/closed for SW48</v>
      </c>
    </row>
    <row r="114" spans="1:57" x14ac:dyDescent="0.35">
      <c r="A114" s="2" t="str">
        <f>IFERROR(VLOOKUP(E114,'Customer '!$A$4:$D$23,3,FALSE),"")</f>
        <v>NON RH</v>
      </c>
      <c r="B114" s="2" t="s">
        <v>268</v>
      </c>
      <c r="C114" s="2" t="s">
        <v>319</v>
      </c>
      <c r="E114" s="2" t="s">
        <v>48</v>
      </c>
      <c r="F114" s="2" t="str">
        <f>IFERROR(VLOOKUP(E114,'Customer '!$A$4:$D$28,2,FALSE),"")</f>
        <v>COSMIC REALTY</v>
      </c>
      <c r="G114" s="2" t="s">
        <v>49</v>
      </c>
      <c r="H11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2026-COSMIC REALTY-250 FIFTH AVENUE HOTEL</v>
      </c>
      <c r="I114" s="2">
        <f ca="1">IF(OR($H114="",$B114=""),0,--(COUNTIFS($H$3:$H114,$H114,$B$3:$B114,$B114)=1))</f>
        <v>0</v>
      </c>
      <c r="J114" s="2" t="s">
        <v>272</v>
      </c>
      <c r="K114" s="2" t="s">
        <v>273</v>
      </c>
      <c r="L114" s="2" t="s">
        <v>274</v>
      </c>
      <c r="M114" s="278"/>
      <c r="N114" s="278"/>
      <c r="O114" s="279"/>
      <c r="P114" s="2" t="s">
        <v>51</v>
      </c>
      <c r="Q114" s="2" t="s">
        <v>325</v>
      </c>
      <c r="V114" s="276">
        <v>17</v>
      </c>
      <c r="X114" s="280">
        <v>51127</v>
      </c>
      <c r="Y114" s="280">
        <v>51127</v>
      </c>
      <c r="Z114" s="2" t="s">
        <v>400</v>
      </c>
      <c r="AA114" s="2" t="str">
        <f t="shared" si="19"/>
        <v>2026</v>
      </c>
      <c r="AB114" s="278"/>
      <c r="AC114" s="278"/>
      <c r="AE114" s="278"/>
      <c r="AF114" s="2" t="str">
        <f>IF(AD114="","",IF(ISNUMBER(AD114),IF(AND(AD114&gt;='2026 Calendar'!$C$4,AD114&lt;='2026 Calendar'!$E$107),LOOKUP(AD114,'2026 Calendar'!$C$4:$C$107,'2026 Calendar'!$A$4:$A$107),YEAR(AD114-WEEKDAY(AD114,2)+4)&amp;"/W"&amp;TEXT(WEEKNUM(AD114,21),"00")),IF(IFERROR(ISNUMBER(SEARCH("/W",AD114)),FALSE),IF(IFERROR(ISNUMBER(SEARCH("-",AD114)),FALSE),LEFT(AD114,SEARCH("-",AD114)-1),AD114),AD114)))</f>
        <v/>
      </c>
      <c r="AG114" s="2" t="str">
        <f>IF(AE114="","",IF(ISNUMBER(AE114),IF(AND(AE114&gt;='2026 Calendar'!$C$4,AE114&lt;='2026 Calendar'!$E$107),LOOKUP(AE114,'2026 Calendar'!$C$4:$C$107,'2026 Calendar'!$A$4:$A$107),YEAR(AE114-WEEKDAY(AE114,2)+4)&amp;"/W"&amp;TEXT(WEEKNUM(AE114,21),"00")),IF(IFERROR(ISNUMBER(SEARCH("/W",AE114)),FALSE),IF(IFERROR(ISNUMBER(SEARCH("-",AE114)),FALSE),MID(AE114,SEARCH("-",AE114)+1,100),AE114),AE114)))</f>
        <v/>
      </c>
      <c r="AH114" s="2" t="s">
        <v>56</v>
      </c>
      <c r="AI114" s="278"/>
      <c r="AJ114" s="278"/>
      <c r="AK114" s="2" t="s">
        <v>56</v>
      </c>
      <c r="AL114" s="278"/>
      <c r="AM114" s="278"/>
      <c r="AN114" s="2" t="s">
        <v>56</v>
      </c>
      <c r="AO114" s="278"/>
      <c r="AP114" s="278"/>
      <c r="AQ114" s="2" t="s">
        <v>56</v>
      </c>
      <c r="AR114" s="278"/>
      <c r="AS114" s="278"/>
      <c r="AT114" s="2" t="s">
        <v>56</v>
      </c>
      <c r="AU114" s="278"/>
      <c r="AV114" s="278"/>
      <c r="AW114" s="2" t="s">
        <v>56</v>
      </c>
      <c r="AX114" s="278"/>
      <c r="AY114" s="278"/>
      <c r="AZ114" s="2" t="s">
        <v>57</v>
      </c>
      <c r="BA114" s="278"/>
      <c r="BB114" s="278"/>
      <c r="BC114" s="2" t="str">
        <f t="shared" si="22"/>
        <v>Complete</v>
      </c>
      <c r="BE114" s="119" t="str">
        <f t="shared" si="23"/>
        <v>READY</v>
      </c>
    </row>
    <row r="115" spans="1:57" x14ac:dyDescent="0.35">
      <c r="A115" s="2" t="str">
        <f>IFERROR(VLOOKUP(E115,'Customer '!$A$4:$D$23,3,FALSE),"")</f>
        <v>NON RH</v>
      </c>
      <c r="B115" s="2" t="s">
        <v>268</v>
      </c>
      <c r="C115" s="2" t="s">
        <v>272</v>
      </c>
      <c r="E115" s="2" t="s">
        <v>98</v>
      </c>
      <c r="F115" s="2" t="str">
        <f>IFERROR(VLOOKUP(E115,'Customer '!$A$4:$D$28,2,FALSE),"")</f>
        <v xml:space="preserve">FLEETWOOD </v>
      </c>
      <c r="G115" s="2" t="s">
        <v>117</v>
      </c>
      <c r="H11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-HWVP PHASE 2</v>
      </c>
      <c r="I115" s="2">
        <f ca="1">IF(OR($H115="",$B115=""),0,--(COUNTIFS($H$3:$H115,$H115,$B$3:$B115,$B115)=1))</f>
        <v>1</v>
      </c>
      <c r="J115" s="2" t="s">
        <v>272</v>
      </c>
      <c r="K115" s="2" t="s">
        <v>273</v>
      </c>
      <c r="L115" s="2" t="s">
        <v>274</v>
      </c>
      <c r="M115" s="278"/>
      <c r="N115" s="278"/>
      <c r="O115" s="279"/>
      <c r="P115" s="2" t="s">
        <v>51</v>
      </c>
      <c r="V115" s="276">
        <v>7</v>
      </c>
      <c r="X115" s="280">
        <v>1601</v>
      </c>
      <c r="Y115" s="280">
        <v>1601</v>
      </c>
      <c r="Z115" s="2" t="s">
        <v>378</v>
      </c>
      <c r="AA115" s="2" t="str">
        <f t="shared" si="19"/>
        <v>2026</v>
      </c>
      <c r="AB115" s="278"/>
      <c r="AC115" s="278"/>
      <c r="AE115" s="278"/>
      <c r="AF115" s="2" t="str">
        <f>IF(AD115="","",IF(ISNUMBER(AD115),IF(AND(AD115&gt;='2026 Calendar'!$C$4,AD115&lt;='2026 Calendar'!$E$107),LOOKUP(AD115,'2026 Calendar'!$C$4:$C$107,'2026 Calendar'!$A$4:$A$107),YEAR(AD115-WEEKDAY(AD115,2)+4)&amp;"/W"&amp;TEXT(WEEKNUM(AD115,21),"00")),IF(IFERROR(ISNUMBER(SEARCH("/W",AD115)),FALSE),IF(IFERROR(ISNUMBER(SEARCH("-",AD115)),FALSE),LEFT(AD115,SEARCH("-",AD115)-1),AD115),AD115)))</f>
        <v/>
      </c>
      <c r="AG115" s="2" t="str">
        <f>IF(AE115="","",IF(ISNUMBER(AE115),IF(AND(AE115&gt;='2026 Calendar'!$C$4,AE115&lt;='2026 Calendar'!$E$107),LOOKUP(AE115,'2026 Calendar'!$C$4:$C$107,'2026 Calendar'!$A$4:$A$107),YEAR(AE115-WEEKDAY(AE115,2)+4)&amp;"/W"&amp;TEXT(WEEKNUM(AE115,21),"00")),IF(IFERROR(ISNUMBER(SEARCH("/W",AE115)),FALSE),IF(IFERROR(ISNUMBER(SEARCH("-",AE115)),FALSE),MID(AE115,SEARCH("-",AE115)+1,100),AE115),AE115)))</f>
        <v/>
      </c>
      <c r="AH115" s="2" t="s">
        <v>56</v>
      </c>
      <c r="AI115" s="278"/>
      <c r="AJ115" s="278"/>
      <c r="AL115" s="278"/>
      <c r="AM115" s="278"/>
      <c r="AO115" s="278"/>
      <c r="AP115" s="278"/>
      <c r="AR115" s="278"/>
      <c r="AS115" s="278"/>
      <c r="AU115" s="278"/>
      <c r="AV115" s="278"/>
      <c r="AX115" s="278"/>
      <c r="AY115" s="278"/>
      <c r="BA115" s="278"/>
      <c r="BB115" s="278"/>
      <c r="BC115" s="2" t="str">
        <f t="shared" si="22"/>
        <v>Complete</v>
      </c>
      <c r="BE115" s="119" t="str">
        <f t="shared" si="23"/>
        <v>READY</v>
      </c>
    </row>
    <row r="116" spans="1:57" x14ac:dyDescent="0.35">
      <c r="A116" s="2" t="str">
        <f>IFERROR(VLOOKUP(E116,'Customer '!$A$4:$D$23,3,FALSE),"")</f>
        <v>NON RH</v>
      </c>
      <c r="B116" s="2" t="s">
        <v>268</v>
      </c>
      <c r="C116" s="2" t="s">
        <v>272</v>
      </c>
      <c r="E116" s="2" t="s">
        <v>122</v>
      </c>
      <c r="F116" s="2" t="str">
        <f>IFERROR(VLOOKUP(E116,'Customer '!$A$4:$D$28,2,FALSE),"")</f>
        <v>KD</v>
      </c>
      <c r="G116" s="2" t="s">
        <v>123</v>
      </c>
      <c r="H11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2026-KD-KNOX DALLAS</v>
      </c>
      <c r="I116" s="2">
        <f ca="1">IF(OR($H116="",$B116=""),0,--(COUNTIFS($H$3:$H116,$H116,$B$3:$B116,$B116)=1))</f>
        <v>1</v>
      </c>
      <c r="J116" s="2" t="s">
        <v>272</v>
      </c>
      <c r="K116" s="2" t="s">
        <v>273</v>
      </c>
      <c r="L116" s="2" t="s">
        <v>274</v>
      </c>
      <c r="M116" s="278"/>
      <c r="N116" s="278"/>
      <c r="O116" s="279"/>
      <c r="P116" s="2" t="s">
        <v>51</v>
      </c>
      <c r="V116" s="276">
        <v>30</v>
      </c>
      <c r="X116" s="280">
        <v>362480.94</v>
      </c>
      <c r="Y116" s="280">
        <v>362480.94</v>
      </c>
      <c r="Z116" s="2" t="s">
        <v>378</v>
      </c>
      <c r="AA116" s="2" t="str">
        <f t="shared" si="19"/>
        <v>2026</v>
      </c>
      <c r="AB116" s="278"/>
      <c r="AC116" s="278"/>
      <c r="AE116" s="278"/>
      <c r="AF116" s="2" t="str">
        <f>IF(AD116="","",IF(ISNUMBER(AD116),IF(AND(AD116&gt;='2026 Calendar'!$C$4,AD116&lt;='2026 Calendar'!$E$107),LOOKUP(AD116,'2026 Calendar'!$C$4:$C$107,'2026 Calendar'!$A$4:$A$107),YEAR(AD116-WEEKDAY(AD116,2)+4)&amp;"/W"&amp;TEXT(WEEKNUM(AD116,21),"00")),IF(IFERROR(ISNUMBER(SEARCH("/W",AD116)),FALSE),IF(IFERROR(ISNUMBER(SEARCH("-",AD116)),FALSE),LEFT(AD116,SEARCH("-",AD116)-1),AD116),AD116)))</f>
        <v/>
      </c>
      <c r="AG116" s="2" t="str">
        <f>IF(AE116="","",IF(ISNUMBER(AE116),IF(AND(AE116&gt;='2026 Calendar'!$C$4,AE116&lt;='2026 Calendar'!$E$107),LOOKUP(AE116,'2026 Calendar'!$C$4:$C$107,'2026 Calendar'!$A$4:$A$107),YEAR(AE116-WEEKDAY(AE116,2)+4)&amp;"/W"&amp;TEXT(WEEKNUM(AE116,21),"00")),IF(IFERROR(ISNUMBER(SEARCH("/W",AE116)),FALSE),IF(IFERROR(ISNUMBER(SEARCH("-",AE116)),FALSE),MID(AE116,SEARCH("-",AE116)+1,100),AE116),AE116)))</f>
        <v/>
      </c>
      <c r="AH116" s="2" t="s">
        <v>56</v>
      </c>
      <c r="AI116" s="278"/>
      <c r="AJ116" s="278"/>
      <c r="AK116" s="2" t="s">
        <v>56</v>
      </c>
      <c r="AL116" s="278"/>
      <c r="AM116" s="278"/>
      <c r="AN116" s="2" t="s">
        <v>56</v>
      </c>
      <c r="AO116" s="278"/>
      <c r="AP116" s="278"/>
      <c r="AQ116" s="2" t="s">
        <v>56</v>
      </c>
      <c r="AR116" s="278"/>
      <c r="AS116" s="278"/>
      <c r="AT116" s="2" t="s">
        <v>56</v>
      </c>
      <c r="AU116" s="278"/>
      <c r="AV116" s="278"/>
      <c r="AW116" s="2" t="s">
        <v>56</v>
      </c>
      <c r="AX116" s="278"/>
      <c r="AY116" s="278"/>
      <c r="AZ116" s="2" t="s">
        <v>57</v>
      </c>
      <c r="BA116" s="278"/>
      <c r="BB116" s="278"/>
      <c r="BC116" s="2" t="str">
        <f t="shared" si="22"/>
        <v>Complete</v>
      </c>
      <c r="BE116" s="119" t="str">
        <f t="shared" si="23"/>
        <v>READY</v>
      </c>
    </row>
    <row r="117" spans="1:57" x14ac:dyDescent="0.35">
      <c r="A117" s="2" t="str">
        <f>IFERROR(VLOOKUP(E117,'Customer '!$A$4:$D$23,3,FALSE),"")</f>
        <v>NON RH</v>
      </c>
      <c r="B117" s="2" t="s">
        <v>268</v>
      </c>
      <c r="C117" s="2" t="s">
        <v>272</v>
      </c>
      <c r="E117" s="2" t="s">
        <v>122</v>
      </c>
      <c r="F117" s="2" t="str">
        <f>IFERROR(VLOOKUP(E117,'Customer '!$A$4:$D$28,2,FALSE),"")</f>
        <v>KD</v>
      </c>
      <c r="G117" s="2" t="s">
        <v>123</v>
      </c>
      <c r="H11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2026-KD-KNOX DALLAS</v>
      </c>
      <c r="I117" s="2">
        <f ca="1">IF(OR($H117="",$B117=""),0,--(COUNTIFS($H$3:$H117,$H117,$B$3:$B117,$B117)=1))</f>
        <v>0</v>
      </c>
      <c r="J117" s="2" t="s">
        <v>272</v>
      </c>
      <c r="K117" s="2" t="s">
        <v>273</v>
      </c>
      <c r="L117" s="2" t="s">
        <v>274</v>
      </c>
      <c r="M117" s="278"/>
      <c r="N117" s="278"/>
      <c r="O117" s="279"/>
      <c r="P117" s="2" t="s">
        <v>51</v>
      </c>
      <c r="V117" s="276">
        <v>30</v>
      </c>
      <c r="X117" s="280">
        <v>33400</v>
      </c>
      <c r="Y117" s="280">
        <v>33400</v>
      </c>
      <c r="Z117" s="2" t="s">
        <v>400</v>
      </c>
      <c r="AA117" s="2" t="str">
        <f t="shared" si="19"/>
        <v>2026</v>
      </c>
      <c r="AB117" s="278"/>
      <c r="AC117" s="278"/>
      <c r="AE117" s="278"/>
      <c r="AF117" s="2" t="str">
        <f>IF(AD117="","",IF(ISNUMBER(AD117),IF(AND(AD117&gt;='2026 Calendar'!$C$4,AD117&lt;='2026 Calendar'!$E$107),LOOKUP(AD117,'2026 Calendar'!$C$4:$C$107,'2026 Calendar'!$A$4:$A$107),YEAR(AD117-WEEKDAY(AD117,2)+4)&amp;"/W"&amp;TEXT(WEEKNUM(AD117,21),"00")),IF(IFERROR(ISNUMBER(SEARCH("/W",AD117)),FALSE),IF(IFERROR(ISNUMBER(SEARCH("-",AD117)),FALSE),LEFT(AD117,SEARCH("-",AD117)-1),AD117),AD117)))</f>
        <v/>
      </c>
      <c r="AG117" s="2" t="str">
        <f>IF(AE117="","",IF(ISNUMBER(AE117),IF(AND(AE117&gt;='2026 Calendar'!$C$4,AE117&lt;='2026 Calendar'!$E$107),LOOKUP(AE117,'2026 Calendar'!$C$4:$C$107,'2026 Calendar'!$A$4:$A$107),YEAR(AE117-WEEKDAY(AE117,2)+4)&amp;"/W"&amp;TEXT(WEEKNUM(AE117,21),"00")),IF(IFERROR(ISNUMBER(SEARCH("/W",AE117)),FALSE),IF(IFERROR(ISNUMBER(SEARCH("-",AE117)),FALSE),MID(AE117,SEARCH("-",AE117)+1,100),AE117),AE117)))</f>
        <v/>
      </c>
      <c r="AH117" s="2" t="s">
        <v>56</v>
      </c>
      <c r="AI117" s="278"/>
      <c r="AJ117" s="278"/>
      <c r="AK117" s="2" t="s">
        <v>56</v>
      </c>
      <c r="AL117" s="278"/>
      <c r="AM117" s="278"/>
      <c r="AN117" s="2" t="s">
        <v>56</v>
      </c>
      <c r="AO117" s="278"/>
      <c r="AP117" s="278"/>
      <c r="AQ117" s="2" t="s">
        <v>56</v>
      </c>
      <c r="AR117" s="278"/>
      <c r="AS117" s="278"/>
      <c r="AT117" s="2" t="s">
        <v>56</v>
      </c>
      <c r="AU117" s="278"/>
      <c r="AV117" s="278"/>
      <c r="AW117" s="2" t="s">
        <v>56</v>
      </c>
      <c r="AX117" s="278"/>
      <c r="AY117" s="278"/>
      <c r="AZ117" s="2" t="s">
        <v>57</v>
      </c>
      <c r="BA117" s="278"/>
      <c r="BB117" s="278"/>
      <c r="BC117" s="2" t="str">
        <f t="shared" si="22"/>
        <v>Complete</v>
      </c>
      <c r="BE117" s="119" t="str">
        <f t="shared" si="23"/>
        <v>READY</v>
      </c>
    </row>
    <row r="118" spans="1:57" x14ac:dyDescent="0.35">
      <c r="A118" s="2" t="str">
        <f>IFERROR(VLOOKUP(E118,'Customer '!$A$4:$D$23,3,FALSE),"")</f>
        <v>NON RH</v>
      </c>
      <c r="B118" s="2" t="s">
        <v>268</v>
      </c>
      <c r="C118" s="2" t="s">
        <v>272</v>
      </c>
      <c r="E118" s="2" t="s">
        <v>168</v>
      </c>
      <c r="F118" s="2" t="str">
        <f>IFERROR(VLOOKUP(E118,'Customer '!$A$4:$D$28,2,FALSE),"")</f>
        <v>PLUS CORPORATION</v>
      </c>
      <c r="G118" s="2" t="s">
        <v>357</v>
      </c>
      <c r="H11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2026-PLUS CORPORATION-SOHO HOUSE TOKYO</v>
      </c>
      <c r="I118" s="2">
        <f ca="1">IF(OR($H118="",$B118=""),0,--(COUNTIFS($H$3:$H118,$H118,$B$3:$B118,$B118)=1))</f>
        <v>1</v>
      </c>
      <c r="J118" s="2" t="s">
        <v>272</v>
      </c>
      <c r="K118" s="2" t="s">
        <v>273</v>
      </c>
      <c r="L118" s="2" t="s">
        <v>274</v>
      </c>
      <c r="M118" s="278"/>
      <c r="N118" s="278"/>
      <c r="O118" s="279"/>
      <c r="P118" s="2" t="s">
        <v>358</v>
      </c>
      <c r="Q118" s="2" t="s">
        <v>358</v>
      </c>
      <c r="V118" s="276">
        <v>48</v>
      </c>
      <c r="X118" s="280">
        <v>24407</v>
      </c>
      <c r="Y118" s="280">
        <v>24407</v>
      </c>
      <c r="Z118" s="2" t="s">
        <v>378</v>
      </c>
      <c r="AA118" s="2" t="str">
        <f t="shared" si="19"/>
        <v>2026</v>
      </c>
      <c r="AB118" s="278"/>
      <c r="AC118" s="278"/>
      <c r="AE118" s="278"/>
      <c r="AF118" s="2" t="str">
        <f>IF(AD118="","",IF(ISNUMBER(AD118),IF(AND(AD118&gt;='2026 Calendar'!$C$4,AD118&lt;='2026 Calendar'!$E$107),LOOKUP(AD118,'2026 Calendar'!$C$4:$C$107,'2026 Calendar'!$A$4:$A$107),YEAR(AD118-WEEKDAY(AD118,2)+4)&amp;"/W"&amp;TEXT(WEEKNUM(AD118,21),"00")),IF(IFERROR(ISNUMBER(SEARCH("/W",AD118)),FALSE),IF(IFERROR(ISNUMBER(SEARCH("-",AD118)),FALSE),LEFT(AD118,SEARCH("-",AD118)-1),AD118),AD118)))</f>
        <v/>
      </c>
      <c r="AG118" s="2" t="str">
        <f>IF(AE118="","",IF(ISNUMBER(AE118),IF(AND(AE118&gt;='2026 Calendar'!$C$4,AE118&lt;='2026 Calendar'!$E$107),LOOKUP(AE118,'2026 Calendar'!$C$4:$C$107,'2026 Calendar'!$A$4:$A$107),YEAR(AE118-WEEKDAY(AE118,2)+4)&amp;"/W"&amp;TEXT(WEEKNUM(AE118,21),"00")),IF(IFERROR(ISNUMBER(SEARCH("/W",AE118)),FALSE),IF(IFERROR(ISNUMBER(SEARCH("-",AE118)),FALSE),MID(AE118,SEARCH("-",AE118)+1,100),AE118),AE118)))</f>
        <v/>
      </c>
      <c r="AH118" s="2" t="s">
        <v>56</v>
      </c>
      <c r="AI118" s="278"/>
      <c r="AJ118" s="278"/>
      <c r="AL118" s="278"/>
      <c r="AM118" s="278"/>
      <c r="AO118" s="278"/>
      <c r="AP118" s="278"/>
      <c r="AR118" s="278"/>
      <c r="AS118" s="278"/>
      <c r="AU118" s="278"/>
      <c r="AV118" s="278"/>
      <c r="AX118" s="278"/>
      <c r="AY118" s="278"/>
      <c r="BA118" s="278"/>
      <c r="BB118" s="278"/>
      <c r="BC118" s="2" t="str">
        <f t="shared" si="22"/>
        <v>Complete</v>
      </c>
      <c r="BE118" s="119" t="str">
        <f t="shared" si="23"/>
        <v>READY</v>
      </c>
    </row>
    <row r="119" spans="1:57" x14ac:dyDescent="0.35">
      <c r="A119" s="2" t="str">
        <f>IFERROR(VLOOKUP(E119,'Customer '!$A$4:$D$23,3,FALSE),"")</f>
        <v>NON RH</v>
      </c>
      <c r="B119" s="2" t="s">
        <v>268</v>
      </c>
      <c r="C119" s="2" t="s">
        <v>272</v>
      </c>
      <c r="E119" s="2" t="s">
        <v>168</v>
      </c>
      <c r="F119" s="2" t="str">
        <f>IFERROR(VLOOKUP(E119,'Customer '!$A$4:$D$28,2,FALSE),"")</f>
        <v>PLUS CORPORATION</v>
      </c>
      <c r="G119" s="2" t="s">
        <v>357</v>
      </c>
      <c r="H11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2026-PLUS CORPORATION-SOHO HOUSE TOKYO</v>
      </c>
      <c r="I119" s="2">
        <f ca="1">IF(OR($H119="",$B119=""),0,--(COUNTIFS($H$3:$H119,$H119,$B$3:$B119,$B119)=1))</f>
        <v>0</v>
      </c>
      <c r="J119" s="2" t="s">
        <v>272</v>
      </c>
      <c r="K119" s="2" t="s">
        <v>273</v>
      </c>
      <c r="L119" s="2" t="s">
        <v>274</v>
      </c>
      <c r="M119" s="278"/>
      <c r="N119" s="278"/>
      <c r="O119" s="279"/>
      <c r="P119" s="2" t="s">
        <v>358</v>
      </c>
      <c r="Q119" s="2" t="s">
        <v>358</v>
      </c>
      <c r="V119" s="276">
        <v>48</v>
      </c>
      <c r="X119" s="280">
        <v>80520</v>
      </c>
      <c r="Y119" s="280">
        <v>80520</v>
      </c>
      <c r="Z119" s="2" t="s">
        <v>400</v>
      </c>
      <c r="AA119" s="2" t="str">
        <f t="shared" si="19"/>
        <v>2026</v>
      </c>
      <c r="AB119" s="278"/>
      <c r="AC119" s="278"/>
      <c r="AE119" s="278"/>
      <c r="AF119" s="2" t="str">
        <f>IF(AD119="","",IF(ISNUMBER(AD119),IF(AND(AD119&gt;='2026 Calendar'!$C$4,AD119&lt;='2026 Calendar'!$E$107),LOOKUP(AD119,'2026 Calendar'!$C$4:$C$107,'2026 Calendar'!$A$4:$A$107),YEAR(AD119-WEEKDAY(AD119,2)+4)&amp;"/W"&amp;TEXT(WEEKNUM(AD119,21),"00")),IF(IFERROR(ISNUMBER(SEARCH("/W",AD119)),FALSE),IF(IFERROR(ISNUMBER(SEARCH("-",AD119)),FALSE),LEFT(AD119,SEARCH("-",AD119)-1),AD119),AD119)))</f>
        <v/>
      </c>
      <c r="AG119" s="2" t="str">
        <f>IF(AE119="","",IF(ISNUMBER(AE119),IF(AND(AE119&gt;='2026 Calendar'!$C$4,AE119&lt;='2026 Calendar'!$E$107),LOOKUP(AE119,'2026 Calendar'!$C$4:$C$107,'2026 Calendar'!$A$4:$A$107),YEAR(AE119-WEEKDAY(AE119,2)+4)&amp;"/W"&amp;TEXT(WEEKNUM(AE119,21),"00")),IF(IFERROR(ISNUMBER(SEARCH("/W",AE119)),FALSE),IF(IFERROR(ISNUMBER(SEARCH("-",AE119)),FALSE),MID(AE119,SEARCH("-",AE119)+1,100),AE119),AE119)))</f>
        <v/>
      </c>
      <c r="AH119" s="2" t="s">
        <v>56</v>
      </c>
      <c r="AI119" s="278"/>
      <c r="AJ119" s="278"/>
      <c r="AL119" s="278"/>
      <c r="AM119" s="278"/>
      <c r="AO119" s="278"/>
      <c r="AP119" s="278"/>
      <c r="AR119" s="278"/>
      <c r="AS119" s="278"/>
      <c r="AU119" s="278"/>
      <c r="AV119" s="278"/>
      <c r="AX119" s="278"/>
      <c r="AY119" s="278"/>
      <c r="BA119" s="278"/>
      <c r="BB119" s="278"/>
      <c r="BC119" s="2" t="str">
        <f t="shared" si="22"/>
        <v>Complete</v>
      </c>
      <c r="BE119" s="119" t="str">
        <f t="shared" si="23"/>
        <v>READY</v>
      </c>
    </row>
    <row r="120" spans="1:57" x14ac:dyDescent="0.35">
      <c r="A120" s="2" t="str">
        <f>IFERROR(VLOOKUP(E120,'Customer '!$A$4:$D$23,3,FALSE),"")</f>
        <v>RH</v>
      </c>
      <c r="B120" s="2" t="s">
        <v>268</v>
      </c>
      <c r="C120" s="2" t="s">
        <v>272</v>
      </c>
      <c r="D120" s="2" t="s">
        <v>270</v>
      </c>
      <c r="E120" s="2" t="s">
        <v>61</v>
      </c>
      <c r="F120" s="2" t="str">
        <f>IFERROR(VLOOKUP(E120,'Customer '!$A$4:$D$28,2,FALSE),"")</f>
        <v>RH</v>
      </c>
      <c r="G120" s="2" t="s">
        <v>401</v>
      </c>
      <c r="H12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2026-RH-RH BRANDYWINE</v>
      </c>
      <c r="I120" s="2">
        <f ca="1">IF(OR($H120="",$B120=""),0,--(COUNTIFS($H$3:$H120,$H120,$B$3:$B120,$B120)=1))</f>
        <v>1</v>
      </c>
      <c r="J120" s="2" t="s">
        <v>272</v>
      </c>
      <c r="K120" s="2" t="s">
        <v>273</v>
      </c>
      <c r="L120" s="2" t="s">
        <v>274</v>
      </c>
      <c r="M120" s="278"/>
      <c r="N120" s="278"/>
      <c r="O120" s="279"/>
      <c r="P120" s="2" t="s">
        <v>51</v>
      </c>
      <c r="V120" s="276">
        <v>2</v>
      </c>
      <c r="X120" s="280">
        <v>5432.2</v>
      </c>
      <c r="Y120" s="280">
        <v>5432.2</v>
      </c>
      <c r="Z120" s="2" t="s">
        <v>378</v>
      </c>
      <c r="AA120" s="2" t="str">
        <f t="shared" si="19"/>
        <v>2026</v>
      </c>
      <c r="AB120" s="278"/>
      <c r="AC120" s="278"/>
      <c r="AE120" s="278"/>
      <c r="AF120" s="2" t="str">
        <f>IF(AD120="","",IF(ISNUMBER(AD120),IF(AND(AD120&gt;='2026 Calendar'!$C$4,AD120&lt;='2026 Calendar'!$E$107),LOOKUP(AD120,'2026 Calendar'!$C$4:$C$107,'2026 Calendar'!$A$4:$A$107),YEAR(AD120-WEEKDAY(AD120,2)+4)&amp;"/W"&amp;TEXT(WEEKNUM(AD120,21),"00")),IF(IFERROR(ISNUMBER(SEARCH("/W",AD120)),FALSE),IF(IFERROR(ISNUMBER(SEARCH("-",AD120)),FALSE),LEFT(AD120,SEARCH("-",AD120)-1),AD120),AD120)))</f>
        <v/>
      </c>
      <c r="AG120" s="2" t="str">
        <f>IF(AE120="","",IF(ISNUMBER(AE120),IF(AND(AE120&gt;='2026 Calendar'!$C$4,AE120&lt;='2026 Calendar'!$E$107),LOOKUP(AE120,'2026 Calendar'!$C$4:$C$107,'2026 Calendar'!$A$4:$A$107),YEAR(AE120-WEEKDAY(AE120,2)+4)&amp;"/W"&amp;TEXT(WEEKNUM(AE120,21),"00")),IF(IFERROR(ISNUMBER(SEARCH("/W",AE120)),FALSE),IF(IFERROR(ISNUMBER(SEARCH("-",AE120)),FALSE),MID(AE120,SEARCH("-",AE120)+1,100),AE120),AE120)))</f>
        <v/>
      </c>
      <c r="AH120" s="2" t="s">
        <v>56</v>
      </c>
      <c r="AI120" s="278"/>
      <c r="AJ120" s="278"/>
      <c r="AK120" s="2" t="s">
        <v>56</v>
      </c>
      <c r="AL120" s="278"/>
      <c r="AM120" s="278"/>
      <c r="AN120" s="2" t="s">
        <v>73</v>
      </c>
      <c r="AO120" s="278"/>
      <c r="AP120" s="278"/>
      <c r="AQ120" s="2" t="s">
        <v>73</v>
      </c>
      <c r="AR120" s="278"/>
      <c r="AS120" s="278"/>
      <c r="AT120" s="2" t="s">
        <v>73</v>
      </c>
      <c r="AU120" s="278"/>
      <c r="AV120" s="278"/>
      <c r="AW120" s="2" t="s">
        <v>73</v>
      </c>
      <c r="AX120" s="278"/>
      <c r="AY120" s="278"/>
      <c r="AZ120" s="2" t="s">
        <v>73</v>
      </c>
      <c r="BA120" s="278"/>
      <c r="BB120" s="278"/>
      <c r="BC120" s="2" t="str">
        <f t="shared" si="22"/>
        <v>Complete</v>
      </c>
      <c r="BD120" s="2" t="s">
        <v>279</v>
      </c>
      <c r="BE120" s="119" t="str">
        <f t="shared" si="23"/>
        <v>READY</v>
      </c>
    </row>
    <row r="121" spans="1:57" x14ac:dyDescent="0.35">
      <c r="A121" s="2" t="str">
        <f>IFERROR(VLOOKUP(E121,'Customer '!$A$4:$D$23,3,FALSE),"")</f>
        <v>NON RH</v>
      </c>
      <c r="B121" s="2" t="s">
        <v>323</v>
      </c>
      <c r="C121" s="2" t="s">
        <v>298</v>
      </c>
      <c r="E121" s="2" t="s">
        <v>366</v>
      </c>
      <c r="F121" s="2" t="str">
        <f>IFERROR(VLOOKUP(E121,'Customer '!$A$4:$D$28,2,FALSE),"")</f>
        <v>BROOKFIELD</v>
      </c>
      <c r="G121" s="2" t="s">
        <v>402</v>
      </c>
      <c r="H12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2026-BROOKFIELD-RITZ CARLTON PHILADELPHIA</v>
      </c>
      <c r="I121" s="2">
        <f ca="1">IF(OR($H121="",$B121=""),0,--(COUNTIFS($H$3:$H121,$H121,$B$3:$B121,$B121)=1))</f>
        <v>1</v>
      </c>
      <c r="J121" s="2" t="s">
        <v>272</v>
      </c>
      <c r="K121" s="2" t="s">
        <v>273</v>
      </c>
      <c r="L121" s="2" t="s">
        <v>274</v>
      </c>
      <c r="M121" s="278">
        <v>46144</v>
      </c>
      <c r="N121" s="278">
        <v>46149</v>
      </c>
      <c r="O121" s="279"/>
      <c r="P121" s="2" t="s">
        <v>51</v>
      </c>
      <c r="Q121" s="2" t="s">
        <v>403</v>
      </c>
      <c r="V121" s="276">
        <v>6</v>
      </c>
      <c r="X121" s="280">
        <v>11414.99</v>
      </c>
      <c r="Y121" s="280">
        <v>13583.73</v>
      </c>
      <c r="Z121" s="2" t="s">
        <v>281</v>
      </c>
      <c r="AA121" s="2" t="str">
        <f t="shared" si="19"/>
        <v>2026</v>
      </c>
      <c r="AB121" s="278">
        <v>46220</v>
      </c>
      <c r="AC121" s="278"/>
      <c r="AD121" s="277">
        <v>46220</v>
      </c>
      <c r="AE121" s="278">
        <v>46220</v>
      </c>
      <c r="AF121" s="2" t="str">
        <f>IF(AD121="","",IF(ISNUMBER(AD121),IF(AND(AD121&gt;='2026 Calendar'!$C$4,AD121&lt;='2026 Calendar'!$E$107),LOOKUP(AD121,'2026 Calendar'!$C$4:$C$107,'2026 Calendar'!$A$4:$A$107),YEAR(AD121-WEEKDAY(AD121,2)+4)&amp;"/W"&amp;TEXT(WEEKNUM(AD121,21),"00")),IF(IFERROR(ISNUMBER(SEARCH("/W",AD121)),FALSE),IF(IFERROR(ISNUMBER(SEARCH("-",AD121)),FALSE),LEFT(AD121,SEARCH("-",AD121)-1),AD121),AD121)))</f>
        <v>2026/W29</v>
      </c>
      <c r="AG121" s="2" t="str">
        <f>IF(AE121="","",IF(ISNUMBER(AE121),IF(AND(AE121&gt;='2026 Calendar'!$C$4,AE121&lt;='2026 Calendar'!$E$107),LOOKUP(AE121,'2026 Calendar'!$C$4:$C$107,'2026 Calendar'!$A$4:$A$107),YEAR(AE121-WEEKDAY(AE121,2)+4)&amp;"/W"&amp;TEXT(WEEKNUM(AE121,21),"00")),IF(IFERROR(ISNUMBER(SEARCH("/W",AE121)),FALSE),IF(IFERROR(ISNUMBER(SEARCH("-",AE121)),FALSE),MID(AE121,SEARCH("-",AE121)+1,100),AE121),AE121)))</f>
        <v>2026/W29</v>
      </c>
      <c r="AH121" s="2" t="s">
        <v>56</v>
      </c>
      <c r="AI121" s="278"/>
      <c r="AJ121" s="278"/>
      <c r="AK121" s="2" t="s">
        <v>56</v>
      </c>
      <c r="AL121" s="278"/>
      <c r="AM121" s="278"/>
      <c r="AN121" s="2" t="s">
        <v>56</v>
      </c>
      <c r="AO121" s="278"/>
      <c r="AP121" s="278"/>
      <c r="AQ121" s="2" t="s">
        <v>56</v>
      </c>
      <c r="AR121" s="278"/>
      <c r="AS121" s="278"/>
      <c r="AT121" s="2" t="s">
        <v>73</v>
      </c>
      <c r="AU121" s="278"/>
      <c r="AV121" s="278"/>
      <c r="AW121" s="2" t="s">
        <v>56</v>
      </c>
      <c r="AX121" s="278"/>
      <c r="AY121" s="278"/>
      <c r="AZ121" s="2" t="s">
        <v>278</v>
      </c>
      <c r="BA121" s="278"/>
      <c r="BB121" s="278"/>
      <c r="BC121" s="2" t="str">
        <f t="shared" si="22"/>
        <v>Complete</v>
      </c>
      <c r="BE121" s="119" t="str">
        <f t="shared" si="23"/>
        <v>READY</v>
      </c>
    </row>
    <row r="122" spans="1:57" x14ac:dyDescent="0.35">
      <c r="A122" s="2" t="str">
        <f>IFERROR(VLOOKUP(E122,'Customer '!$A$4:$D$23,3,FALSE),"")</f>
        <v>RH</v>
      </c>
      <c r="B122" s="2" t="s">
        <v>323</v>
      </c>
      <c r="C122" s="2" t="s">
        <v>329</v>
      </c>
      <c r="D122" s="2" t="s">
        <v>405</v>
      </c>
      <c r="E122" s="2" t="s">
        <v>61</v>
      </c>
      <c r="F122" s="2" t="str">
        <f>IFERROR(VLOOKUP(E122,'Customer '!$A$4:$D$28,2,FALSE),"")</f>
        <v>RH</v>
      </c>
      <c r="G122" s="2" t="s">
        <v>406</v>
      </c>
      <c r="H12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2026-RH-CUSTOM MIYU TABLES</v>
      </c>
      <c r="I122" s="2">
        <f ca="1">IF(OR($H122="",$B122=""),0,--(COUNTIFS($H$3:$H122,$H122,$B$3:$B122,$B122)=1))</f>
        <v>1</v>
      </c>
      <c r="J122" s="2" t="s">
        <v>272</v>
      </c>
      <c r="K122" s="2" t="s">
        <v>273</v>
      </c>
      <c r="L122" s="2" t="s">
        <v>274</v>
      </c>
      <c r="M122" s="278">
        <v>46128</v>
      </c>
      <c r="N122" s="278">
        <v>46168</v>
      </c>
      <c r="O122" s="279"/>
      <c r="P122" s="2" t="s">
        <v>51</v>
      </c>
      <c r="Q122" s="2" t="s">
        <v>51</v>
      </c>
      <c r="V122" s="276">
        <v>5</v>
      </c>
      <c r="X122" s="280">
        <v>5617.6</v>
      </c>
      <c r="Y122" s="280">
        <v>5617.6</v>
      </c>
      <c r="Z122" s="2" t="s">
        <v>281</v>
      </c>
      <c r="AA122" s="2" t="str">
        <f t="shared" si="19"/>
        <v>2026</v>
      </c>
      <c r="AB122" s="278">
        <v>46277</v>
      </c>
      <c r="AC122" s="278">
        <v>46284</v>
      </c>
      <c r="AD122" s="277">
        <v>46218</v>
      </c>
      <c r="AE122" s="278">
        <v>46218</v>
      </c>
      <c r="AF122" s="2" t="str">
        <f>IF(AD122="","",IF(ISNUMBER(AD122),IF(AND(AD122&gt;='2026 Calendar'!$C$4,AD122&lt;='2026 Calendar'!$E$107),LOOKUP(AD122,'2026 Calendar'!$C$4:$C$107,'2026 Calendar'!$A$4:$A$107),YEAR(AD122-WEEKDAY(AD122,2)+4)&amp;"/W"&amp;TEXT(WEEKNUM(AD122,21),"00")),IF(IFERROR(ISNUMBER(SEARCH("/W",AD122)),FALSE),IF(IFERROR(ISNUMBER(SEARCH("-",AD122)),FALSE),LEFT(AD122,SEARCH("-",AD122)-1),AD122),AD122)))</f>
        <v>2026/W29</v>
      </c>
      <c r="AG122" s="2" t="str">
        <f>IF(AE122="","",IF(ISNUMBER(AE122),IF(AND(AE122&gt;='2026 Calendar'!$C$4,AE122&lt;='2026 Calendar'!$E$107),LOOKUP(AE122,'2026 Calendar'!$C$4:$C$107,'2026 Calendar'!$A$4:$A$107),YEAR(AE122-WEEKDAY(AE122,2)+4)&amp;"/W"&amp;TEXT(WEEKNUM(AE122,21),"00")),IF(IFERROR(ISNUMBER(SEARCH("/W",AE122)),FALSE),IF(IFERROR(ISNUMBER(SEARCH("-",AE122)),FALSE),MID(AE122,SEARCH("-",AE122)+1,100),AE122),AE122)))</f>
        <v>2026/W29</v>
      </c>
      <c r="AH122" s="2" t="s">
        <v>56</v>
      </c>
      <c r="AI122" s="278"/>
      <c r="AJ122" s="278">
        <v>46167</v>
      </c>
      <c r="AK122" s="2" t="s">
        <v>56</v>
      </c>
      <c r="AL122" s="278"/>
      <c r="AM122" s="278">
        <v>46177</v>
      </c>
      <c r="AN122" s="2" t="s">
        <v>73</v>
      </c>
      <c r="AO122" s="278"/>
      <c r="AP122" s="278"/>
      <c r="AQ122" s="2" t="s">
        <v>73</v>
      </c>
      <c r="AR122" s="278"/>
      <c r="AS122" s="278"/>
      <c r="AT122" s="2" t="s">
        <v>56</v>
      </c>
      <c r="AU122" s="278"/>
      <c r="AV122" s="278"/>
      <c r="AW122" s="2" t="s">
        <v>73</v>
      </c>
      <c r="AX122" s="278"/>
      <c r="AY122" s="278"/>
      <c r="AZ122" s="2" t="s">
        <v>73</v>
      </c>
      <c r="BA122" s="278"/>
      <c r="BB122" s="278"/>
      <c r="BC122" s="2" t="str">
        <f t="shared" ref="BC122:BC153" si="24">IF(J122="","",IF(OR(J122="OB",J122="NOR",J122="FC",J122="PIPELINE"),"Active","Complete"))</f>
        <v>Complete</v>
      </c>
      <c r="BD122" s="2" t="s">
        <v>279</v>
      </c>
      <c r="BE122" s="119" t="str">
        <f t="shared" ref="BE122:BE153" si="25">IF(UPPER(TRIM(J122))="SHIPPED","READY",_xlfn.LET(_xlpm.stage,IF(B122="","",B122&amp;": "),_xlpm.ip,_xlfn.TEXTJOIN(", ",TRUE,IF(LOWER(AH122)="in progress","Drawing",""),IF(LOWER(AK122)="in progress","Veneer/Wood",""),IF(LOWER(AN122)="in progress","Marble",""),IF(LOWER(AQ122)="in progress","Metal",""),IF(LOWER(AT122)="in progress","Mirror",""),IF(LOWER(AW122)="in progress","Electrical",""),IF(LOWER(AZ122)="in progress","Fabric","")),_xlpm.pa,_xlfn.TEXTJOIN(", ",TRUE,IF(LOWER(AH122)="pending approval","Drawing",""),IF(LOWER(AK122)="pending approval","Veneer/Wood",""),IF(LOWER(AN122)="pending approval","Marble",""),IF(LOWER(AQ122)="pending approval","Metal",""),IF(LOWER(AT122)="pending approval","Mirror",""),IF(LOWER(AW122)="pending approval","Electrical",""),IF(LOWER(AZ122)="pending approval","Fabric","")),_xlpm.ns,_xlfn.TEXTJOIN(", ",TRUE,IF(LOWER(AH122)="not started","Drawing",""),IF(LOWER(AK122)="not started","Veneer/Wood",""),IF(LOWER(AN122)="not started","Marble",""),IF(LOWER(AQ122)="not started","Metal",""),IF(LOWER(AT122)="not started","Mirror",""),IF(LOWER(AW122)="not started","Electrical",""),IF(LOWER(AZ122)="not started","Fabric","")),_xlpm.fab,IF(OR(LOWER(AZ122)="com",LOWER(AZ122)="com pending",LOWER(AZ122)="com received"),"Fabric is "&amp;LOWER(AZ122),""),_xlpm.parts,_xlfn.TEXTJOIN("; ",TRUE,IF(_xlpm.ip&lt;&gt;"","In progress: "&amp;_xlpm.ip,""),IF(_xlpm.pa&lt;&gt;"","Pending approval: "&amp;_xlpm.pa,""),IF(_xlpm.ns&lt;&gt;"","Not started: "&amp;_xlpm.ns,""),_xlpm.fab),_xlpm.deadline,MIN(IF(AND(AH122&lt;&gt;"",LOWER(AH122)&lt;&gt;"approved",LOWER(AH122)&lt;&gt;"n/a",ISNUMBER(AI122)),AI122,1E+99),IF(AND(AK122&lt;&gt;"",LOWER(AK122)&lt;&gt;"approved",LOWER(AK122)&lt;&gt;"n/a",ISNUMBER(AL122)),AL122,1E+99),IF(AND(AN122&lt;&gt;"",LOWER(AN122)&lt;&gt;"approved",LOWER(AN122)&lt;&gt;"n/a",ISNUMBER(AO122)),AO122,1E+99),IF(AND(AQ122&lt;&gt;"",LOWER(AQ122)&lt;&gt;"approved",LOWER(AQ122)&lt;&gt;"n/a",ISNUMBER(AR122)),AR122,1E+99),IF(AND(AT122&lt;&gt;"",LOWER(AT122)&lt;&gt;"approved",LOWER(AT122)&lt;&gt;"n/a",ISNUMBER(AU122)),AU122,1E+99),IF(AND(AW122&lt;&gt;"",LOWER(AW122)&lt;&gt;"approved",LOWER(AW122)&lt;&gt;"n/a",ISNUMBER(AX122)),AX122,1E+99),IF(AND(AZ122&lt;&gt;"",LOWER(AZ122)&lt;&gt;"approved",LOWER(AZ122)&lt;&gt;"n/a",ISNUMBER(BA122)),BA122,1E+99)),_xlpm.sw,IF(AG122="","",IFERROR("SW"&amp;MID(AG122,FIND("/W",AG122)+2,99),"SW "&amp;AG122)),_xlpm.stage&amp;IF(_xlpm.parts="","All development items approved/closed",_xlpm.parts)&amp;IF(AND(_xlpm.parts&lt;&gt;"",_xlpm.deadline&lt;1E+99),"; need approval by "&amp;TEXT(_xlpm.deadline,"d-mmm-yy"),"")&amp;IF(_xlpm.sw&lt;&gt;""," for "&amp;_xlpm.sw,"")))</f>
        <v>READY</v>
      </c>
    </row>
    <row r="123" spans="1:57" x14ac:dyDescent="0.35">
      <c r="A123" s="2" t="str">
        <f>IFERROR(VLOOKUP(E123,'Customer '!$A$4:$D$23,3,FALSE),"")</f>
        <v>RH</v>
      </c>
      <c r="B123" s="2" t="s">
        <v>323</v>
      </c>
      <c r="C123" s="2" t="s">
        <v>308</v>
      </c>
      <c r="D123" s="2" t="s">
        <v>270</v>
      </c>
      <c r="E123" s="2" t="s">
        <v>61</v>
      </c>
      <c r="F123" s="2" t="str">
        <f>IFERROR(VLOOKUP(E123,'Customer '!$A$4:$D$28,2,FALSE),"")</f>
        <v>RH</v>
      </c>
      <c r="G123" s="2" t="s">
        <v>407</v>
      </c>
      <c r="H12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2026-RH-GRAND HYATT DENVER</v>
      </c>
      <c r="I123" s="2">
        <f ca="1">IF(OR($H123="",$B123=""),0,--(COUNTIFS($H$3:$H123,$H123,$B$3:$B123,$B123)=1))</f>
        <v>1</v>
      </c>
      <c r="J123" s="2" t="s">
        <v>309</v>
      </c>
      <c r="K123" s="2" t="s">
        <v>273</v>
      </c>
      <c r="L123" s="2" t="s">
        <v>301</v>
      </c>
      <c r="M123" s="278">
        <v>46136</v>
      </c>
      <c r="N123" s="278">
        <v>46206</v>
      </c>
      <c r="O123" s="279"/>
      <c r="P123" s="2" t="s">
        <v>51</v>
      </c>
      <c r="Q123" s="2" t="s">
        <v>408</v>
      </c>
      <c r="R123" s="2">
        <v>0</v>
      </c>
      <c r="S123" s="2">
        <v>0</v>
      </c>
      <c r="V123" s="276">
        <v>2</v>
      </c>
      <c r="W123" s="276">
        <v>2</v>
      </c>
      <c r="X123" s="280">
        <v>5542.32</v>
      </c>
      <c r="Y123" s="280">
        <v>5542.32</v>
      </c>
      <c r="Z123" s="2" t="s">
        <v>303</v>
      </c>
      <c r="AA123" s="2" t="str">
        <f t="shared" si="19"/>
        <v>2026</v>
      </c>
      <c r="AB123" s="278"/>
      <c r="AC123" s="278"/>
      <c r="AD123" s="277">
        <v>46324</v>
      </c>
      <c r="AE123" s="277">
        <v>46324</v>
      </c>
      <c r="AF123" s="2" t="str">
        <f>IF(AD123="","",IF(ISNUMBER(AD123),IF(AND(AD123&gt;='2026 Calendar'!$C$4,AD123&lt;='2026 Calendar'!$E$107),LOOKUP(AD123,'2026 Calendar'!$C$4:$C$107,'2026 Calendar'!$A$4:$A$107),YEAR(AD123-WEEKDAY(AD123,2)+4)&amp;"/W"&amp;TEXT(WEEKNUM(AD123,21),"00")),IF(IFERROR(ISNUMBER(SEARCH("/W",AD123)),FALSE),IF(IFERROR(ISNUMBER(SEARCH("-",AD123)),FALSE),LEFT(AD123,SEARCH("-",AD123)-1),AD123),AD123)))</f>
        <v>2026/W44</v>
      </c>
      <c r="AG123" s="2" t="str">
        <f>IF(AE123="","",IF(ISNUMBER(AE123),IF(AND(AE123&gt;='2026 Calendar'!$C$4,AE123&lt;='2026 Calendar'!$E$107),LOOKUP(AE123,'2026 Calendar'!$C$4:$C$107,'2026 Calendar'!$A$4:$A$107),YEAR(AE123-WEEKDAY(AE123,2)+4)&amp;"/W"&amp;TEXT(WEEKNUM(AE123,21),"00")),IF(IFERROR(ISNUMBER(SEARCH("/W",AE123)),FALSE),IF(IFERROR(ISNUMBER(SEARCH("-",AE123)),FALSE),MID(AE123,SEARCH("-",AE123)+1,100),AE123),AE123)))</f>
        <v>2026/W44</v>
      </c>
      <c r="AH123" s="2" t="s">
        <v>56</v>
      </c>
      <c r="AI123" s="278"/>
      <c r="AJ123" s="278">
        <v>46272</v>
      </c>
      <c r="AK123" s="2" t="s">
        <v>56</v>
      </c>
      <c r="AL123" s="278"/>
      <c r="AM123" s="278">
        <v>46227</v>
      </c>
      <c r="AN123" s="2" t="s">
        <v>73</v>
      </c>
      <c r="AO123" s="278"/>
      <c r="AP123" s="278"/>
      <c r="AQ123" s="2" t="s">
        <v>73</v>
      </c>
      <c r="AR123" s="278"/>
      <c r="AS123" s="278"/>
      <c r="AT123" s="2" t="s">
        <v>73</v>
      </c>
      <c r="AU123" s="278"/>
      <c r="AV123" s="278"/>
      <c r="AW123" s="2" t="s">
        <v>56</v>
      </c>
      <c r="AX123" s="278"/>
      <c r="AY123" s="278">
        <v>46272</v>
      </c>
      <c r="AZ123" s="2" t="s">
        <v>278</v>
      </c>
      <c r="BA123" s="278"/>
      <c r="BB123" s="278">
        <v>46255</v>
      </c>
      <c r="BC123" s="2" t="str">
        <f t="shared" si="24"/>
        <v>Active</v>
      </c>
      <c r="BD123" s="2" t="s">
        <v>279</v>
      </c>
      <c r="BE123" s="119" t="str">
        <f t="shared" si="25"/>
        <v>NPD: Fabric is com received for SW44</v>
      </c>
    </row>
    <row r="124" spans="1:57" x14ac:dyDescent="0.35">
      <c r="A124" s="2" t="str">
        <f>IFERROR(VLOOKUP(E124,'Customer '!$A$4:$D$23,3,FALSE),"")</f>
        <v>RH</v>
      </c>
      <c r="B124" s="2" t="s">
        <v>268</v>
      </c>
      <c r="C124" s="2" t="s">
        <v>149</v>
      </c>
      <c r="D124" s="2" t="s">
        <v>405</v>
      </c>
      <c r="E124" s="2" t="s">
        <v>61</v>
      </c>
      <c r="F124" s="2" t="str">
        <f>IFERROR(VLOOKUP(E124,'Customer '!$A$4:$D$28,2,FALSE),"")</f>
        <v>RH</v>
      </c>
      <c r="G124" s="2" t="s">
        <v>409</v>
      </c>
      <c r="H12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2026-RH-COMPETITIVE EDGE </v>
      </c>
      <c r="I124" s="2">
        <f ca="1">IF(OR($H124="",$B124=""),0,--(COUNTIFS($H$3:$H124,$H124,$B$3:$B124,$B124)=1))</f>
        <v>1</v>
      </c>
      <c r="J124" s="2" t="s">
        <v>316</v>
      </c>
      <c r="K124" s="2" t="s">
        <v>273</v>
      </c>
      <c r="L124" s="2" t="s">
        <v>317</v>
      </c>
      <c r="M124" s="278">
        <v>46141</v>
      </c>
      <c r="N124" s="278"/>
      <c r="O124" s="279"/>
      <c r="P124" s="2" t="s">
        <v>51</v>
      </c>
      <c r="R124" s="2">
        <v>0</v>
      </c>
      <c r="S124" s="2">
        <v>0</v>
      </c>
      <c r="V124" s="276">
        <v>3</v>
      </c>
      <c r="X124" s="280">
        <v>847691</v>
      </c>
      <c r="Y124" s="280">
        <v>847691</v>
      </c>
      <c r="Z124" s="2" t="s">
        <v>149</v>
      </c>
      <c r="AA124" s="2" t="str">
        <f t="shared" si="19"/>
        <v>TBC</v>
      </c>
      <c r="AB124" s="278"/>
      <c r="AC124" s="278"/>
      <c r="AD124" s="277" t="s">
        <v>149</v>
      </c>
      <c r="AE124" s="278" t="s">
        <v>149</v>
      </c>
      <c r="AF124" s="2" t="str">
        <f>IF(AD124="","",IF(ISNUMBER(AD124),IF(AND(AD124&gt;='2026 Calendar'!$C$4,AD124&lt;='2026 Calendar'!$E$107),LOOKUP(AD124,'2026 Calendar'!$C$4:$C$107,'2026 Calendar'!$A$4:$A$107),YEAR(AD124-WEEKDAY(AD124,2)+4)&amp;"/W"&amp;TEXT(WEEKNUM(AD124,21),"00")),IF(IFERROR(ISNUMBER(SEARCH("/W",AD124)),FALSE),IF(IFERROR(ISNUMBER(SEARCH("-",AD124)),FALSE),LEFT(AD124,SEARCH("-",AD124)-1),AD124),AD124)))</f>
        <v>TBC</v>
      </c>
      <c r="AG124" s="2" t="str">
        <f>IF(AE124="","",IF(ISNUMBER(AE124),IF(AND(AE124&gt;='2026 Calendar'!$C$4,AE124&lt;='2026 Calendar'!$E$107),LOOKUP(AE124,'2026 Calendar'!$C$4:$C$107,'2026 Calendar'!$A$4:$A$107),YEAR(AE124-WEEKDAY(AE124,2)+4)&amp;"/W"&amp;TEXT(WEEKNUM(AE124,21),"00")),IF(IFERROR(ISNUMBER(SEARCH("/W",AE124)),FALSE),IF(IFERROR(ISNUMBER(SEARCH("-",AE124)),FALSE),MID(AE124,SEARCH("-",AE124)+1,100),AE124),AE124)))</f>
        <v>TBC</v>
      </c>
      <c r="AH124" s="2" t="s">
        <v>287</v>
      </c>
      <c r="AI124" s="278"/>
      <c r="AJ124" s="278"/>
      <c r="AK124" s="2" t="s">
        <v>287</v>
      </c>
      <c r="AL124" s="278"/>
      <c r="AM124" s="278"/>
      <c r="AO124" s="278"/>
      <c r="AP124" s="278"/>
      <c r="AR124" s="278"/>
      <c r="AS124" s="278"/>
      <c r="AU124" s="278"/>
      <c r="AV124" s="278"/>
      <c r="AX124" s="278"/>
      <c r="AY124" s="278"/>
      <c r="BA124" s="278"/>
      <c r="BB124" s="278"/>
      <c r="BC124" s="2" t="str">
        <f t="shared" si="24"/>
        <v>Active</v>
      </c>
      <c r="BD124" s="2" t="s">
        <v>279</v>
      </c>
      <c r="BE124" s="119" t="str">
        <f t="shared" si="25"/>
        <v>NPI: Not started: Drawing, Veneer/Wood for SW TBC</v>
      </c>
    </row>
    <row r="125" spans="1:57" x14ac:dyDescent="0.35">
      <c r="A125" s="2" t="str">
        <f>IFERROR(VLOOKUP(E125,'Customer '!$A$4:$D$23,3,FALSE),"")</f>
        <v>NON RH</v>
      </c>
      <c r="B125" s="2" t="s">
        <v>268</v>
      </c>
      <c r="C125" s="2" t="s">
        <v>340</v>
      </c>
      <c r="E125" s="2" t="s">
        <v>98</v>
      </c>
      <c r="F125" s="2" t="str">
        <f>IFERROR(VLOOKUP(E125,'Customer '!$A$4:$D$28,2,FALSE),"")</f>
        <v xml:space="preserve">FLEETWOOD </v>
      </c>
      <c r="G125" s="2" t="s">
        <v>410</v>
      </c>
      <c r="H12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-WALDORF ASTORIA DEER VALLEY</v>
      </c>
      <c r="I125" s="2">
        <f ca="1">IF(OR($H125="",$B125=""),0,--(COUNTIFS($H$3:$H125,$H125,$B$3:$B125,$B125)=1))</f>
        <v>1</v>
      </c>
      <c r="J125" s="2" t="s">
        <v>316</v>
      </c>
      <c r="K125" s="2" t="s">
        <v>273</v>
      </c>
      <c r="L125" s="2" t="s">
        <v>285</v>
      </c>
      <c r="M125" s="278">
        <v>46144</v>
      </c>
      <c r="N125" s="278"/>
      <c r="O125" s="279"/>
      <c r="P125" s="2" t="s">
        <v>51</v>
      </c>
      <c r="R125" s="2">
        <v>0</v>
      </c>
      <c r="S125" s="2">
        <v>0</v>
      </c>
      <c r="V125" s="276">
        <v>13</v>
      </c>
      <c r="X125" s="280">
        <v>5665882.9800000004</v>
      </c>
      <c r="Y125" s="280">
        <v>1133176.5960000001</v>
      </c>
      <c r="Z125" s="2" t="s">
        <v>286</v>
      </c>
      <c r="AA125" s="2" t="str">
        <f t="shared" ref="AA125:AA128" si="26">IF(Z125="","",IF(OR(Z125="TBC",Z125="Removed"),Z125,LEFT(Z125,4)))</f>
        <v>2027</v>
      </c>
      <c r="AB125" s="278"/>
      <c r="AC125" s="278"/>
      <c r="AE125" s="278"/>
      <c r="AF125" s="2" t="str">
        <f>IF(AD125="","",IF(ISNUMBER(AD125),IF(AND(AD125&gt;='2026 Calendar'!$C$4,AD125&lt;='2026 Calendar'!$E$107),LOOKUP(AD125,'2026 Calendar'!$C$4:$C$107,'2026 Calendar'!$A$4:$A$107),YEAR(AD125-WEEKDAY(AD125,2)+4)&amp;"/W"&amp;TEXT(WEEKNUM(AD125,21),"00")),IF(IFERROR(ISNUMBER(SEARCH("/W",AD125)),FALSE),IF(IFERROR(ISNUMBER(SEARCH("-",AD125)),FALSE),LEFT(AD125,SEARCH("-",AD125)-1),AD125),AD125)))</f>
        <v/>
      </c>
      <c r="AG125" s="2" t="str">
        <f>IF(AE125="","",IF(ISNUMBER(AE125),IF(AND(AE125&gt;='2026 Calendar'!$C$4,AE125&lt;='2026 Calendar'!$E$107),LOOKUP(AE125,'2026 Calendar'!$C$4:$C$107,'2026 Calendar'!$A$4:$A$107),YEAR(AE125-WEEKDAY(AE125,2)+4)&amp;"/W"&amp;TEXT(WEEKNUM(AE125,21),"00")),IF(IFERROR(ISNUMBER(SEARCH("/W",AE125)),FALSE),IF(IFERROR(ISNUMBER(SEARCH("-",AE125)),FALSE),MID(AE125,SEARCH("-",AE125)+1,100),AE125),AE125)))</f>
        <v/>
      </c>
      <c r="AI125" s="278"/>
      <c r="AJ125" s="278"/>
      <c r="AL125" s="278"/>
      <c r="AM125" s="278"/>
      <c r="AO125" s="278"/>
      <c r="AP125" s="278"/>
      <c r="AR125" s="278"/>
      <c r="AS125" s="278"/>
      <c r="AU125" s="278"/>
      <c r="AV125" s="278"/>
      <c r="AX125" s="278"/>
      <c r="AY125" s="278"/>
      <c r="BA125" s="278"/>
      <c r="BB125" s="278"/>
      <c r="BC125" s="2" t="str">
        <f t="shared" si="24"/>
        <v>Active</v>
      </c>
      <c r="BE125" s="119" t="str">
        <f t="shared" si="25"/>
        <v>NPI: All development items approved/closed</v>
      </c>
    </row>
    <row r="126" spans="1:57" x14ac:dyDescent="0.35">
      <c r="A126" s="2" t="str">
        <f>IFERROR(VLOOKUP(E126,'Customer '!$A$4:$D$23,3,FALSE),"")</f>
        <v>NON RH</v>
      </c>
      <c r="B126" s="2" t="s">
        <v>268</v>
      </c>
      <c r="C126" s="2" t="s">
        <v>340</v>
      </c>
      <c r="E126" s="2" t="s">
        <v>98</v>
      </c>
      <c r="F126" s="2" t="str">
        <f>IFERROR(VLOOKUP(E126,'Customer '!$A$4:$D$28,2,FALSE),"")</f>
        <v xml:space="preserve">FLEETWOOD </v>
      </c>
      <c r="G126" s="2" t="s">
        <v>410</v>
      </c>
      <c r="H12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-WALDORF ASTORIA DEER VALLEY</v>
      </c>
      <c r="I126" s="2">
        <f ca="1">IF(OR($H126="",$B126=""),0,--(COUNTIFS($H$3:$H126,$H126,$B$3:$B126,$B126)=1))</f>
        <v>0</v>
      </c>
      <c r="J126" s="2" t="s">
        <v>316</v>
      </c>
      <c r="K126" s="2" t="s">
        <v>273</v>
      </c>
      <c r="L126" s="2" t="s">
        <v>285</v>
      </c>
      <c r="M126" s="278">
        <v>46144</v>
      </c>
      <c r="N126" s="278"/>
      <c r="O126" s="279"/>
      <c r="P126" s="2" t="s">
        <v>51</v>
      </c>
      <c r="R126" s="2">
        <v>0</v>
      </c>
      <c r="S126" s="2">
        <v>0</v>
      </c>
      <c r="V126" s="276">
        <v>13</v>
      </c>
      <c r="X126" s="280">
        <v>5665882.9800000004</v>
      </c>
      <c r="Y126" s="280">
        <v>1133176.5960000001</v>
      </c>
      <c r="Z126" s="2" t="s">
        <v>288</v>
      </c>
      <c r="AA126" s="2" t="str">
        <f t="shared" si="26"/>
        <v>2027</v>
      </c>
      <c r="AB126" s="278"/>
      <c r="AC126" s="278"/>
      <c r="AE126" s="278"/>
      <c r="AF126" s="2" t="str">
        <f>IF(AD126="","",IF(ISNUMBER(AD126),IF(AND(AD126&gt;='2026 Calendar'!$C$4,AD126&lt;='2026 Calendar'!$E$107),LOOKUP(AD126,'2026 Calendar'!$C$4:$C$107,'2026 Calendar'!$A$4:$A$107),YEAR(AD126-WEEKDAY(AD126,2)+4)&amp;"/W"&amp;TEXT(WEEKNUM(AD126,21),"00")),IF(IFERROR(ISNUMBER(SEARCH("/W",AD126)),FALSE),IF(IFERROR(ISNUMBER(SEARCH("-",AD126)),FALSE),LEFT(AD126,SEARCH("-",AD126)-1),AD126),AD126)))</f>
        <v/>
      </c>
      <c r="AG126" s="2" t="str">
        <f>IF(AE126="","",IF(ISNUMBER(AE126),IF(AND(AE126&gt;='2026 Calendar'!$C$4,AE126&lt;='2026 Calendar'!$E$107),LOOKUP(AE126,'2026 Calendar'!$C$4:$C$107,'2026 Calendar'!$A$4:$A$107),YEAR(AE126-WEEKDAY(AE126,2)+4)&amp;"/W"&amp;TEXT(WEEKNUM(AE126,21),"00")),IF(IFERROR(ISNUMBER(SEARCH("/W",AE126)),FALSE),IF(IFERROR(ISNUMBER(SEARCH("-",AE126)),FALSE),MID(AE126,SEARCH("-",AE126)+1,100),AE126),AE126)))</f>
        <v/>
      </c>
      <c r="AI126" s="278"/>
      <c r="AJ126" s="278"/>
      <c r="AL126" s="278"/>
      <c r="AM126" s="278"/>
      <c r="AO126" s="278"/>
      <c r="AP126" s="278"/>
      <c r="AR126" s="278"/>
      <c r="AS126" s="278"/>
      <c r="AU126" s="278"/>
      <c r="AV126" s="278"/>
      <c r="AX126" s="278"/>
      <c r="AY126" s="278"/>
      <c r="BA126" s="278"/>
      <c r="BB126" s="278"/>
      <c r="BC126" s="2" t="str">
        <f t="shared" si="24"/>
        <v>Active</v>
      </c>
      <c r="BE126" s="119" t="str">
        <f t="shared" si="25"/>
        <v>NPI: All development items approved/closed</v>
      </c>
    </row>
    <row r="127" spans="1:57" x14ac:dyDescent="0.35">
      <c r="A127" s="2" t="str">
        <f>IFERROR(VLOOKUP(E127,'Customer '!$A$4:$D$23,3,FALSE),"")</f>
        <v>NON RH</v>
      </c>
      <c r="B127" s="2" t="s">
        <v>268</v>
      </c>
      <c r="C127" s="2" t="s">
        <v>340</v>
      </c>
      <c r="E127" s="2" t="s">
        <v>98</v>
      </c>
      <c r="F127" s="2" t="str">
        <f>IFERROR(VLOOKUP(E127,'Customer '!$A$4:$D$28,2,FALSE),"")</f>
        <v xml:space="preserve">FLEETWOOD </v>
      </c>
      <c r="G127" s="2" t="s">
        <v>410</v>
      </c>
      <c r="H12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-WALDORF ASTORIA DEER VALLEY</v>
      </c>
      <c r="I127" s="2">
        <f ca="1">IF(OR($H127="",$B127=""),0,--(COUNTIFS($H$3:$H127,$H127,$B$3:$B127,$B127)=1))</f>
        <v>0</v>
      </c>
      <c r="J127" s="2" t="s">
        <v>316</v>
      </c>
      <c r="K127" s="2" t="s">
        <v>273</v>
      </c>
      <c r="L127" s="2" t="s">
        <v>285</v>
      </c>
      <c r="M127" s="278">
        <v>46144</v>
      </c>
      <c r="N127" s="278"/>
      <c r="O127" s="279"/>
      <c r="P127" s="2" t="s">
        <v>51</v>
      </c>
      <c r="R127" s="2">
        <v>0</v>
      </c>
      <c r="S127" s="2">
        <v>0</v>
      </c>
      <c r="V127" s="276">
        <v>13</v>
      </c>
      <c r="X127" s="280">
        <v>5665882.9800000004</v>
      </c>
      <c r="Y127" s="280">
        <v>1133176.5960000001</v>
      </c>
      <c r="Z127" s="2" t="s">
        <v>289</v>
      </c>
      <c r="AA127" s="2" t="str">
        <f t="shared" si="26"/>
        <v>2027</v>
      </c>
      <c r="AB127" s="278"/>
      <c r="AC127" s="278"/>
      <c r="AE127" s="278"/>
      <c r="AF127" s="2" t="str">
        <f>IF(AD127="","",IF(ISNUMBER(AD127),IF(AND(AD127&gt;='2026 Calendar'!$C$4,AD127&lt;='2026 Calendar'!$E$107),LOOKUP(AD127,'2026 Calendar'!$C$4:$C$107,'2026 Calendar'!$A$4:$A$107),YEAR(AD127-WEEKDAY(AD127,2)+4)&amp;"/W"&amp;TEXT(WEEKNUM(AD127,21),"00")),IF(IFERROR(ISNUMBER(SEARCH("/W",AD127)),FALSE),IF(IFERROR(ISNUMBER(SEARCH("-",AD127)),FALSE),LEFT(AD127,SEARCH("-",AD127)-1),AD127),AD127)))</f>
        <v/>
      </c>
      <c r="AG127" s="2" t="str">
        <f>IF(AE127="","",IF(ISNUMBER(AE127),IF(AND(AE127&gt;='2026 Calendar'!$C$4,AE127&lt;='2026 Calendar'!$E$107),LOOKUP(AE127,'2026 Calendar'!$C$4:$C$107,'2026 Calendar'!$A$4:$A$107),YEAR(AE127-WEEKDAY(AE127,2)+4)&amp;"/W"&amp;TEXT(WEEKNUM(AE127,21),"00")),IF(IFERROR(ISNUMBER(SEARCH("/W",AE127)),FALSE),IF(IFERROR(ISNUMBER(SEARCH("-",AE127)),FALSE),MID(AE127,SEARCH("-",AE127)+1,100),AE127),AE127)))</f>
        <v/>
      </c>
      <c r="AI127" s="278"/>
      <c r="AJ127" s="278"/>
      <c r="AL127" s="278"/>
      <c r="AM127" s="278"/>
      <c r="AO127" s="278"/>
      <c r="AP127" s="278"/>
      <c r="AR127" s="278"/>
      <c r="AS127" s="278"/>
      <c r="AU127" s="278"/>
      <c r="AV127" s="278"/>
      <c r="AX127" s="278"/>
      <c r="AY127" s="278"/>
      <c r="BA127" s="278"/>
      <c r="BB127" s="278"/>
      <c r="BC127" s="2" t="str">
        <f t="shared" si="24"/>
        <v>Active</v>
      </c>
      <c r="BE127" s="119" t="str">
        <f t="shared" si="25"/>
        <v>NPI: All development items approved/closed</v>
      </c>
    </row>
    <row r="128" spans="1:57" x14ac:dyDescent="0.35">
      <c r="A128" s="2" t="str">
        <f>IFERROR(VLOOKUP(E128,'Customer '!$A$4:$D$23,3,FALSE),"")</f>
        <v>NON RH</v>
      </c>
      <c r="B128" s="2" t="s">
        <v>268</v>
      </c>
      <c r="C128" s="2" t="s">
        <v>340</v>
      </c>
      <c r="E128" s="2" t="s">
        <v>98</v>
      </c>
      <c r="F128" s="2" t="str">
        <f>IFERROR(VLOOKUP(E128,'Customer '!$A$4:$D$28,2,FALSE),"")</f>
        <v xml:space="preserve">FLEETWOOD </v>
      </c>
      <c r="G128" s="2" t="s">
        <v>410</v>
      </c>
      <c r="H12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-WALDORF ASTORIA DEER VALLEY</v>
      </c>
      <c r="I128" s="2">
        <f ca="1">IF(OR($H128="",$B128=""),0,--(COUNTIFS($H$3:$H128,$H128,$B$3:$B128,$B128)=1))</f>
        <v>0</v>
      </c>
      <c r="J128" s="2" t="s">
        <v>316</v>
      </c>
      <c r="K128" s="2" t="s">
        <v>273</v>
      </c>
      <c r="L128" s="2" t="s">
        <v>285</v>
      </c>
      <c r="M128" s="278">
        <v>46144</v>
      </c>
      <c r="N128" s="278"/>
      <c r="O128" s="279"/>
      <c r="P128" s="2" t="s">
        <v>51</v>
      </c>
      <c r="R128" s="2">
        <v>0</v>
      </c>
      <c r="S128" s="2">
        <v>0</v>
      </c>
      <c r="V128" s="276">
        <v>13</v>
      </c>
      <c r="X128" s="280">
        <v>5665882.9800000004</v>
      </c>
      <c r="Y128" s="280">
        <v>1133176.5960000001</v>
      </c>
      <c r="Z128" s="2" t="s">
        <v>370</v>
      </c>
      <c r="AA128" s="2" t="str">
        <f t="shared" si="26"/>
        <v>2027</v>
      </c>
      <c r="AB128" s="278"/>
      <c r="AC128" s="278"/>
      <c r="AE128" s="278"/>
      <c r="AF128" s="2" t="str">
        <f>IF(AD128="","",IF(ISNUMBER(AD128),IF(AND(AD128&gt;='2026 Calendar'!$C$4,AD128&lt;='2026 Calendar'!$E$107),LOOKUP(AD128,'2026 Calendar'!$C$4:$C$107,'2026 Calendar'!$A$4:$A$107),YEAR(AD128-WEEKDAY(AD128,2)+4)&amp;"/W"&amp;TEXT(WEEKNUM(AD128,21),"00")),IF(IFERROR(ISNUMBER(SEARCH("/W",AD128)),FALSE),IF(IFERROR(ISNUMBER(SEARCH("-",AD128)),FALSE),LEFT(AD128,SEARCH("-",AD128)-1),AD128),AD128)))</f>
        <v/>
      </c>
      <c r="AG128" s="2" t="str">
        <f>IF(AE128="","",IF(ISNUMBER(AE128),IF(AND(AE128&gt;='2026 Calendar'!$C$4,AE128&lt;='2026 Calendar'!$E$107),LOOKUP(AE128,'2026 Calendar'!$C$4:$C$107,'2026 Calendar'!$A$4:$A$107),YEAR(AE128-WEEKDAY(AE128,2)+4)&amp;"/W"&amp;TEXT(WEEKNUM(AE128,21),"00")),IF(IFERROR(ISNUMBER(SEARCH("/W",AE128)),FALSE),IF(IFERROR(ISNUMBER(SEARCH("-",AE128)),FALSE),MID(AE128,SEARCH("-",AE128)+1,100),AE128),AE128)))</f>
        <v/>
      </c>
      <c r="AI128" s="278"/>
      <c r="AJ128" s="278"/>
      <c r="AL128" s="278"/>
      <c r="AM128" s="278"/>
      <c r="AO128" s="278"/>
      <c r="AP128" s="278"/>
      <c r="AR128" s="278"/>
      <c r="AS128" s="278"/>
      <c r="AU128" s="278"/>
      <c r="AV128" s="278"/>
      <c r="AX128" s="278"/>
      <c r="AY128" s="278"/>
      <c r="BA128" s="278"/>
      <c r="BB128" s="278"/>
      <c r="BC128" s="2" t="str">
        <f t="shared" si="24"/>
        <v>Active</v>
      </c>
      <c r="BE128" s="119" t="str">
        <f t="shared" si="25"/>
        <v>NPI: All development items approved/closed</v>
      </c>
    </row>
    <row r="129" spans="1:58" x14ac:dyDescent="0.35">
      <c r="A129" s="2" t="str">
        <f>IFERROR(VLOOKUP(E129,'Customer '!$A$4:$D$23,3,FALSE),"")</f>
        <v>NON RH</v>
      </c>
      <c r="B129" s="2" t="s">
        <v>268</v>
      </c>
      <c r="C129" s="2" t="s">
        <v>340</v>
      </c>
      <c r="E129" s="2" t="s">
        <v>98</v>
      </c>
      <c r="F129" s="2" t="str">
        <f>IFERROR(VLOOKUP(E129,'Customer '!$A$4:$D$28,2,FALSE),"")</f>
        <v xml:space="preserve">FLEETWOOD </v>
      </c>
      <c r="G129" s="2" t="s">
        <v>410</v>
      </c>
      <c r="H12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-WALDORF ASTORIA DEER VALLEY</v>
      </c>
      <c r="I129" s="2">
        <f ca="1">IF(OR($H129="",$B129=""),0,--(COUNTIFS($H$3:$H129,$H129,$B$3:$B129,$B129)=1))</f>
        <v>0</v>
      </c>
      <c r="J129" s="2" t="s">
        <v>316</v>
      </c>
      <c r="K129" s="2" t="s">
        <v>273</v>
      </c>
      <c r="L129" s="2" t="s">
        <v>285</v>
      </c>
      <c r="M129" s="278">
        <v>46144</v>
      </c>
      <c r="N129" s="278"/>
      <c r="O129" s="279"/>
      <c r="P129" s="2" t="s">
        <v>51</v>
      </c>
      <c r="R129" s="2">
        <v>0</v>
      </c>
      <c r="S129" s="2">
        <v>0</v>
      </c>
      <c r="V129" s="276">
        <v>13</v>
      </c>
      <c r="X129" s="280">
        <v>5665882.9800000004</v>
      </c>
      <c r="Y129" s="280">
        <v>1133176.5960000001</v>
      </c>
      <c r="Z129" s="2" t="s">
        <v>341</v>
      </c>
      <c r="AA129" s="2" t="str">
        <f t="shared" si="19"/>
        <v>2027</v>
      </c>
      <c r="AB129" s="278"/>
      <c r="AC129" s="278"/>
      <c r="AE129" s="278"/>
      <c r="AF129" s="2" t="str">
        <f>IF(AD129="","",IF(ISNUMBER(AD129),IF(AND(AD129&gt;='2026 Calendar'!$C$4,AD129&lt;='2026 Calendar'!$E$107),LOOKUP(AD129,'2026 Calendar'!$C$4:$C$107,'2026 Calendar'!$A$4:$A$107),YEAR(AD129-WEEKDAY(AD129,2)+4)&amp;"/W"&amp;TEXT(WEEKNUM(AD129,21),"00")),IF(IFERROR(ISNUMBER(SEARCH("/W",AD129)),FALSE),IF(IFERROR(ISNUMBER(SEARCH("-",AD129)),FALSE),LEFT(AD129,SEARCH("-",AD129)-1),AD129),AD129)))</f>
        <v/>
      </c>
      <c r="AG129" s="2" t="str">
        <f>IF(AE129="","",IF(ISNUMBER(AE129),IF(AND(AE129&gt;='2026 Calendar'!$C$4,AE129&lt;='2026 Calendar'!$E$107),LOOKUP(AE129,'2026 Calendar'!$C$4:$C$107,'2026 Calendar'!$A$4:$A$107),YEAR(AE129-WEEKDAY(AE129,2)+4)&amp;"/W"&amp;TEXT(WEEKNUM(AE129,21),"00")),IF(IFERROR(ISNUMBER(SEARCH("/W",AE129)),FALSE),IF(IFERROR(ISNUMBER(SEARCH("-",AE129)),FALSE),MID(AE129,SEARCH("-",AE129)+1,100),AE129),AE129)))</f>
        <v/>
      </c>
      <c r="AI129" s="278"/>
      <c r="AJ129" s="278"/>
      <c r="AL129" s="278"/>
      <c r="AM129" s="278"/>
      <c r="AO129" s="278"/>
      <c r="AP129" s="278"/>
      <c r="AR129" s="278"/>
      <c r="AS129" s="278"/>
      <c r="AU129" s="278"/>
      <c r="AV129" s="278"/>
      <c r="AX129" s="278"/>
      <c r="AY129" s="278"/>
      <c r="BA129" s="278"/>
      <c r="BB129" s="278"/>
      <c r="BC129" s="2" t="str">
        <f t="shared" si="24"/>
        <v>Active</v>
      </c>
      <c r="BE129" s="119" t="str">
        <f t="shared" si="25"/>
        <v>NPI: All development items approved/closed</v>
      </c>
    </row>
    <row r="130" spans="1:58" x14ac:dyDescent="0.35">
      <c r="A130" s="2" t="str">
        <f>IFERROR(VLOOKUP(E130,'Customer '!$A$4:$D$23,3,FALSE),"")</f>
        <v>NON RH</v>
      </c>
      <c r="B130" s="2" t="s">
        <v>268</v>
      </c>
      <c r="C130" s="2" t="s">
        <v>340</v>
      </c>
      <c r="D130" s="2" t="s">
        <v>394</v>
      </c>
      <c r="E130" s="2" t="s">
        <v>98</v>
      </c>
      <c r="F130" s="2" t="str">
        <f>IFERROR(VLOOKUP(E130,'Customer '!$A$4:$D$28,2,FALSE),"")</f>
        <v xml:space="preserve">FLEETWOOD </v>
      </c>
      <c r="G130" s="2" t="s">
        <v>411</v>
      </c>
      <c r="H13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-PEBBLE BEACH CASA PALMERO</v>
      </c>
      <c r="I130" s="2">
        <f ca="1">IF(OR($H130="",$B130=""),0,--(COUNTIFS($H$3:$H130,$H130,$B$3:$B130,$B130)=1))</f>
        <v>1</v>
      </c>
      <c r="J130" s="2" t="s">
        <v>272</v>
      </c>
      <c r="K130" s="2" t="s">
        <v>273</v>
      </c>
      <c r="L130" s="2" t="s">
        <v>310</v>
      </c>
      <c r="M130" s="278">
        <v>46144</v>
      </c>
      <c r="N130" s="278">
        <v>46155</v>
      </c>
      <c r="O130" s="279">
        <v>46178</v>
      </c>
      <c r="P130" s="2" t="s">
        <v>51</v>
      </c>
      <c r="Q130" s="2" t="s">
        <v>152</v>
      </c>
      <c r="R130" s="2">
        <v>0</v>
      </c>
      <c r="S130" s="2">
        <v>0</v>
      </c>
      <c r="T130" s="2">
        <v>25</v>
      </c>
      <c r="V130" s="276">
        <v>2</v>
      </c>
      <c r="W130" s="276">
        <v>25</v>
      </c>
      <c r="X130" s="280">
        <v>13541.25</v>
      </c>
      <c r="Y130" s="280">
        <v>13541.25</v>
      </c>
      <c r="Z130" s="2" t="s">
        <v>303</v>
      </c>
      <c r="AA130" s="2" t="str">
        <f t="shared" si="19"/>
        <v>2026</v>
      </c>
      <c r="AB130" s="278">
        <v>46270</v>
      </c>
      <c r="AC130" s="278">
        <v>46270</v>
      </c>
      <c r="AD130" s="277">
        <v>46304</v>
      </c>
      <c r="AE130" s="277">
        <v>46304</v>
      </c>
      <c r="AF130" s="2" t="str">
        <f>IF(AD130="","",IF(ISNUMBER(AD130),IF(AND(AD130&gt;='2026 Calendar'!$C$4,AD130&lt;='2026 Calendar'!$E$107),LOOKUP(AD130,'2026 Calendar'!$C$4:$C$107,'2026 Calendar'!$A$4:$A$107),YEAR(AD130-WEEKDAY(AD130,2)+4)&amp;"/W"&amp;TEXT(WEEKNUM(AD130,21),"00")),IF(IFERROR(ISNUMBER(SEARCH("/W",AD130)),FALSE),IF(IFERROR(ISNUMBER(SEARCH("-",AD130)),FALSE),LEFT(AD130,SEARCH("-",AD130)-1),AD130),AD130)))</f>
        <v>2026/W41</v>
      </c>
      <c r="AG130" s="2" t="str">
        <f>IF(AE130="","",IF(ISNUMBER(AE130),IF(AND(AE130&gt;='2026 Calendar'!$C$4,AE130&lt;='2026 Calendar'!$E$107),LOOKUP(AE130,'2026 Calendar'!$C$4:$C$107,'2026 Calendar'!$A$4:$A$107),YEAR(AE130-WEEKDAY(AE130,2)+4)&amp;"/W"&amp;TEXT(WEEKNUM(AE130,21),"00")),IF(IFERROR(ISNUMBER(SEARCH("/W",AE130)),FALSE),IF(IFERROR(ISNUMBER(SEARCH("-",AE130)),FALSE),MID(AE130,SEARCH("-",AE130)+1,100),AE130),AE130)))</f>
        <v>2026/W41</v>
      </c>
      <c r="AH130" s="2" t="s">
        <v>56</v>
      </c>
      <c r="AI130" s="278"/>
      <c r="AJ130" s="278">
        <v>46200</v>
      </c>
      <c r="AK130" s="2" t="s">
        <v>56</v>
      </c>
      <c r="AL130" s="278"/>
      <c r="AM130" s="278">
        <v>46213</v>
      </c>
      <c r="AN130" s="2" t="s">
        <v>73</v>
      </c>
      <c r="AO130" s="278"/>
      <c r="AP130" s="278"/>
      <c r="AQ130" s="2" t="s">
        <v>56</v>
      </c>
      <c r="AR130" s="278"/>
      <c r="AS130" s="278">
        <v>46213</v>
      </c>
      <c r="AT130" s="2" t="s">
        <v>56</v>
      </c>
      <c r="AU130" s="278"/>
      <c r="AV130" s="278">
        <v>46227</v>
      </c>
      <c r="AW130" s="2" t="s">
        <v>73</v>
      </c>
      <c r="AX130" s="278"/>
      <c r="AY130" s="278"/>
      <c r="AZ130" s="2" t="s">
        <v>73</v>
      </c>
      <c r="BA130" s="278"/>
      <c r="BB130" s="278"/>
      <c r="BC130" s="2" t="str">
        <f t="shared" si="24"/>
        <v>Complete</v>
      </c>
      <c r="BE130" s="119" t="str">
        <f t="shared" si="25"/>
        <v>READY</v>
      </c>
      <c r="BF130" s="2" t="s">
        <v>1569</v>
      </c>
    </row>
    <row r="131" spans="1:58" x14ac:dyDescent="0.35">
      <c r="A131" s="2" t="str">
        <f>IFERROR(VLOOKUP(E131,'Customer '!$A$4:$D$23,3,FALSE),"")</f>
        <v>RH</v>
      </c>
      <c r="B131" s="2" t="s">
        <v>323</v>
      </c>
      <c r="C131" s="2" t="s">
        <v>329</v>
      </c>
      <c r="D131" s="2" t="s">
        <v>412</v>
      </c>
      <c r="E131" s="2" t="s">
        <v>61</v>
      </c>
      <c r="F131" s="2" t="str">
        <f>IFERROR(VLOOKUP(E131,'Customer '!$A$4:$D$28,2,FALSE),"")</f>
        <v>RH</v>
      </c>
      <c r="G131" s="2" t="s">
        <v>413</v>
      </c>
      <c r="H13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2026-RH-SUNRIVER RESORT </v>
      </c>
      <c r="I131" s="2">
        <f ca="1">IF(OR($H131="",$B131=""),0,--(COUNTIFS($H$3:$H131,$H131,$B$3:$B131,$B131)=1))</f>
        <v>1</v>
      </c>
      <c r="J131" s="2" t="s">
        <v>272</v>
      </c>
      <c r="K131" s="2" t="s">
        <v>273</v>
      </c>
      <c r="L131" s="2" t="s">
        <v>274</v>
      </c>
      <c r="M131" s="278">
        <v>46144</v>
      </c>
      <c r="N131" s="278">
        <v>46154</v>
      </c>
      <c r="O131" s="279"/>
      <c r="P131" s="2" t="s">
        <v>51</v>
      </c>
      <c r="Q131" s="2" t="s">
        <v>51</v>
      </c>
      <c r="V131" s="276">
        <v>1</v>
      </c>
      <c r="X131" s="280">
        <v>1017.32</v>
      </c>
      <c r="Y131" s="280">
        <v>1017.32</v>
      </c>
      <c r="Z131" s="2" t="s">
        <v>280</v>
      </c>
      <c r="AA131" s="2" t="str">
        <f t="shared" si="19"/>
        <v>2026</v>
      </c>
      <c r="AB131" s="278">
        <v>46195</v>
      </c>
      <c r="AC131" s="278">
        <v>46199</v>
      </c>
      <c r="AD131" s="277">
        <v>46202</v>
      </c>
      <c r="AE131" s="278">
        <v>46202</v>
      </c>
      <c r="AF131" s="2" t="str">
        <f>IF(AD131="","",IF(ISNUMBER(AD131),IF(AND(AD131&gt;='2026 Calendar'!$C$4,AD131&lt;='2026 Calendar'!$E$107),LOOKUP(AD131,'2026 Calendar'!$C$4:$C$107,'2026 Calendar'!$A$4:$A$107),YEAR(AD131-WEEKDAY(AD131,2)+4)&amp;"/W"&amp;TEXT(WEEKNUM(AD131,21),"00")),IF(IFERROR(ISNUMBER(SEARCH("/W",AD131)),FALSE),IF(IFERROR(ISNUMBER(SEARCH("-",AD131)),FALSE),LEFT(AD131,SEARCH("-",AD131)-1),AD131),AD131)))</f>
        <v>2026/W27</v>
      </c>
      <c r="AG131" s="2" t="str">
        <f>IF(AE131="","",IF(ISNUMBER(AE131),IF(AND(AE131&gt;='2026 Calendar'!$C$4,AE131&lt;='2026 Calendar'!$E$107),LOOKUP(AE131,'2026 Calendar'!$C$4:$C$107,'2026 Calendar'!$A$4:$A$107),YEAR(AE131-WEEKDAY(AE131,2)+4)&amp;"/W"&amp;TEXT(WEEKNUM(AE131,21),"00")),IF(IFERROR(ISNUMBER(SEARCH("/W",AE131)),FALSE),IF(IFERROR(ISNUMBER(SEARCH("-",AE131)),FALSE),MID(AE131,SEARCH("-",AE131)+1,100),AE131),AE131)))</f>
        <v>2026/W27</v>
      </c>
      <c r="AH131" s="2" t="s">
        <v>56</v>
      </c>
      <c r="AI131" s="278"/>
      <c r="AJ131" s="278">
        <v>46158</v>
      </c>
      <c r="AK131" s="2" t="s">
        <v>56</v>
      </c>
      <c r="AL131" s="278"/>
      <c r="AM131" s="278">
        <v>46158</v>
      </c>
      <c r="AN131" s="2" t="s">
        <v>73</v>
      </c>
      <c r="AQ131" s="2" t="s">
        <v>56</v>
      </c>
      <c r="AR131" s="278"/>
      <c r="AS131" s="278">
        <v>46158</v>
      </c>
      <c r="AT131" s="2" t="s">
        <v>73</v>
      </c>
      <c r="AW131" s="2" t="s">
        <v>73</v>
      </c>
      <c r="AZ131" s="2" t="s">
        <v>73</v>
      </c>
      <c r="BC131" s="2" t="str">
        <f t="shared" si="24"/>
        <v>Complete</v>
      </c>
      <c r="BD131" s="2" t="s">
        <v>279</v>
      </c>
      <c r="BE131" s="119" t="str">
        <f t="shared" si="25"/>
        <v>READY</v>
      </c>
    </row>
    <row r="132" spans="1:58" ht="29" x14ac:dyDescent="0.35">
      <c r="A132" s="2" t="str">
        <f>IFERROR(VLOOKUP(E132,'Customer '!$A$4:$D$23,3,FALSE),"")</f>
        <v>RH</v>
      </c>
      <c r="B132" s="2" t="s">
        <v>268</v>
      </c>
      <c r="C132" s="2" t="s">
        <v>414</v>
      </c>
      <c r="D132" s="2" t="s">
        <v>412</v>
      </c>
      <c r="E132" s="2" t="s">
        <v>61</v>
      </c>
      <c r="F132" s="2" t="str">
        <f>IFERROR(VLOOKUP(E132,'Customer '!$A$4:$D$28,2,FALSE),"")</f>
        <v>RH</v>
      </c>
      <c r="G132" s="2" t="s">
        <v>413</v>
      </c>
      <c r="H13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2026-RH-SUNRIVER RESORT </v>
      </c>
      <c r="I132" s="2">
        <f ca="1">IF(OR($H132="",$B132=""),0,--(COUNTIFS($H$3:$H132,$H132,$B$3:$B132,$B132)=1))</f>
        <v>1</v>
      </c>
      <c r="J132" s="2" t="s">
        <v>309</v>
      </c>
      <c r="K132" s="2" t="s">
        <v>273</v>
      </c>
      <c r="L132" s="2" t="s">
        <v>372</v>
      </c>
      <c r="M132" s="278">
        <v>46283</v>
      </c>
      <c r="N132" s="278">
        <v>46297</v>
      </c>
      <c r="O132" s="279"/>
      <c r="P132" s="2" t="s">
        <v>51</v>
      </c>
      <c r="Q132" s="2" t="s">
        <v>51</v>
      </c>
      <c r="R132" s="2">
        <v>7</v>
      </c>
      <c r="S132" s="2">
        <v>19</v>
      </c>
      <c r="T132" s="2">
        <v>8</v>
      </c>
      <c r="V132" s="276">
        <v>8</v>
      </c>
      <c r="W132" s="276">
        <v>47</v>
      </c>
      <c r="X132" s="280">
        <v>36622.71</v>
      </c>
      <c r="Y132" s="280">
        <v>36622.71</v>
      </c>
      <c r="Z132" s="2" t="s">
        <v>345</v>
      </c>
      <c r="AA132" s="2" t="str">
        <f t="shared" si="19"/>
        <v>2027</v>
      </c>
      <c r="AB132" s="278">
        <v>46087</v>
      </c>
      <c r="AC132" s="278">
        <v>46087</v>
      </c>
      <c r="AD132" s="277">
        <v>46472</v>
      </c>
      <c r="AE132" s="277">
        <v>46479</v>
      </c>
      <c r="AF132" s="2" t="str">
        <f>IF(AD132="","",IF(ISNUMBER(AD132),IF(AND(AD132&gt;='2026 Calendar'!$C$4,AD132&lt;='2026 Calendar'!$E$107),LOOKUP(AD132,'2026 Calendar'!$C$4:$C$107,'2026 Calendar'!$A$4:$A$107),YEAR(AD132-WEEKDAY(AD132,2)+4)&amp;"/W"&amp;TEXT(WEEKNUM(AD132,21),"00")),IF(IFERROR(ISNUMBER(SEARCH("/W",AD132)),FALSE),IF(IFERROR(ISNUMBER(SEARCH("-",AD132)),FALSE),LEFT(AD132,SEARCH("-",AD132)-1),AD132),AD132)))</f>
        <v>2027/W13</v>
      </c>
      <c r="AG132" s="2" t="str">
        <f>IF(AE132="","",IF(ISNUMBER(AE132),IF(AND(AE132&gt;='2026 Calendar'!$C$4,AE132&lt;='2026 Calendar'!$E$107),LOOKUP(AE132,'2026 Calendar'!$C$4:$C$107,'2026 Calendar'!$A$4:$A$107),YEAR(AE132-WEEKDAY(AE132,2)+4)&amp;"/W"&amp;TEXT(WEEKNUM(AE132,21),"00")),IF(IFERROR(ISNUMBER(SEARCH("/W",AE132)),FALSE),IF(IFERROR(ISNUMBER(SEARCH("-",AE132)),FALSE),MID(AE132,SEARCH("-",AE132)+1,100),AE132),AE132)))</f>
        <v>2027/W14</v>
      </c>
      <c r="AH132" s="2" t="s">
        <v>304</v>
      </c>
      <c r="AI132" s="278">
        <v>46325</v>
      </c>
      <c r="AJ132" s="278" t="s">
        <v>1559</v>
      </c>
      <c r="AK132" s="2" t="s">
        <v>304</v>
      </c>
      <c r="AL132" s="278">
        <v>46325</v>
      </c>
      <c r="AM132" s="278" t="s">
        <v>1561</v>
      </c>
      <c r="AN132" s="2" t="s">
        <v>304</v>
      </c>
      <c r="AO132" s="278">
        <v>46325</v>
      </c>
      <c r="AP132" s="278"/>
      <c r="AQ132" s="2" t="s">
        <v>304</v>
      </c>
      <c r="AR132" s="278">
        <v>46325</v>
      </c>
      <c r="AS132" s="278"/>
      <c r="AT132" s="2" t="s">
        <v>73</v>
      </c>
      <c r="AU132" s="278"/>
      <c r="AV132" s="278"/>
      <c r="AW132" s="2" t="s">
        <v>73</v>
      </c>
      <c r="AX132" s="278"/>
      <c r="AY132" s="278"/>
      <c r="AZ132" s="2" t="s">
        <v>73</v>
      </c>
      <c r="BA132" s="278"/>
      <c r="BB132" s="278"/>
      <c r="BC132" s="2" t="str">
        <f t="shared" si="24"/>
        <v>Active</v>
      </c>
      <c r="BD132" s="2" t="s">
        <v>279</v>
      </c>
      <c r="BE132" s="119" t="str">
        <f t="shared" si="25"/>
        <v>NPI: In progress: Drawing, Veneer/Wood, Marble, Metal; need approval by 30-Oct-26 for SW14</v>
      </c>
    </row>
    <row r="133" spans="1:58" x14ac:dyDescent="0.35">
      <c r="A133" s="2" t="str">
        <f>IFERROR(VLOOKUP(E133,'Customer '!$A$4:$D$23,3,FALSE),"")</f>
        <v>NON RH</v>
      </c>
      <c r="B133" s="2" t="s">
        <v>268</v>
      </c>
      <c r="C133" s="2" t="s">
        <v>298</v>
      </c>
      <c r="E133" s="2" t="s">
        <v>366</v>
      </c>
      <c r="F133" s="2" t="str">
        <f>IFERROR(VLOOKUP(E133,'Customer '!$A$4:$D$28,2,FALSE),"")</f>
        <v>BROOKFIELD</v>
      </c>
      <c r="G133" s="2" t="s">
        <v>402</v>
      </c>
      <c r="H13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2026-BROOKFIELD-RITZ CARLTON PHILADELPHIA</v>
      </c>
      <c r="I133" s="2">
        <f ca="1">IF(OR($H133="",$B133=""),0,--(COUNTIFS($H$3:$H133,$H133,$B$3:$B133,$B133)=1))</f>
        <v>1</v>
      </c>
      <c r="J133" s="2" t="s">
        <v>135</v>
      </c>
      <c r="K133" s="2" t="s">
        <v>273</v>
      </c>
      <c r="L133" s="2" t="s">
        <v>285</v>
      </c>
      <c r="M133" s="278"/>
      <c r="N133" s="278"/>
      <c r="O133" s="279"/>
      <c r="P133" s="2" t="s">
        <v>51</v>
      </c>
      <c r="Q133" s="2" t="s">
        <v>403</v>
      </c>
      <c r="R133" s="2">
        <v>0</v>
      </c>
      <c r="S133" s="2">
        <v>0</v>
      </c>
      <c r="V133" s="276">
        <v>11</v>
      </c>
      <c r="X133" s="280">
        <v>1985002.77</v>
      </c>
      <c r="Y133" s="280">
        <v>400000</v>
      </c>
      <c r="Z133" s="2" t="s">
        <v>315</v>
      </c>
      <c r="AA133" s="2" t="str">
        <f t="shared" si="19"/>
        <v>2027</v>
      </c>
      <c r="AB133" s="278"/>
      <c r="AC133" s="278"/>
      <c r="AD133" s="277" t="s">
        <v>149</v>
      </c>
      <c r="AE133" s="278" t="s">
        <v>149</v>
      </c>
      <c r="AF133" s="2" t="str">
        <f>IF(AD133="","",IF(ISNUMBER(AD133),IF(AND(AD133&gt;='2026 Calendar'!$C$4,AD133&lt;='2026 Calendar'!$E$107),LOOKUP(AD133,'2026 Calendar'!$C$4:$C$107,'2026 Calendar'!$A$4:$A$107),YEAR(AD133-WEEKDAY(AD133,2)+4)&amp;"/W"&amp;TEXT(WEEKNUM(AD133,21),"00")),IF(IFERROR(ISNUMBER(SEARCH("/W",AD133)),FALSE),IF(IFERROR(ISNUMBER(SEARCH("-",AD133)),FALSE),LEFT(AD133,SEARCH("-",AD133)-1),AD133),AD133)))</f>
        <v>TBC</v>
      </c>
      <c r="AG133" s="2" t="str">
        <f>IF(AE133="","",IF(ISNUMBER(AE133),IF(AND(AE133&gt;='2026 Calendar'!$C$4,AE133&lt;='2026 Calendar'!$E$107),LOOKUP(AE133,'2026 Calendar'!$C$4:$C$107,'2026 Calendar'!$A$4:$A$107),YEAR(AE133-WEEKDAY(AE133,2)+4)&amp;"/W"&amp;TEXT(WEEKNUM(AE133,21),"00")),IF(IFERROR(ISNUMBER(SEARCH("/W",AE133)),FALSE),IF(IFERROR(ISNUMBER(SEARCH("-",AE133)),FALSE),MID(AE133,SEARCH("-",AE133)+1,100),AE133),AE133)))</f>
        <v>TBC</v>
      </c>
      <c r="AH133" s="2" t="s">
        <v>342</v>
      </c>
      <c r="AI133" s="278"/>
      <c r="AJ133" s="278"/>
      <c r="AK133" s="2" t="s">
        <v>342</v>
      </c>
      <c r="AL133" s="278"/>
      <c r="AM133" s="278"/>
      <c r="AN133" s="2" t="s">
        <v>342</v>
      </c>
      <c r="AO133" s="278"/>
      <c r="AP133" s="278"/>
      <c r="AQ133" s="2" t="s">
        <v>342</v>
      </c>
      <c r="AR133" s="278"/>
      <c r="AS133" s="278"/>
      <c r="AT133" s="2" t="s">
        <v>73</v>
      </c>
      <c r="AU133" s="278"/>
      <c r="AV133" s="278"/>
      <c r="AW133" s="2" t="s">
        <v>342</v>
      </c>
      <c r="AX133" s="278"/>
      <c r="AY133" s="278"/>
      <c r="AZ133" s="2" t="s">
        <v>342</v>
      </c>
      <c r="BA133" s="278"/>
      <c r="BB133" s="278"/>
      <c r="BC133" s="2" t="str">
        <f t="shared" si="24"/>
        <v>Complete</v>
      </c>
      <c r="BE133" s="119" t="str">
        <f t="shared" si="25"/>
        <v>NPI: All development items approved/closed for SW TBC</v>
      </c>
    </row>
    <row r="134" spans="1:58" x14ac:dyDescent="0.35">
      <c r="A134" s="2" t="str">
        <f>IFERROR(VLOOKUP(E134,'Customer '!$A$4:$D$23,3,FALSE),"")</f>
        <v>NON RH</v>
      </c>
      <c r="B134" s="2" t="s">
        <v>268</v>
      </c>
      <c r="C134" s="2" t="s">
        <v>298</v>
      </c>
      <c r="E134" s="2" t="s">
        <v>366</v>
      </c>
      <c r="F134" s="2" t="str">
        <f>IFERROR(VLOOKUP(E134,'Customer '!$A$4:$D$28,2,FALSE),"")</f>
        <v>BROOKFIELD</v>
      </c>
      <c r="G134" s="2" t="s">
        <v>402</v>
      </c>
      <c r="H13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2026-BROOKFIELD-RITZ CARLTON PHILADELPHIA</v>
      </c>
      <c r="I134" s="2">
        <f ca="1">IF(OR($H134="",$B134=""),0,--(COUNTIFS($H$3:$H134,$H134,$B$3:$B134,$B134)=1))</f>
        <v>0</v>
      </c>
      <c r="J134" s="2" t="s">
        <v>135</v>
      </c>
      <c r="K134" s="2" t="s">
        <v>273</v>
      </c>
      <c r="L134" s="2" t="s">
        <v>285</v>
      </c>
      <c r="M134" s="278"/>
      <c r="N134" s="278"/>
      <c r="O134" s="279"/>
      <c r="P134" s="2" t="s">
        <v>51</v>
      </c>
      <c r="Q134" s="2" t="s">
        <v>403</v>
      </c>
      <c r="R134" s="2">
        <v>0</v>
      </c>
      <c r="S134" s="2">
        <v>0</v>
      </c>
      <c r="V134" s="276">
        <v>11</v>
      </c>
      <c r="X134" s="280">
        <v>1985002.77</v>
      </c>
      <c r="Y134" s="280">
        <v>792500</v>
      </c>
      <c r="Z134" s="2" t="s">
        <v>345</v>
      </c>
      <c r="AA134" s="2" t="str">
        <f t="shared" ref="AA134" si="27">IF(Z134="","",IF(OR(Z134="TBC",Z134="Removed"),Z134,LEFT(Z134,4)))</f>
        <v>2027</v>
      </c>
      <c r="AB134" s="278"/>
      <c r="AC134" s="278"/>
      <c r="AD134" s="277" t="s">
        <v>149</v>
      </c>
      <c r="AE134" s="278" t="s">
        <v>149</v>
      </c>
      <c r="AF134" s="2" t="str">
        <f>IF(AD134="","",IF(ISNUMBER(AD134),IF(AND(AD134&gt;='2026 Calendar'!$C$4,AD134&lt;='2026 Calendar'!$E$107),LOOKUP(AD134,'2026 Calendar'!$C$4:$C$107,'2026 Calendar'!$A$4:$A$107),YEAR(AD134-WEEKDAY(AD134,2)+4)&amp;"/W"&amp;TEXT(WEEKNUM(AD134,21),"00")),IF(IFERROR(ISNUMBER(SEARCH("/W",AD134)),FALSE),IF(IFERROR(ISNUMBER(SEARCH("-",AD134)),FALSE),LEFT(AD134,SEARCH("-",AD134)-1),AD134),AD134)))</f>
        <v>TBC</v>
      </c>
      <c r="AG134" s="2" t="str">
        <f>IF(AE134="","",IF(ISNUMBER(AE134),IF(AND(AE134&gt;='2026 Calendar'!$C$4,AE134&lt;='2026 Calendar'!$E$107),LOOKUP(AE134,'2026 Calendar'!$C$4:$C$107,'2026 Calendar'!$A$4:$A$107),YEAR(AE134-WEEKDAY(AE134,2)+4)&amp;"/W"&amp;TEXT(WEEKNUM(AE134,21),"00")),IF(IFERROR(ISNUMBER(SEARCH("/W",AE134)),FALSE),IF(IFERROR(ISNUMBER(SEARCH("-",AE134)),FALSE),MID(AE134,SEARCH("-",AE134)+1,100),AE134),AE134)))</f>
        <v>TBC</v>
      </c>
      <c r="AH134" s="2" t="s">
        <v>342</v>
      </c>
      <c r="AI134" s="278"/>
      <c r="AJ134" s="278"/>
      <c r="AK134" s="2" t="s">
        <v>342</v>
      </c>
      <c r="AL134" s="278"/>
      <c r="AM134" s="278"/>
      <c r="AN134" s="2" t="s">
        <v>342</v>
      </c>
      <c r="AO134" s="278"/>
      <c r="AP134" s="278"/>
      <c r="AQ134" s="2" t="s">
        <v>342</v>
      </c>
      <c r="AR134" s="278"/>
      <c r="AS134" s="278"/>
      <c r="AT134" s="2" t="s">
        <v>73</v>
      </c>
      <c r="AU134" s="278"/>
      <c r="AV134" s="278"/>
      <c r="AW134" s="2" t="s">
        <v>342</v>
      </c>
      <c r="AX134" s="278"/>
      <c r="AY134" s="278"/>
      <c r="AZ134" s="2" t="s">
        <v>342</v>
      </c>
      <c r="BA134" s="278"/>
      <c r="BB134" s="278"/>
      <c r="BC134" s="2" t="str">
        <f t="shared" si="24"/>
        <v>Complete</v>
      </c>
      <c r="BE134" s="119" t="str">
        <f t="shared" si="25"/>
        <v>NPI: All development items approved/closed for SW TBC</v>
      </c>
    </row>
    <row r="135" spans="1:58" x14ac:dyDescent="0.35">
      <c r="A135" s="2" t="str">
        <f>IFERROR(VLOOKUP(E135,'Customer '!$A$4:$D$23,3,FALSE),"")</f>
        <v>NON RH</v>
      </c>
      <c r="B135" s="2" t="s">
        <v>268</v>
      </c>
      <c r="C135" s="2" t="s">
        <v>298</v>
      </c>
      <c r="E135" s="2" t="s">
        <v>366</v>
      </c>
      <c r="F135" s="2" t="str">
        <f>IFERROR(VLOOKUP(E135,'Customer '!$A$4:$D$28,2,FALSE),"")</f>
        <v>BROOKFIELD</v>
      </c>
      <c r="G135" s="2" t="s">
        <v>402</v>
      </c>
      <c r="H13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2026-BROOKFIELD-RITZ CARLTON PHILADELPHIA</v>
      </c>
      <c r="I135" s="2">
        <f ca="1">IF(OR($H135="",$B135=""),0,--(COUNTIFS($H$3:$H135,$H135,$B$3:$B135,$B135)=1))</f>
        <v>0</v>
      </c>
      <c r="J135" s="2" t="s">
        <v>135</v>
      </c>
      <c r="K135" s="2" t="s">
        <v>273</v>
      </c>
      <c r="L135" s="2" t="s">
        <v>285</v>
      </c>
      <c r="M135" s="278"/>
      <c r="N135" s="278"/>
      <c r="O135" s="279"/>
      <c r="P135" s="2" t="s">
        <v>51</v>
      </c>
      <c r="Q135" s="2" t="s">
        <v>403</v>
      </c>
      <c r="R135" s="2">
        <v>0</v>
      </c>
      <c r="S135" s="2">
        <v>0</v>
      </c>
      <c r="V135" s="276">
        <v>11</v>
      </c>
      <c r="X135" s="280">
        <v>1985002.77</v>
      </c>
      <c r="Y135" s="280">
        <v>792500</v>
      </c>
      <c r="Z135" s="2" t="s">
        <v>336</v>
      </c>
      <c r="AA135" s="2" t="str">
        <f t="shared" si="19"/>
        <v>2027</v>
      </c>
      <c r="AB135" s="278"/>
      <c r="AC135" s="278"/>
      <c r="AD135" s="277" t="s">
        <v>149</v>
      </c>
      <c r="AE135" s="278" t="s">
        <v>149</v>
      </c>
      <c r="AF135" s="2" t="str">
        <f>IF(AD135="","",IF(ISNUMBER(AD135),IF(AND(AD135&gt;='2026 Calendar'!$C$4,AD135&lt;='2026 Calendar'!$E$107),LOOKUP(AD135,'2026 Calendar'!$C$4:$C$107,'2026 Calendar'!$A$4:$A$107),YEAR(AD135-WEEKDAY(AD135,2)+4)&amp;"/W"&amp;TEXT(WEEKNUM(AD135,21),"00")),IF(IFERROR(ISNUMBER(SEARCH("/W",AD135)),FALSE),IF(IFERROR(ISNUMBER(SEARCH("-",AD135)),FALSE),LEFT(AD135,SEARCH("-",AD135)-1),AD135),AD135)))</f>
        <v>TBC</v>
      </c>
      <c r="AG135" s="2" t="str">
        <f>IF(AE135="","",IF(ISNUMBER(AE135),IF(AND(AE135&gt;='2026 Calendar'!$C$4,AE135&lt;='2026 Calendar'!$E$107),LOOKUP(AE135,'2026 Calendar'!$C$4:$C$107,'2026 Calendar'!$A$4:$A$107),YEAR(AE135-WEEKDAY(AE135,2)+4)&amp;"/W"&amp;TEXT(WEEKNUM(AE135,21),"00")),IF(IFERROR(ISNUMBER(SEARCH("/W",AE135)),FALSE),IF(IFERROR(ISNUMBER(SEARCH("-",AE135)),FALSE),MID(AE135,SEARCH("-",AE135)+1,100),AE135),AE135)))</f>
        <v>TBC</v>
      </c>
      <c r="AH135" s="2" t="s">
        <v>342</v>
      </c>
      <c r="AI135" s="278"/>
      <c r="AJ135" s="278"/>
      <c r="AK135" s="2" t="s">
        <v>342</v>
      </c>
      <c r="AL135" s="278"/>
      <c r="AM135" s="278"/>
      <c r="AN135" s="2" t="s">
        <v>342</v>
      </c>
      <c r="AO135" s="278"/>
      <c r="AP135" s="278"/>
      <c r="AQ135" s="2" t="s">
        <v>342</v>
      </c>
      <c r="AR135" s="278"/>
      <c r="AS135" s="278"/>
      <c r="AT135" s="2" t="s">
        <v>73</v>
      </c>
      <c r="AU135" s="278"/>
      <c r="AV135" s="278"/>
      <c r="AW135" s="2" t="s">
        <v>342</v>
      </c>
      <c r="AX135" s="278"/>
      <c r="AY135" s="278"/>
      <c r="AZ135" s="2" t="s">
        <v>342</v>
      </c>
      <c r="BA135" s="278"/>
      <c r="BB135" s="278"/>
      <c r="BC135" s="2" t="str">
        <f t="shared" si="24"/>
        <v>Complete</v>
      </c>
      <c r="BE135" s="119" t="str">
        <f t="shared" si="25"/>
        <v>NPI: All development items approved/closed for SW TBC</v>
      </c>
    </row>
    <row r="136" spans="1:58" x14ac:dyDescent="0.35">
      <c r="A136" s="2" t="str">
        <f>IFERROR(VLOOKUP(E136,'Customer '!$A$4:$D$23,3,FALSE),"")</f>
        <v>NON RH</v>
      </c>
      <c r="B136" s="2" t="s">
        <v>268</v>
      </c>
      <c r="C136" s="2" t="s">
        <v>329</v>
      </c>
      <c r="E136" s="2" t="s">
        <v>373</v>
      </c>
      <c r="F136" s="2" t="str">
        <f>IFERROR(VLOOKUP(E136,'Customer '!$A$4:$D$28,2,FALSE),"")</f>
        <v>AYALA</v>
      </c>
      <c r="G136" s="2" t="s">
        <v>374</v>
      </c>
      <c r="H13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2026-AYALA-KHOBAR HILTON CANOPY HOTEL</v>
      </c>
      <c r="I136" s="2">
        <f ca="1">IF(OR($H136="",$B136=""),0,--(COUNTIFS($H$3:$H136,$H136,$B$3:$B136,$B136)=1))</f>
        <v>1</v>
      </c>
      <c r="J136" s="2" t="s">
        <v>284</v>
      </c>
      <c r="K136" s="2" t="s">
        <v>273</v>
      </c>
      <c r="L136" s="2" t="s">
        <v>285</v>
      </c>
      <c r="M136" s="278"/>
      <c r="N136" s="278"/>
      <c r="O136" s="279"/>
      <c r="P136" s="2" t="s">
        <v>132</v>
      </c>
      <c r="Q136" s="2" t="s">
        <v>350</v>
      </c>
      <c r="R136" s="2">
        <v>0</v>
      </c>
      <c r="S136" s="2">
        <v>0</v>
      </c>
      <c r="V136" s="276">
        <v>9</v>
      </c>
      <c r="X136" s="280">
        <v>897832</v>
      </c>
      <c r="Y136" s="280">
        <v>897832</v>
      </c>
      <c r="Z136" s="2" t="s">
        <v>336</v>
      </c>
      <c r="AA136" s="2" t="str">
        <f t="shared" si="19"/>
        <v>2027</v>
      </c>
      <c r="AB136" s="278"/>
      <c r="AC136" s="278"/>
      <c r="AD136" s="277">
        <v>46447</v>
      </c>
      <c r="AE136" s="278">
        <v>46468</v>
      </c>
      <c r="AF136" s="2" t="str">
        <f>IF(AD136="","",IF(ISNUMBER(AD136),IF(AND(AD136&gt;='2026 Calendar'!$C$4,AD136&lt;='2026 Calendar'!$E$107),LOOKUP(AD136,'2026 Calendar'!$C$4:$C$107,'2026 Calendar'!$A$4:$A$107),YEAR(AD136-WEEKDAY(AD136,2)+4)&amp;"/W"&amp;TEXT(WEEKNUM(AD136,21),"00")),IF(IFERROR(ISNUMBER(SEARCH("/W",AD136)),FALSE),IF(IFERROR(ISNUMBER(SEARCH("-",AD136)),FALSE),LEFT(AD136,SEARCH("-",AD136)-1),AD136),AD136)))</f>
        <v>2027/W10</v>
      </c>
      <c r="AG136" s="2" t="str">
        <f>IF(AE136="","",IF(ISNUMBER(AE136),IF(AND(AE136&gt;='2026 Calendar'!$C$4,AE136&lt;='2026 Calendar'!$E$107),LOOKUP(AE136,'2026 Calendar'!$C$4:$C$107,'2026 Calendar'!$A$4:$A$107),YEAR(AE136-WEEKDAY(AE136,2)+4)&amp;"/W"&amp;TEXT(WEEKNUM(AE136,21),"00")),IF(IFERROR(ISNUMBER(SEARCH("/W",AE136)),FALSE),IF(IFERROR(ISNUMBER(SEARCH("-",AE136)),FALSE),MID(AE136,SEARCH("-",AE136)+1,100),AE136),AE136)))</f>
        <v>2027/W13</v>
      </c>
      <c r="AH136" s="2" t="s">
        <v>342</v>
      </c>
      <c r="AI136" s="278"/>
      <c r="AJ136" s="278"/>
      <c r="AK136" s="2" t="s">
        <v>342</v>
      </c>
      <c r="AL136" s="278"/>
      <c r="AM136" s="278"/>
      <c r="AN136" s="2" t="s">
        <v>342</v>
      </c>
      <c r="AO136" s="278"/>
      <c r="AP136" s="278"/>
      <c r="AQ136" s="2" t="s">
        <v>342</v>
      </c>
      <c r="AR136" s="278"/>
      <c r="AS136" s="278"/>
      <c r="AT136" s="2" t="s">
        <v>342</v>
      </c>
      <c r="AU136" s="278"/>
      <c r="AV136" s="278"/>
      <c r="AW136" s="2" t="s">
        <v>342</v>
      </c>
      <c r="AX136" s="278"/>
      <c r="AY136" s="278"/>
      <c r="AZ136" s="2" t="s">
        <v>342</v>
      </c>
      <c r="BA136" s="278"/>
      <c r="BB136" s="278"/>
      <c r="BC136" s="2" t="str">
        <f t="shared" si="24"/>
        <v>Active</v>
      </c>
      <c r="BE136" s="119" t="str">
        <f t="shared" si="25"/>
        <v>NPI: All development items approved/closed for SW13</v>
      </c>
    </row>
    <row r="137" spans="1:58" x14ac:dyDescent="0.35">
      <c r="A137" s="2" t="str">
        <f>IFERROR(VLOOKUP(E137,'Customer '!$A$4:$D$23,3,FALSE),"")</f>
        <v>NON RH</v>
      </c>
      <c r="B137" s="2" t="s">
        <v>268</v>
      </c>
      <c r="C137" s="2" t="s">
        <v>269</v>
      </c>
      <c r="E137" s="2" t="s">
        <v>196</v>
      </c>
      <c r="F137" s="2" t="str">
        <f>IFERROR(VLOOKUP(E137,'Customer '!$A$4:$D$28,2,FALSE),"")</f>
        <v>TRIMA</v>
      </c>
      <c r="G137" s="2" t="s">
        <v>415</v>
      </c>
      <c r="H13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2026-TRIMA-ASIATICO RESTAURANT </v>
      </c>
      <c r="I137" s="2">
        <f ca="1">IF(OR($H137="",$B137=""),0,--(COUNTIFS($H$3:$H137,$H137,$B$3:$B137,$B137)=1))</f>
        <v>1</v>
      </c>
      <c r="J137" s="2" t="s">
        <v>272</v>
      </c>
      <c r="K137" s="2" t="s">
        <v>273</v>
      </c>
      <c r="L137" s="2" t="s">
        <v>274</v>
      </c>
      <c r="M137" s="278">
        <v>46152</v>
      </c>
      <c r="N137" s="278"/>
      <c r="O137" s="279"/>
      <c r="P137" s="2" t="s">
        <v>198</v>
      </c>
      <c r="Q137" s="2" t="s">
        <v>363</v>
      </c>
      <c r="R137" s="2">
        <v>23</v>
      </c>
      <c r="S137" s="2">
        <v>27</v>
      </c>
      <c r="V137" s="276">
        <v>32</v>
      </c>
      <c r="X137" s="280">
        <v>169383.67</v>
      </c>
      <c r="Y137" s="280">
        <v>46234.26</v>
      </c>
      <c r="Z137" s="2" t="s">
        <v>282</v>
      </c>
      <c r="AA137" s="2" t="str">
        <f t="shared" si="19"/>
        <v>2026</v>
      </c>
      <c r="AB137" s="278"/>
      <c r="AC137" s="278"/>
      <c r="AD137" s="277">
        <v>46260</v>
      </c>
      <c r="AE137" s="278">
        <v>46297</v>
      </c>
      <c r="AF137" s="2" t="str">
        <f>IF(AD137="","",IF(ISNUMBER(AD137),IF(AND(AD137&gt;='2026 Calendar'!$C$4,AD137&lt;='2026 Calendar'!$E$107),LOOKUP(AD137,'2026 Calendar'!$C$4:$C$107,'2026 Calendar'!$A$4:$A$107),YEAR(AD137-WEEKDAY(AD137,2)+4)&amp;"/W"&amp;TEXT(WEEKNUM(AD137,21),"00")),IF(IFERROR(ISNUMBER(SEARCH("/W",AD137)),FALSE),IF(IFERROR(ISNUMBER(SEARCH("-",AD137)),FALSE),LEFT(AD137,SEARCH("-",AD137)-1),AD137),AD137)))</f>
        <v>2026/W35</v>
      </c>
      <c r="AG137" s="2" t="str">
        <f>IF(AE137="","",IF(ISNUMBER(AE137),IF(AND(AE137&gt;='2026 Calendar'!$C$4,AE137&lt;='2026 Calendar'!$E$107),LOOKUP(AE137,'2026 Calendar'!$C$4:$C$107,'2026 Calendar'!$A$4:$A$107),YEAR(AE137-WEEKDAY(AE137,2)+4)&amp;"/W"&amp;TEXT(WEEKNUM(AE137,21),"00")),IF(IFERROR(ISNUMBER(SEARCH("/W",AE137)),FALSE),IF(IFERROR(ISNUMBER(SEARCH("-",AE137)),FALSE),MID(AE137,SEARCH("-",AE137)+1,100),AE137),AE137)))</f>
        <v>2026/W40</v>
      </c>
      <c r="AH137" s="2" t="s">
        <v>56</v>
      </c>
      <c r="AI137" s="278"/>
      <c r="AJ137" s="278"/>
      <c r="AK137" s="2" t="s">
        <v>56</v>
      </c>
      <c r="AL137" s="278"/>
      <c r="AM137" s="278"/>
      <c r="AN137" s="2" t="s">
        <v>56</v>
      </c>
      <c r="AO137" s="278"/>
      <c r="AP137" s="278"/>
      <c r="AQ137" s="2" t="s">
        <v>56</v>
      </c>
      <c r="AR137" s="278"/>
      <c r="AS137" s="278"/>
      <c r="AT137" s="2" t="s">
        <v>56</v>
      </c>
      <c r="AU137" s="278"/>
      <c r="AV137" s="278"/>
      <c r="AW137" s="2" t="s">
        <v>56</v>
      </c>
      <c r="AX137" s="278"/>
      <c r="AY137" s="278"/>
      <c r="AZ137" s="2" t="s">
        <v>278</v>
      </c>
      <c r="BA137" s="278"/>
      <c r="BB137" s="278"/>
      <c r="BC137" s="2" t="str">
        <f t="shared" si="24"/>
        <v>Complete</v>
      </c>
      <c r="BE137" s="119" t="str">
        <f t="shared" si="25"/>
        <v>READY</v>
      </c>
    </row>
    <row r="138" spans="1:58" x14ac:dyDescent="0.35">
      <c r="A138" s="2" t="str">
        <f>IFERROR(VLOOKUP(E138,'Customer '!$A$4:$D$23,3,FALSE),"")</f>
        <v>NON RH</v>
      </c>
      <c r="B138" s="2" t="s">
        <v>268</v>
      </c>
      <c r="C138" s="2" t="s">
        <v>269</v>
      </c>
      <c r="E138" s="2" t="s">
        <v>196</v>
      </c>
      <c r="F138" s="2" t="str">
        <f>IFERROR(VLOOKUP(E138,'Customer '!$A$4:$D$28,2,FALSE),"")</f>
        <v>TRIMA</v>
      </c>
      <c r="G138" s="2" t="s">
        <v>415</v>
      </c>
      <c r="H13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2026-TRIMA-ASIATICO RESTAURANT </v>
      </c>
      <c r="I138" s="2">
        <f ca="1">IF(OR($H138="",$B138=""),0,--(COUNTIFS($H$3:$H138,$H138,$B$3:$B138,$B138)=1))</f>
        <v>0</v>
      </c>
      <c r="J138" s="2" t="s">
        <v>272</v>
      </c>
      <c r="K138" s="2" t="s">
        <v>273</v>
      </c>
      <c r="L138" s="2" t="s">
        <v>310</v>
      </c>
      <c r="M138" s="278">
        <v>46152</v>
      </c>
      <c r="N138" s="278"/>
      <c r="O138" s="279"/>
      <c r="P138" s="2" t="s">
        <v>198</v>
      </c>
      <c r="Q138" s="2" t="s">
        <v>363</v>
      </c>
      <c r="R138" s="2">
        <v>23</v>
      </c>
      <c r="S138" s="2">
        <v>27</v>
      </c>
      <c r="V138" s="276">
        <v>32</v>
      </c>
      <c r="X138" s="280">
        <v>169383.67</v>
      </c>
      <c r="Y138" s="280">
        <v>122196</v>
      </c>
      <c r="Z138" s="2" t="s">
        <v>297</v>
      </c>
      <c r="AA138" s="2" t="str">
        <f t="shared" ref="AA138" si="28">IF(Z138="","",IF(OR(Z138="TBC",Z138="Removed"),Z138,LEFT(Z138,4)))</f>
        <v>2026</v>
      </c>
      <c r="AB138" s="278"/>
      <c r="AC138" s="278"/>
      <c r="AD138" s="277">
        <v>46260</v>
      </c>
      <c r="AE138" s="278">
        <v>46297</v>
      </c>
      <c r="AF138" s="2" t="str">
        <f>IF(AD138="","",IF(ISNUMBER(AD138),IF(AND(AD138&gt;='2026 Calendar'!$C$4,AD138&lt;='2026 Calendar'!$E$107),LOOKUP(AD138,'2026 Calendar'!$C$4:$C$107,'2026 Calendar'!$A$4:$A$107),YEAR(AD138-WEEKDAY(AD138,2)+4)&amp;"/W"&amp;TEXT(WEEKNUM(AD138,21),"00")),IF(IFERROR(ISNUMBER(SEARCH("/W",AD138)),FALSE),IF(IFERROR(ISNUMBER(SEARCH("-",AD138)),FALSE),LEFT(AD138,SEARCH("-",AD138)-1),AD138),AD138)))</f>
        <v>2026/W35</v>
      </c>
      <c r="AG138" s="2" t="str">
        <f>IF(AE138="","",IF(ISNUMBER(AE138),IF(AND(AE138&gt;='2026 Calendar'!$C$4,AE138&lt;='2026 Calendar'!$E$107),LOOKUP(AE138,'2026 Calendar'!$C$4:$C$107,'2026 Calendar'!$A$4:$A$107),YEAR(AE138-WEEKDAY(AE138,2)+4)&amp;"/W"&amp;TEXT(WEEKNUM(AE138,21),"00")),IF(IFERROR(ISNUMBER(SEARCH("/W",AE138)),FALSE),IF(IFERROR(ISNUMBER(SEARCH("-",AE138)),FALSE),MID(AE138,SEARCH("-",AE138)+1,100),AE138),AE138)))</f>
        <v>2026/W40</v>
      </c>
      <c r="AH138" s="2" t="s">
        <v>56</v>
      </c>
      <c r="AI138" s="278"/>
      <c r="AJ138" s="278"/>
      <c r="AK138" s="2" t="s">
        <v>56</v>
      </c>
      <c r="AL138" s="278"/>
      <c r="AM138" s="278"/>
      <c r="AN138" s="2" t="s">
        <v>56</v>
      </c>
      <c r="AO138" s="278"/>
      <c r="AP138" s="278"/>
      <c r="AQ138" s="2" t="s">
        <v>56</v>
      </c>
      <c r="AR138" s="278"/>
      <c r="AS138" s="278"/>
      <c r="AT138" s="2" t="s">
        <v>56</v>
      </c>
      <c r="AU138" s="278"/>
      <c r="AV138" s="278"/>
      <c r="AW138" s="2" t="s">
        <v>56</v>
      </c>
      <c r="AX138" s="278"/>
      <c r="AY138" s="278"/>
      <c r="AZ138" s="2" t="s">
        <v>278</v>
      </c>
      <c r="BA138" s="278"/>
      <c r="BB138" s="278"/>
      <c r="BC138" s="2" t="str">
        <f t="shared" si="24"/>
        <v>Complete</v>
      </c>
      <c r="BE138" s="119" t="str">
        <f t="shared" si="25"/>
        <v>READY</v>
      </c>
    </row>
    <row r="139" spans="1:58" ht="29" x14ac:dyDescent="0.35">
      <c r="A139" s="2" t="str">
        <f>IFERROR(VLOOKUP(E139,'Customer '!$A$4:$D$23,3,FALSE),"")</f>
        <v>RH</v>
      </c>
      <c r="B139" s="2" t="s">
        <v>323</v>
      </c>
      <c r="C139" s="2" t="s">
        <v>329</v>
      </c>
      <c r="E139" s="2" t="s">
        <v>61</v>
      </c>
      <c r="F139" s="2" t="str">
        <f>IFERROR(VLOOKUP(E139,'Customer '!$A$4:$D$28,2,FALSE),"")</f>
        <v>RH</v>
      </c>
      <c r="G139" s="2" t="s">
        <v>416</v>
      </c>
      <c r="H13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2026-RH-MONTAUK YACHT CLUB</v>
      </c>
      <c r="I139" s="2">
        <f ca="1">IF(OR($H139="",$B139=""),0,--(COUNTIFS($H$3:$H139,$H139,$B$3:$B139,$B139)=1))</f>
        <v>1</v>
      </c>
      <c r="J139" s="2" t="s">
        <v>135</v>
      </c>
      <c r="K139" s="2" t="s">
        <v>273</v>
      </c>
      <c r="L139" s="2" t="s">
        <v>285</v>
      </c>
      <c r="M139" s="278">
        <v>46163</v>
      </c>
      <c r="N139" s="278"/>
      <c r="O139" s="279"/>
      <c r="P139" s="2" t="s">
        <v>51</v>
      </c>
      <c r="Q139" s="2" t="s">
        <v>325</v>
      </c>
      <c r="V139" s="276">
        <v>5</v>
      </c>
      <c r="X139" s="280">
        <v>12433.68</v>
      </c>
      <c r="Y139" s="280">
        <v>12433.68</v>
      </c>
      <c r="Z139" s="2" t="s">
        <v>282</v>
      </c>
      <c r="AA139" s="2" t="str">
        <f t="shared" si="19"/>
        <v>2026</v>
      </c>
      <c r="AB139" s="278">
        <v>46248</v>
      </c>
      <c r="AC139" s="278">
        <v>46248</v>
      </c>
      <c r="AD139" s="277">
        <v>46248</v>
      </c>
      <c r="AE139" s="278">
        <v>46248</v>
      </c>
      <c r="AF139" s="2" t="str">
        <f>IF(AD139="","",IF(ISNUMBER(AD139),IF(AND(AD139&gt;='2026 Calendar'!$C$4,AD139&lt;='2026 Calendar'!$E$107),LOOKUP(AD139,'2026 Calendar'!$C$4:$C$107,'2026 Calendar'!$A$4:$A$107),YEAR(AD139-WEEKDAY(AD139,2)+4)&amp;"/W"&amp;TEXT(WEEKNUM(AD139,21),"00")),IF(IFERROR(ISNUMBER(SEARCH("/W",AD139)),FALSE),IF(IFERROR(ISNUMBER(SEARCH("-",AD139)),FALSE),LEFT(AD139,SEARCH("-",AD139)-1),AD139),AD139)))</f>
        <v>2026/W33</v>
      </c>
      <c r="AG139" s="2" t="str">
        <f>IF(AE139="","",IF(ISNUMBER(AE139),IF(AND(AE139&gt;='2026 Calendar'!$C$4,AE139&lt;='2026 Calendar'!$E$107),LOOKUP(AE139,'2026 Calendar'!$C$4:$C$107,'2026 Calendar'!$A$4:$A$107),YEAR(AE139-WEEKDAY(AE139,2)+4)&amp;"/W"&amp;TEXT(WEEKNUM(AE139,21),"00")),IF(IFERROR(ISNUMBER(SEARCH("/W",AE139)),FALSE),IF(IFERROR(ISNUMBER(SEARCH("-",AE139)),FALSE),MID(AE139,SEARCH("-",AE139)+1,100),AE139),AE139)))</f>
        <v>2026/W33</v>
      </c>
      <c r="AH139" s="2" t="s">
        <v>287</v>
      </c>
      <c r="AI139" s="278"/>
      <c r="AJ139" s="278"/>
      <c r="AK139" s="2" t="s">
        <v>287</v>
      </c>
      <c r="AL139" s="278"/>
      <c r="AM139" s="278"/>
      <c r="AN139" s="2" t="s">
        <v>287</v>
      </c>
      <c r="AO139" s="278"/>
      <c r="AP139" s="278"/>
      <c r="AQ139" s="2" t="s">
        <v>287</v>
      </c>
      <c r="AR139" s="278"/>
      <c r="AS139" s="278"/>
      <c r="AT139" s="2" t="s">
        <v>73</v>
      </c>
      <c r="AU139" s="278"/>
      <c r="AV139" s="278"/>
      <c r="AW139" s="2" t="s">
        <v>287</v>
      </c>
      <c r="AX139" s="278"/>
      <c r="AY139" s="278"/>
      <c r="AZ139" s="2" t="s">
        <v>287</v>
      </c>
      <c r="BA139" s="278"/>
      <c r="BB139" s="278"/>
      <c r="BC139" s="2" t="str">
        <f t="shared" si="24"/>
        <v>Complete</v>
      </c>
      <c r="BD139" s="2" t="s">
        <v>279</v>
      </c>
      <c r="BE139" s="119" t="str">
        <f t="shared" si="25"/>
        <v>NPD: Not started: Drawing, Veneer/Wood, Marble, Metal, Electrical, Fabric for SW33</v>
      </c>
    </row>
    <row r="140" spans="1:58" ht="29" x14ac:dyDescent="0.35">
      <c r="A140" s="2" t="str">
        <f>IFERROR(VLOOKUP(E140,'Customer '!$A$4:$D$23,3,FALSE),"")</f>
        <v>RH</v>
      </c>
      <c r="B140" s="2" t="s">
        <v>268</v>
      </c>
      <c r="C140" s="2" t="s">
        <v>329</v>
      </c>
      <c r="E140" s="2" t="s">
        <v>61</v>
      </c>
      <c r="F140" s="2" t="str">
        <f>IFERROR(VLOOKUP(E140,'Customer '!$A$4:$D$28,2,FALSE),"")</f>
        <v>RH</v>
      </c>
      <c r="G140" s="2" t="s">
        <v>416</v>
      </c>
      <c r="H14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2026-RH-MONTAUK YACHT CLUB</v>
      </c>
      <c r="I140" s="2">
        <f ca="1">IF(OR($H140="",$B140=""),0,--(COUNTIFS($H$3:$H140,$H140,$B$3:$B140,$B140)=1))</f>
        <v>1</v>
      </c>
      <c r="J140" s="2" t="s">
        <v>135</v>
      </c>
      <c r="K140" s="2" t="s">
        <v>273</v>
      </c>
      <c r="L140" s="2" t="s">
        <v>285</v>
      </c>
      <c r="M140" s="278">
        <v>46163</v>
      </c>
      <c r="N140" s="278"/>
      <c r="O140" s="279"/>
      <c r="P140" s="2" t="s">
        <v>51</v>
      </c>
      <c r="Q140" s="2" t="s">
        <v>325</v>
      </c>
      <c r="V140" s="276">
        <v>5</v>
      </c>
      <c r="X140" s="280">
        <v>1100000</v>
      </c>
      <c r="Y140" s="280">
        <v>1100000</v>
      </c>
      <c r="Z140" s="2" t="s">
        <v>286</v>
      </c>
      <c r="AA140" s="2" t="str">
        <f t="shared" si="19"/>
        <v>2027</v>
      </c>
      <c r="AB140" s="278"/>
      <c r="AC140" s="278"/>
      <c r="AE140" s="278"/>
      <c r="AF140" s="2" t="str">
        <f>IF(AD140="","",IF(ISNUMBER(AD140),IF(AND(AD140&gt;='2026 Calendar'!$C$4,AD140&lt;='2026 Calendar'!$E$107),LOOKUP(AD140,'2026 Calendar'!$C$4:$C$107,'2026 Calendar'!$A$4:$A$107),YEAR(AD140-WEEKDAY(AD140,2)+4)&amp;"/W"&amp;TEXT(WEEKNUM(AD140,21),"00")),IF(IFERROR(ISNUMBER(SEARCH("/W",AD140)),FALSE),IF(IFERROR(ISNUMBER(SEARCH("-",AD140)),FALSE),LEFT(AD140,SEARCH("-",AD140)-1),AD140),AD140)))</f>
        <v/>
      </c>
      <c r="AG140" s="2" t="str">
        <f>IF(AE140="","",IF(ISNUMBER(AE140),IF(AND(AE140&gt;='2026 Calendar'!$C$4,AE140&lt;='2026 Calendar'!$E$107),LOOKUP(AE140,'2026 Calendar'!$C$4:$C$107,'2026 Calendar'!$A$4:$A$107),YEAR(AE140-WEEKDAY(AE140,2)+4)&amp;"/W"&amp;TEXT(WEEKNUM(AE140,21),"00")),IF(IFERROR(ISNUMBER(SEARCH("/W",AE140)),FALSE),IF(IFERROR(ISNUMBER(SEARCH("-",AE140)),FALSE),MID(AE140,SEARCH("-",AE140)+1,100),AE140),AE140)))</f>
        <v/>
      </c>
      <c r="AH140" s="2" t="s">
        <v>287</v>
      </c>
      <c r="AI140" s="278"/>
      <c r="AJ140" s="278"/>
      <c r="AK140" s="2" t="s">
        <v>287</v>
      </c>
      <c r="AL140" s="278"/>
      <c r="AM140" s="278"/>
      <c r="AN140" s="2" t="s">
        <v>287</v>
      </c>
      <c r="AO140" s="278"/>
      <c r="AP140" s="278"/>
      <c r="AQ140" s="2" t="s">
        <v>287</v>
      </c>
      <c r="AR140" s="278"/>
      <c r="AS140" s="278"/>
      <c r="AT140" s="2" t="s">
        <v>73</v>
      </c>
      <c r="AU140" s="278"/>
      <c r="AV140" s="278"/>
      <c r="AW140" s="2" t="s">
        <v>287</v>
      </c>
      <c r="AX140" s="278"/>
      <c r="AY140" s="278"/>
      <c r="AZ140" s="2" t="s">
        <v>287</v>
      </c>
      <c r="BA140" s="278"/>
      <c r="BB140" s="278"/>
      <c r="BC140" s="2" t="str">
        <f t="shared" si="24"/>
        <v>Complete</v>
      </c>
      <c r="BD140" s="2" t="s">
        <v>279</v>
      </c>
      <c r="BE140" s="119" t="str">
        <f t="shared" si="25"/>
        <v>NPI: Not started: Drawing, Veneer/Wood, Marble, Metal, Electrical, Fabric</v>
      </c>
    </row>
    <row r="141" spans="1:58" x14ac:dyDescent="0.35">
      <c r="A141" s="2" t="str">
        <f>IFERROR(VLOOKUP(E141,'Customer '!$A$4:$D$23,3,FALSE),"")</f>
        <v>NON RH</v>
      </c>
      <c r="B141" s="2" t="s">
        <v>268</v>
      </c>
      <c r="C141" s="2" t="s">
        <v>298</v>
      </c>
      <c r="E141" s="2" t="s">
        <v>417</v>
      </c>
      <c r="F141" s="2" t="str">
        <f>IFERROR(VLOOKUP(E141,'Customer '!$A$4:$D$28,2,FALSE),"")</f>
        <v>HBA</v>
      </c>
      <c r="G141" s="2" t="s">
        <v>418</v>
      </c>
      <c r="H14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2026-HBA-HILTON PASADENA</v>
      </c>
      <c r="I141" s="2">
        <f ca="1">IF(OR($H141="",$B141=""),0,--(COUNTIFS($H$3:$H141,$H141,$B$3:$B141,$B141)=1))</f>
        <v>1</v>
      </c>
      <c r="J141" s="2" t="s">
        <v>309</v>
      </c>
      <c r="K141" s="2" t="s">
        <v>273</v>
      </c>
      <c r="L141" s="2" t="s">
        <v>333</v>
      </c>
      <c r="M141" s="278">
        <v>46161</v>
      </c>
      <c r="N141" s="278"/>
      <c r="O141" s="279"/>
      <c r="P141" s="2" t="s">
        <v>51</v>
      </c>
      <c r="Q141" s="2" t="s">
        <v>152</v>
      </c>
      <c r="R141" s="2">
        <v>0</v>
      </c>
      <c r="S141" s="2">
        <v>0</v>
      </c>
      <c r="V141" s="276">
        <v>5</v>
      </c>
      <c r="X141" s="280">
        <v>22890.480000000003</v>
      </c>
      <c r="Y141" s="280">
        <v>22890.480000000003</v>
      </c>
      <c r="Z141" s="2" t="s">
        <v>303</v>
      </c>
      <c r="AA141" s="2" t="str">
        <f t="shared" si="19"/>
        <v>2026</v>
      </c>
      <c r="AB141" s="278">
        <v>46235</v>
      </c>
      <c r="AC141" s="278">
        <v>46235</v>
      </c>
      <c r="AD141" s="277">
        <v>46304</v>
      </c>
      <c r="AE141" s="278">
        <v>46304</v>
      </c>
      <c r="AF141" s="2" t="str">
        <f>IF(AD141="","",IF(ISNUMBER(AD141),IF(AND(AD141&gt;='2026 Calendar'!$C$4,AD141&lt;='2026 Calendar'!$E$107),LOOKUP(AD141,'2026 Calendar'!$C$4:$C$107,'2026 Calendar'!$A$4:$A$107),YEAR(AD141-WEEKDAY(AD141,2)+4)&amp;"/W"&amp;TEXT(WEEKNUM(AD141,21),"00")),IF(IFERROR(ISNUMBER(SEARCH("/W",AD141)),FALSE),IF(IFERROR(ISNUMBER(SEARCH("-",AD141)),FALSE),LEFT(AD141,SEARCH("-",AD141)-1),AD141),AD141)))</f>
        <v>2026/W41</v>
      </c>
      <c r="AG141" s="2" t="str">
        <f>IF(AE141="","",IF(ISNUMBER(AE141),IF(AND(AE141&gt;='2026 Calendar'!$C$4,AE141&lt;='2026 Calendar'!$E$107),LOOKUP(AE141,'2026 Calendar'!$C$4:$C$107,'2026 Calendar'!$A$4:$A$107),YEAR(AE141-WEEKDAY(AE141,2)+4)&amp;"/W"&amp;TEXT(WEEKNUM(AE141,21),"00")),IF(IFERROR(ISNUMBER(SEARCH("/W",AE141)),FALSE),IF(IFERROR(ISNUMBER(SEARCH("-",AE141)),FALSE),MID(AE141,SEARCH("-",AE141)+1,100),AE141),AE141)))</f>
        <v>2026/W41</v>
      </c>
      <c r="AH141" s="2" t="s">
        <v>56</v>
      </c>
      <c r="AI141" s="278"/>
      <c r="AJ141" s="278"/>
      <c r="AK141" s="2" t="s">
        <v>56</v>
      </c>
      <c r="AL141" s="278"/>
      <c r="AM141" s="278"/>
      <c r="AN141" s="2" t="s">
        <v>56</v>
      </c>
      <c r="AO141" s="278"/>
      <c r="AP141" s="278"/>
      <c r="AQ141" s="2" t="s">
        <v>56</v>
      </c>
      <c r="AR141" s="278"/>
      <c r="AS141" s="278"/>
      <c r="AT141" s="2" t="s">
        <v>73</v>
      </c>
      <c r="AU141" s="278"/>
      <c r="AV141" s="278"/>
      <c r="AW141" s="2" t="s">
        <v>73</v>
      </c>
      <c r="AX141" s="278"/>
      <c r="AY141" s="278"/>
      <c r="AZ141" s="2" t="s">
        <v>304</v>
      </c>
      <c r="BA141" s="278"/>
      <c r="BB141" s="278"/>
      <c r="BC141" s="2" t="str">
        <f t="shared" si="24"/>
        <v>Active</v>
      </c>
      <c r="BE141" s="119" t="str">
        <f t="shared" si="25"/>
        <v>NPI: In progress: Fabric for SW41</v>
      </c>
    </row>
    <row r="142" spans="1:58" x14ac:dyDescent="0.35">
      <c r="A142" s="2" t="str">
        <f>IFERROR(VLOOKUP(E142,'Customer '!$A$4:$D$23,3,FALSE),"")</f>
        <v>NON RH</v>
      </c>
      <c r="B142" s="2" t="s">
        <v>268</v>
      </c>
      <c r="C142" s="2" t="s">
        <v>340</v>
      </c>
      <c r="E142" s="2" t="s">
        <v>98</v>
      </c>
      <c r="F142" s="2" t="str">
        <f>IFERROR(VLOOKUP(E142,'Customer '!$A$4:$D$28,2,FALSE),"")</f>
        <v xml:space="preserve">FLEETWOOD </v>
      </c>
      <c r="G142" s="2" t="s">
        <v>419</v>
      </c>
      <c r="H14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-FAIRMONT HOTEL WINNIPEG</v>
      </c>
      <c r="I142" s="2">
        <f ca="1">IF(OR($H142="",$B142=""),0,--(COUNTIFS($H$3:$H142,$H142,$B$3:$B142,$B142)=1))</f>
        <v>1</v>
      </c>
      <c r="J142" s="2" t="s">
        <v>300</v>
      </c>
      <c r="K142" s="2" t="s">
        <v>273</v>
      </c>
      <c r="L142" s="2" t="s">
        <v>285</v>
      </c>
      <c r="M142" s="278">
        <v>46178</v>
      </c>
      <c r="N142" s="278"/>
      <c r="O142" s="279"/>
      <c r="P142" s="2" t="s">
        <v>152</v>
      </c>
      <c r="R142" s="2" t="s">
        <v>149</v>
      </c>
      <c r="S142" s="2" t="s">
        <v>149</v>
      </c>
      <c r="V142" s="276">
        <v>32</v>
      </c>
      <c r="X142" s="280">
        <v>79655.520000000033</v>
      </c>
      <c r="Y142" s="280">
        <v>79655.520000000033</v>
      </c>
      <c r="Z142" s="2" t="s">
        <v>149</v>
      </c>
      <c r="AA142" s="2" t="str">
        <f t="shared" si="19"/>
        <v>TBC</v>
      </c>
      <c r="AB142" s="278"/>
      <c r="AC142" s="278"/>
      <c r="AD142" s="277" t="s">
        <v>149</v>
      </c>
      <c r="AE142" s="278" t="s">
        <v>149</v>
      </c>
      <c r="AF142" s="2" t="str">
        <f>IF(AD142="","",IF(ISNUMBER(AD142),IF(AND(AD142&gt;='2026 Calendar'!$C$4,AD142&lt;='2026 Calendar'!$E$107),LOOKUP(AD142,'2026 Calendar'!$C$4:$C$107,'2026 Calendar'!$A$4:$A$107),YEAR(AD142-WEEKDAY(AD142,2)+4)&amp;"/W"&amp;TEXT(WEEKNUM(AD142,21),"00")),IF(IFERROR(ISNUMBER(SEARCH("/W",AD142)),FALSE),IF(IFERROR(ISNUMBER(SEARCH("-",AD142)),FALSE),LEFT(AD142,SEARCH("-",AD142)-1),AD142),AD142)))</f>
        <v>TBC</v>
      </c>
      <c r="AG142" s="2" t="str">
        <f>IF(AE142="","",IF(ISNUMBER(AE142),IF(AND(AE142&gt;='2026 Calendar'!$C$4,AE142&lt;='2026 Calendar'!$E$107),LOOKUP(AE142,'2026 Calendar'!$C$4:$C$107,'2026 Calendar'!$A$4:$A$107),YEAR(AE142-WEEKDAY(AE142,2)+4)&amp;"/W"&amp;TEXT(WEEKNUM(AE142,21),"00")),IF(IFERROR(ISNUMBER(SEARCH("/W",AE142)),FALSE),IF(IFERROR(ISNUMBER(SEARCH("-",AE142)),FALSE),MID(AE142,SEARCH("-",AE142)+1,100),AE142),AE142)))</f>
        <v>TBC</v>
      </c>
      <c r="AI142" s="278"/>
      <c r="AJ142" s="278"/>
      <c r="AL142" s="278"/>
      <c r="AM142" s="278"/>
      <c r="AO142" s="278"/>
      <c r="AP142" s="278"/>
      <c r="AR142" s="278"/>
      <c r="AS142" s="278"/>
      <c r="AU142" s="278"/>
      <c r="AV142" s="278"/>
      <c r="AX142" s="278"/>
      <c r="AY142" s="278"/>
      <c r="BA142" s="278"/>
      <c r="BB142" s="278"/>
      <c r="BC142" s="2" t="str">
        <f t="shared" si="24"/>
        <v>Complete</v>
      </c>
      <c r="BE142" s="119" t="str">
        <f t="shared" si="25"/>
        <v>NPI: All development items approved/closed for SW TBC</v>
      </c>
    </row>
    <row r="143" spans="1:58" ht="29" x14ac:dyDescent="0.35">
      <c r="A143" s="2" t="str">
        <f>IFERROR(VLOOKUP(E143,'Customer '!$A$4:$D$23,3,FALSE),"")</f>
        <v>NON RH</v>
      </c>
      <c r="B143" s="2" t="s">
        <v>323</v>
      </c>
      <c r="C143" s="2" t="s">
        <v>298</v>
      </c>
      <c r="E143" s="2" t="s">
        <v>82</v>
      </c>
      <c r="F143" s="2" t="str">
        <f>IFERROR(VLOOKUP(E143,'Customer '!$A$4:$D$28,2,FALSE),"")</f>
        <v>L&amp;S</v>
      </c>
      <c r="G143" s="2" t="s">
        <v>420</v>
      </c>
      <c r="H14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2026-L&amp;S-THE STANDARD MIAMI HOTEL</v>
      </c>
      <c r="I143" s="2">
        <f ca="1">IF(OR($H143="",$B143=""),0,--(COUNTIFS($H$3:$H143,$H143,$B$3:$B143,$B143)=1))</f>
        <v>1</v>
      </c>
      <c r="J143" s="2" t="s">
        <v>133</v>
      </c>
      <c r="K143" s="2" t="s">
        <v>273</v>
      </c>
      <c r="L143" s="2" t="s">
        <v>285</v>
      </c>
      <c r="M143" s="278">
        <v>46178</v>
      </c>
      <c r="N143" s="278"/>
      <c r="O143" s="279"/>
      <c r="P143" s="2" t="s">
        <v>51</v>
      </c>
      <c r="Q143" s="2" t="s">
        <v>421</v>
      </c>
      <c r="V143" s="276">
        <v>3</v>
      </c>
      <c r="X143" s="280">
        <v>2142.3000000000002</v>
      </c>
      <c r="Y143" s="280">
        <v>2142.3000000000002</v>
      </c>
      <c r="Z143" s="2" t="s">
        <v>282</v>
      </c>
      <c r="AA143" s="2" t="str">
        <f t="shared" si="19"/>
        <v>2026</v>
      </c>
      <c r="AB143" s="278">
        <v>46262</v>
      </c>
      <c r="AC143" s="278">
        <v>46262</v>
      </c>
      <c r="AD143" s="277">
        <v>46262</v>
      </c>
      <c r="AE143" s="278">
        <v>46262</v>
      </c>
      <c r="AF143" s="2" t="str">
        <f>IF(AD143="","",IF(ISNUMBER(AD143),IF(AND(AD143&gt;='2026 Calendar'!$C$4,AD143&lt;='2026 Calendar'!$E$107),LOOKUP(AD143,'2026 Calendar'!$C$4:$C$107,'2026 Calendar'!$A$4:$A$107),YEAR(AD143-WEEKDAY(AD143,2)+4)&amp;"/W"&amp;TEXT(WEEKNUM(AD143,21),"00")),IF(IFERROR(ISNUMBER(SEARCH("/W",AD143)),FALSE),IF(IFERROR(ISNUMBER(SEARCH("-",AD143)),FALSE),LEFT(AD143,SEARCH("-",AD143)-1),AD143),AD143)))</f>
        <v>2026/W35</v>
      </c>
      <c r="AG143" s="2" t="str">
        <f>IF(AE143="","",IF(ISNUMBER(AE143),IF(AND(AE143&gt;='2026 Calendar'!$C$4,AE143&lt;='2026 Calendar'!$E$107),LOOKUP(AE143,'2026 Calendar'!$C$4:$C$107,'2026 Calendar'!$A$4:$A$107),YEAR(AE143-WEEKDAY(AE143,2)+4)&amp;"/W"&amp;TEXT(WEEKNUM(AE143,21),"00")),IF(IFERROR(ISNUMBER(SEARCH("/W",AE143)),FALSE),IF(IFERROR(ISNUMBER(SEARCH("-",AE143)),FALSE),MID(AE143,SEARCH("-",AE143)+1,100),AE143),AE143)))</f>
        <v>2026/W35</v>
      </c>
      <c r="AH143" s="2" t="s">
        <v>304</v>
      </c>
      <c r="AI143" s="278"/>
      <c r="AJ143" s="278"/>
      <c r="AK143" s="2" t="s">
        <v>304</v>
      </c>
      <c r="AL143" s="278"/>
      <c r="AM143" s="278"/>
      <c r="AN143" s="2" t="s">
        <v>304</v>
      </c>
      <c r="AO143" s="278"/>
      <c r="AP143" s="278"/>
      <c r="AQ143" s="2" t="s">
        <v>304</v>
      </c>
      <c r="AR143" s="278"/>
      <c r="AS143" s="278"/>
      <c r="AT143" s="2" t="s">
        <v>318</v>
      </c>
      <c r="AU143" s="278"/>
      <c r="AV143" s="278"/>
      <c r="AW143" s="2" t="s">
        <v>73</v>
      </c>
      <c r="AX143" s="278"/>
      <c r="AY143" s="278"/>
      <c r="AZ143" s="2" t="s">
        <v>57</v>
      </c>
      <c r="BA143" s="278"/>
      <c r="BB143" s="278"/>
      <c r="BC143" s="2" t="str">
        <f t="shared" si="24"/>
        <v>Complete</v>
      </c>
      <c r="BE143" s="119" t="str">
        <f t="shared" si="25"/>
        <v>NPD: In progress: Drawing, Veneer/Wood, Marble, Metal; Pending approval: Mirror; Fabric is com for SW35</v>
      </c>
    </row>
    <row r="144" spans="1:58" x14ac:dyDescent="0.35">
      <c r="A144" s="2" t="str">
        <f>IFERROR(VLOOKUP(E144,'Customer '!$A$4:$D$23,3,FALSE),"")</f>
        <v>NON RH</v>
      </c>
      <c r="B144" s="2" t="s">
        <v>268</v>
      </c>
      <c r="C144" s="2" t="s">
        <v>298</v>
      </c>
      <c r="E144" s="2" t="s">
        <v>82</v>
      </c>
      <c r="F144" s="2" t="str">
        <f>IFERROR(VLOOKUP(E144,'Customer '!$A$4:$D$28,2,FALSE),"")</f>
        <v>L&amp;S</v>
      </c>
      <c r="G144" s="2" t="s">
        <v>420</v>
      </c>
      <c r="H14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2026-L&amp;S-THE STANDARD MIAMI HOTEL</v>
      </c>
      <c r="I144" s="2">
        <f ca="1">IF(OR($H144="",$B144=""),0,--(COUNTIFS($H$3:$H144,$H144,$B$3:$B144,$B144)=1))</f>
        <v>1</v>
      </c>
      <c r="J144" s="2" t="s">
        <v>309</v>
      </c>
      <c r="K144" s="2" t="s">
        <v>273</v>
      </c>
      <c r="L144" s="2" t="s">
        <v>310</v>
      </c>
      <c r="M144" s="278">
        <v>46178</v>
      </c>
      <c r="N144" s="278">
        <v>46189</v>
      </c>
      <c r="O144" s="279"/>
      <c r="P144" s="2" t="s">
        <v>51</v>
      </c>
      <c r="Q144" s="2" t="s">
        <v>421</v>
      </c>
      <c r="R144" s="2">
        <v>7</v>
      </c>
      <c r="S144" s="2">
        <v>13</v>
      </c>
      <c r="V144" s="276">
        <v>24</v>
      </c>
      <c r="X144" s="280">
        <v>48791.869999999995</v>
      </c>
      <c r="Y144" s="280">
        <v>48791.869999999995</v>
      </c>
      <c r="Z144" s="2" t="s">
        <v>311</v>
      </c>
      <c r="AA144" s="2" t="str">
        <f t="shared" ref="AA144" si="29">IF(Z144="","",IF(OR(Z144="TBC",Z144="Removed"),Z144,LEFT(Z144,4)))</f>
        <v>2026</v>
      </c>
      <c r="AB144" s="278">
        <v>46311</v>
      </c>
      <c r="AC144" s="278">
        <v>46311</v>
      </c>
      <c r="AD144" s="278">
        <v>46339</v>
      </c>
      <c r="AE144" s="278">
        <v>46360</v>
      </c>
      <c r="AF144" s="2" t="str">
        <f>IF(AD144="","",IF(ISNUMBER(AD144),IF(AND(AD144&gt;='2026 Calendar'!$C$4,AD144&lt;='2026 Calendar'!$E$107),LOOKUP(AD144,'2026 Calendar'!$C$4:$C$107,'2026 Calendar'!$A$4:$A$107),YEAR(AD144-WEEKDAY(AD144,2)+4)&amp;"/W"&amp;TEXT(WEEKNUM(AD144,21),"00")),IF(IFERROR(ISNUMBER(SEARCH("/W",AD144)),FALSE),IF(IFERROR(ISNUMBER(SEARCH("-",AD144)),FALSE),LEFT(AD144,SEARCH("-",AD144)-1),AD144),AD144)))</f>
        <v>2026/W46</v>
      </c>
      <c r="AG144" s="2" t="str">
        <f>IF(AE144="","",IF(ISNUMBER(AE144),IF(AND(AE144&gt;='2026 Calendar'!$C$4,AE144&lt;='2026 Calendar'!$E$107),LOOKUP(AE144,'2026 Calendar'!$C$4:$C$107,'2026 Calendar'!$A$4:$A$107),YEAR(AE144-WEEKDAY(AE144,2)+4)&amp;"/W"&amp;TEXT(WEEKNUM(AE144,21),"00")),IF(IFERROR(ISNUMBER(SEARCH("/W",AE144)),FALSE),IF(IFERROR(ISNUMBER(SEARCH("-",AE144)),FALSE),MID(AE144,SEARCH("-",AE144)+1,100),AE144),AE144)))</f>
        <v>2026/W49</v>
      </c>
      <c r="AH144" s="2" t="s">
        <v>56</v>
      </c>
      <c r="AI144" s="278"/>
      <c r="AJ144" s="278"/>
      <c r="AK144" s="2" t="s">
        <v>56</v>
      </c>
      <c r="AL144" s="278"/>
      <c r="AM144" s="278"/>
      <c r="AN144" s="2" t="s">
        <v>56</v>
      </c>
      <c r="AO144" s="278"/>
      <c r="AP144" s="278"/>
      <c r="AQ144" s="2" t="s">
        <v>56</v>
      </c>
      <c r="AR144" s="278"/>
      <c r="AS144" s="278"/>
      <c r="AT144" s="2" t="s">
        <v>56</v>
      </c>
      <c r="AU144" s="278"/>
      <c r="AV144" s="278"/>
      <c r="AW144" s="2" t="s">
        <v>73</v>
      </c>
      <c r="AX144" s="278"/>
      <c r="AY144" s="278"/>
      <c r="AZ144" s="2" t="s">
        <v>331</v>
      </c>
      <c r="BA144" s="278"/>
      <c r="BB144" s="278"/>
      <c r="BC144" s="2" t="str">
        <f t="shared" si="24"/>
        <v>Active</v>
      </c>
      <c r="BE144" s="119" t="str">
        <f t="shared" si="25"/>
        <v>NPI: Fabric is com pending for SW49</v>
      </c>
    </row>
    <row r="145" spans="1:58" x14ac:dyDescent="0.35">
      <c r="A145" s="2" t="str">
        <f>IFERROR(VLOOKUP(E145,'Customer '!$A$4:$D$23,3,FALSE),"")</f>
        <v>RH</v>
      </c>
      <c r="B145" s="2" t="s">
        <v>268</v>
      </c>
      <c r="C145" s="2" t="s">
        <v>308</v>
      </c>
      <c r="D145" s="2" t="s">
        <v>412</v>
      </c>
      <c r="E145" s="2" t="s">
        <v>61</v>
      </c>
      <c r="F145" s="2" t="str">
        <f>IFERROR(VLOOKUP(E145,'Customer '!$A$4:$D$28,2,FALSE),"")</f>
        <v>RH</v>
      </c>
      <c r="G145" s="2" t="s">
        <v>422</v>
      </c>
      <c r="H14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2026-RH-KINDERED KEYSTONE RESORT</v>
      </c>
      <c r="I145" s="2">
        <f ca="1">IF(OR($H145="",$B145=""),0,--(COUNTIFS($H$3:$H145,$H145,$B$3:$B145,$B145)=1))</f>
        <v>1</v>
      </c>
      <c r="J145" s="2" t="s">
        <v>272</v>
      </c>
      <c r="K145" s="2" t="s">
        <v>291</v>
      </c>
      <c r="L145" s="2" t="s">
        <v>274</v>
      </c>
      <c r="M145" s="278">
        <v>46176</v>
      </c>
      <c r="N145" s="278">
        <v>46176</v>
      </c>
      <c r="O145" s="279"/>
      <c r="P145" s="2" t="s">
        <v>51</v>
      </c>
      <c r="R145" s="2">
        <v>0</v>
      </c>
      <c r="S145" s="2">
        <v>0</v>
      </c>
      <c r="V145" s="276">
        <v>1</v>
      </c>
      <c r="W145" s="276">
        <v>1</v>
      </c>
      <c r="X145" s="280">
        <v>1142.75</v>
      </c>
      <c r="Y145" s="280">
        <v>1142.75</v>
      </c>
      <c r="Z145" s="2" t="s">
        <v>282</v>
      </c>
      <c r="AA145" s="2" t="str">
        <f t="shared" si="19"/>
        <v>2026</v>
      </c>
      <c r="AB145" s="278">
        <v>46269</v>
      </c>
      <c r="AC145" s="278">
        <v>46269</v>
      </c>
      <c r="AD145" s="277">
        <v>46269</v>
      </c>
      <c r="AE145" s="278">
        <v>46269</v>
      </c>
      <c r="AF145" s="2" t="str">
        <f>IF(AD145="","",IF(ISNUMBER(AD145),IF(AND(AD145&gt;='2026 Calendar'!$C$4,AD145&lt;='2026 Calendar'!$E$107),LOOKUP(AD145,'2026 Calendar'!$C$4:$C$107,'2026 Calendar'!$A$4:$A$107),YEAR(AD145-WEEKDAY(AD145,2)+4)&amp;"/W"&amp;TEXT(WEEKNUM(AD145,21),"00")),IF(IFERROR(ISNUMBER(SEARCH("/W",AD145)),FALSE),IF(IFERROR(ISNUMBER(SEARCH("-",AD145)),FALSE),LEFT(AD145,SEARCH("-",AD145)-1),AD145),AD145)))</f>
        <v>2026/W36</v>
      </c>
      <c r="AG145" s="2" t="str">
        <f>IF(AE145="","",IF(ISNUMBER(AE145),IF(AND(AE145&gt;='2026 Calendar'!$C$4,AE145&lt;='2026 Calendar'!$E$107),LOOKUP(AE145,'2026 Calendar'!$C$4:$C$107,'2026 Calendar'!$A$4:$A$107),YEAR(AE145-WEEKDAY(AE145,2)+4)&amp;"/W"&amp;TEXT(WEEKNUM(AE145,21),"00")),IF(IFERROR(ISNUMBER(SEARCH("/W",AE145)),FALSE),IF(IFERROR(ISNUMBER(SEARCH("-",AE145)),FALSE),MID(AE145,SEARCH("-",AE145)+1,100),AE145),AE145)))</f>
        <v>2026/W36</v>
      </c>
      <c r="AH145" s="2" t="s">
        <v>56</v>
      </c>
      <c r="AI145" s="278"/>
      <c r="AJ145" s="278">
        <v>46176</v>
      </c>
      <c r="AK145" s="2" t="s">
        <v>56</v>
      </c>
      <c r="AL145" s="278"/>
      <c r="AM145" s="278">
        <v>46176</v>
      </c>
      <c r="AN145" s="2" t="s">
        <v>73</v>
      </c>
      <c r="AO145" s="278"/>
      <c r="AP145" s="278"/>
      <c r="AQ145" s="2" t="s">
        <v>73</v>
      </c>
      <c r="AR145" s="278"/>
      <c r="AS145" s="278"/>
      <c r="AT145" s="2" t="s">
        <v>73</v>
      </c>
      <c r="AU145" s="278"/>
      <c r="AV145" s="278"/>
      <c r="AW145" s="2" t="s">
        <v>73</v>
      </c>
      <c r="AX145" s="278"/>
      <c r="AY145" s="278"/>
      <c r="AZ145" s="2" t="s">
        <v>278</v>
      </c>
      <c r="BA145" s="278"/>
      <c r="BB145" s="278">
        <v>46176</v>
      </c>
      <c r="BC145" s="2" t="str">
        <f t="shared" si="24"/>
        <v>Complete</v>
      </c>
      <c r="BD145" s="2" t="s">
        <v>279</v>
      </c>
      <c r="BE145" s="119" t="str">
        <f t="shared" si="25"/>
        <v>READY</v>
      </c>
    </row>
    <row r="146" spans="1:58" x14ac:dyDescent="0.35">
      <c r="A146" s="2" t="str">
        <f>IFERROR(VLOOKUP(E146,'Customer '!$A$4:$D$23,3,FALSE),"")</f>
        <v>NON RH</v>
      </c>
      <c r="B146" s="2" t="s">
        <v>268</v>
      </c>
      <c r="C146" s="2" t="s">
        <v>308</v>
      </c>
      <c r="E146" s="2" t="s">
        <v>417</v>
      </c>
      <c r="F146" s="2" t="str">
        <f>IFERROR(VLOOKUP(E146,'Customer '!$A$4:$D$28,2,FALSE),"")</f>
        <v>HBA</v>
      </c>
      <c r="G146" s="2" t="s">
        <v>423</v>
      </c>
      <c r="H14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2026-HBA-MARRIOTT GUYANA PUBLIC AREAS </v>
      </c>
      <c r="I146" s="2">
        <f ca="1">IF(OR($H146="",$B146=""),0,--(COUNTIFS($H$3:$H146,$H146,$B$3:$B146,$B146)=1))</f>
        <v>1</v>
      </c>
      <c r="J146" s="2" t="s">
        <v>396</v>
      </c>
      <c r="K146" s="2" t="s">
        <v>273</v>
      </c>
      <c r="L146" s="2" t="s">
        <v>285</v>
      </c>
      <c r="M146" s="278">
        <v>46185</v>
      </c>
      <c r="N146" s="278"/>
      <c r="O146" s="279"/>
      <c r="P146" s="2" t="s">
        <v>1605</v>
      </c>
      <c r="Q146" s="2" t="s">
        <v>1606</v>
      </c>
      <c r="V146" s="276">
        <v>3</v>
      </c>
      <c r="X146" s="280">
        <v>25129.08</v>
      </c>
      <c r="Y146" s="280">
        <v>25129.08</v>
      </c>
      <c r="Z146" s="2" t="s">
        <v>303</v>
      </c>
      <c r="AA146" s="2" t="str">
        <f t="shared" si="19"/>
        <v>2026</v>
      </c>
      <c r="AB146" s="278"/>
      <c r="AC146" s="278"/>
      <c r="AD146" s="277">
        <v>46311</v>
      </c>
      <c r="AE146" s="278">
        <v>46311</v>
      </c>
      <c r="AF146" s="2" t="str">
        <f>IF(AD146="","",IF(ISNUMBER(AD146),IF(AND(AD146&gt;='2026 Calendar'!$C$4,AD146&lt;='2026 Calendar'!$E$107),LOOKUP(AD146,'2026 Calendar'!$C$4:$C$107,'2026 Calendar'!$A$4:$A$107),YEAR(AD146-WEEKDAY(AD146,2)+4)&amp;"/W"&amp;TEXT(WEEKNUM(AD146,21),"00")),IF(IFERROR(ISNUMBER(SEARCH("/W",AD146)),FALSE),IF(IFERROR(ISNUMBER(SEARCH("-",AD146)),FALSE),LEFT(AD146,SEARCH("-",AD146)-1),AD146),AD146)))</f>
        <v>2026/W42</v>
      </c>
      <c r="AG146" s="2" t="str">
        <f>IF(AE146="","",IF(ISNUMBER(AE146),IF(AND(AE146&gt;='2026 Calendar'!$C$4,AE146&lt;='2026 Calendar'!$E$107),LOOKUP(AE146,'2026 Calendar'!$C$4:$C$107,'2026 Calendar'!$A$4:$A$107),YEAR(AE146-WEEKDAY(AE146,2)+4)&amp;"/W"&amp;TEXT(WEEKNUM(AE146,21),"00")),IF(IFERROR(ISNUMBER(SEARCH("/W",AE146)),FALSE),IF(IFERROR(ISNUMBER(SEARCH("-",AE146)),FALSE),MID(AE146,SEARCH("-",AE146)+1,100),AE146),AE146)))</f>
        <v>2026/W42</v>
      </c>
      <c r="AH146" s="2" t="s">
        <v>318</v>
      </c>
      <c r="AI146" s="278"/>
      <c r="AJ146" s="278"/>
      <c r="AK146" s="2" t="s">
        <v>318</v>
      </c>
      <c r="AL146" s="278"/>
      <c r="AM146" s="278"/>
      <c r="AN146" s="2" t="s">
        <v>73</v>
      </c>
      <c r="AO146" s="278"/>
      <c r="AP146" s="278"/>
      <c r="AQ146" s="2" t="s">
        <v>73</v>
      </c>
      <c r="AR146" s="278"/>
      <c r="AS146" s="278"/>
      <c r="AT146" s="2" t="s">
        <v>73</v>
      </c>
      <c r="AU146" s="278"/>
      <c r="AV146" s="278"/>
      <c r="AW146" s="2" t="s">
        <v>73</v>
      </c>
      <c r="AX146" s="278"/>
      <c r="AY146" s="278"/>
      <c r="AZ146" s="2" t="s">
        <v>73</v>
      </c>
      <c r="BA146" s="278"/>
      <c r="BB146" s="278"/>
      <c r="BC146" s="2" t="str">
        <f t="shared" si="24"/>
        <v>Complete</v>
      </c>
      <c r="BE146" s="119" t="str">
        <f t="shared" si="25"/>
        <v>NPI: Pending approval: Drawing, Veneer/Wood for SW42</v>
      </c>
    </row>
    <row r="147" spans="1:58" x14ac:dyDescent="0.35">
      <c r="A147" s="2" t="str">
        <f>IFERROR(VLOOKUP(E147,'Customer '!$A$4:$D$23,3,FALSE),"")</f>
        <v>RH</v>
      </c>
      <c r="B147" s="2" t="s">
        <v>268</v>
      </c>
      <c r="C147" s="2" t="s">
        <v>424</v>
      </c>
      <c r="D147" s="2" t="s">
        <v>425</v>
      </c>
      <c r="E147" s="2" t="s">
        <v>61</v>
      </c>
      <c r="F147" s="2" t="str">
        <f>IFERROR(VLOOKUP(E147,'Customer '!$A$4:$D$28,2,FALSE),"")</f>
        <v>RH</v>
      </c>
      <c r="G147" s="2" t="s">
        <v>426</v>
      </c>
      <c r="H14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2026-RH-BELGROVE VILLAS</v>
      </c>
      <c r="I147" s="2">
        <f ca="1">IF(OR($H147="",$B147=""),0,--(COUNTIFS($H$3:$H147,$H147,$B$3:$B147,$B147)=1))</f>
        <v>1</v>
      </c>
      <c r="J147" s="2" t="s">
        <v>272</v>
      </c>
      <c r="K147" s="2" t="s">
        <v>273</v>
      </c>
      <c r="L147" s="2" t="s">
        <v>274</v>
      </c>
      <c r="M147" s="278">
        <v>46185</v>
      </c>
      <c r="N147" s="278">
        <v>46190</v>
      </c>
      <c r="O147" s="279"/>
      <c r="P147" s="2" t="s">
        <v>51</v>
      </c>
      <c r="Q147" s="2" t="s">
        <v>295</v>
      </c>
      <c r="R147" s="2">
        <v>0</v>
      </c>
      <c r="S147" s="2">
        <v>0</v>
      </c>
      <c r="V147" s="276">
        <v>1</v>
      </c>
      <c r="W147" s="276">
        <v>22</v>
      </c>
      <c r="X147" s="280">
        <v>13398</v>
      </c>
      <c r="Y147" s="280">
        <v>13398</v>
      </c>
      <c r="Z147" s="2" t="s">
        <v>297</v>
      </c>
      <c r="AA147" s="2" t="str">
        <f t="shared" si="19"/>
        <v>2026</v>
      </c>
      <c r="AB147" s="278">
        <v>46284</v>
      </c>
      <c r="AC147" s="278">
        <v>46284</v>
      </c>
      <c r="AD147" s="277">
        <v>46290</v>
      </c>
      <c r="AE147" s="277">
        <v>46290</v>
      </c>
      <c r="AF147" s="2" t="str">
        <f>IF(AD147="","",IF(ISNUMBER(AD147),IF(AND(AD147&gt;='2026 Calendar'!$C$4,AD147&lt;='2026 Calendar'!$E$107),LOOKUP(AD147,'2026 Calendar'!$C$4:$C$107,'2026 Calendar'!$A$4:$A$107),YEAR(AD147-WEEKDAY(AD147,2)+4)&amp;"/W"&amp;TEXT(WEEKNUM(AD147,21),"00")),IF(IFERROR(ISNUMBER(SEARCH("/W",AD147)),FALSE),IF(IFERROR(ISNUMBER(SEARCH("-",AD147)),FALSE),LEFT(AD147,SEARCH("-",AD147)-1),AD147),AD147)))</f>
        <v>2026/W39</v>
      </c>
      <c r="AG147" s="2" t="str">
        <f>IF(AE147="","",IF(ISNUMBER(AE147),IF(AND(AE147&gt;='2026 Calendar'!$C$4,AE147&lt;='2026 Calendar'!$E$107),LOOKUP(AE147,'2026 Calendar'!$C$4:$C$107,'2026 Calendar'!$A$4:$A$107),YEAR(AE147-WEEKDAY(AE147,2)+4)&amp;"/W"&amp;TEXT(WEEKNUM(AE147,21),"00")),IF(IFERROR(ISNUMBER(SEARCH("/W",AE147)),FALSE),IF(IFERROR(ISNUMBER(SEARCH("-",AE147)),FALSE),MID(AE147,SEARCH("-",AE147)+1,100),AE147),AE147)))</f>
        <v>2026/W39</v>
      </c>
      <c r="AH147" s="2" t="s">
        <v>56</v>
      </c>
      <c r="AI147" s="278"/>
      <c r="AJ147" s="278">
        <v>46190</v>
      </c>
      <c r="AK147" s="2" t="s">
        <v>56</v>
      </c>
      <c r="AL147" s="278"/>
      <c r="AM147" s="278">
        <v>46190</v>
      </c>
      <c r="AN147" s="2" t="s">
        <v>73</v>
      </c>
      <c r="AO147" s="278"/>
      <c r="AP147" s="278"/>
      <c r="AQ147" s="2" t="s">
        <v>73</v>
      </c>
      <c r="AR147" s="278"/>
      <c r="AS147" s="278"/>
      <c r="AT147" s="2" t="s">
        <v>73</v>
      </c>
      <c r="AU147" s="278"/>
      <c r="AV147" s="278"/>
      <c r="AW147" s="2" t="s">
        <v>73</v>
      </c>
      <c r="AX147" s="278"/>
      <c r="AY147" s="278"/>
      <c r="AZ147" s="2" t="s">
        <v>73</v>
      </c>
      <c r="BA147" s="278"/>
      <c r="BB147" s="278"/>
      <c r="BC147" s="2" t="str">
        <f t="shared" si="24"/>
        <v>Complete</v>
      </c>
      <c r="BD147" s="2" t="s">
        <v>279</v>
      </c>
      <c r="BE147" s="119" t="str">
        <f t="shared" si="25"/>
        <v>READY</v>
      </c>
    </row>
    <row r="148" spans="1:58" x14ac:dyDescent="0.35">
      <c r="A148" s="2" t="str">
        <f>IFERROR(VLOOKUP(E148,'Customer '!$A$4:$D$23,3,FALSE),"")</f>
        <v>NON RH</v>
      </c>
      <c r="B148" s="2" t="s">
        <v>323</v>
      </c>
      <c r="C148" s="2" t="s">
        <v>329</v>
      </c>
      <c r="E148" s="2" t="s">
        <v>427</v>
      </c>
      <c r="F148" s="2" t="str">
        <f>IFERROR(VLOOKUP(E148,'Customer '!$A$4:$D$28,2,FALSE),"")</f>
        <v>BISCAYNE</v>
      </c>
      <c r="G148" s="2" t="s">
        <v>428</v>
      </c>
      <c r="H14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2026-BISCAYNE-PARK_AVENUE_HOTEL</v>
      </c>
      <c r="I148" s="2">
        <f ca="1">IF(OR($H148="",$B148=""),0,--(COUNTIFS($H$3:$H148,$H148,$B$3:$B148,$B148)=1))</f>
        <v>1</v>
      </c>
      <c r="J148" s="2" t="s">
        <v>309</v>
      </c>
      <c r="K148" s="2" t="s">
        <v>273</v>
      </c>
      <c r="L148" s="2" t="s">
        <v>301</v>
      </c>
      <c r="M148" s="278">
        <v>46172</v>
      </c>
      <c r="N148" s="278">
        <v>46177</v>
      </c>
      <c r="O148" s="279">
        <v>46199</v>
      </c>
      <c r="P148" s="2" t="s">
        <v>51</v>
      </c>
      <c r="Q148" s="2" t="s">
        <v>152</v>
      </c>
      <c r="R148" s="2">
        <v>0</v>
      </c>
      <c r="S148" s="2">
        <v>0</v>
      </c>
      <c r="V148" s="276">
        <v>3</v>
      </c>
      <c r="W148" s="276">
        <v>3</v>
      </c>
      <c r="X148" s="280">
        <v>2843.6000000000004</v>
      </c>
      <c r="Y148" s="280">
        <v>2843.6000000000004</v>
      </c>
      <c r="Z148" s="2" t="s">
        <v>297</v>
      </c>
      <c r="AA148" s="2" t="str">
        <f t="shared" si="19"/>
        <v>2026</v>
      </c>
      <c r="AB148" s="278">
        <v>46251</v>
      </c>
      <c r="AC148" s="278">
        <v>46255</v>
      </c>
      <c r="AD148" s="278">
        <v>46290</v>
      </c>
      <c r="AE148" s="278">
        <v>46290</v>
      </c>
      <c r="AF148" s="2" t="str">
        <f>IF(AD148="","",IF(ISNUMBER(AD148),IF(AND(AD148&gt;='2026 Calendar'!$C$4,AD148&lt;='2026 Calendar'!$E$107),LOOKUP(AD148,'2026 Calendar'!$C$4:$C$107,'2026 Calendar'!$A$4:$A$107),YEAR(AD148-WEEKDAY(AD148,2)+4)&amp;"/W"&amp;TEXT(WEEKNUM(AD148,21),"00")),IF(IFERROR(ISNUMBER(SEARCH("/W",AD148)),FALSE),IF(IFERROR(ISNUMBER(SEARCH("-",AD148)),FALSE),LEFT(AD148,SEARCH("-",AD148)-1),AD148),AD148)))</f>
        <v>2026/W39</v>
      </c>
      <c r="AG148" s="2" t="str">
        <f>IF(AE148="","",IF(ISNUMBER(AE148),IF(AND(AE148&gt;='2026 Calendar'!$C$4,AE148&lt;='2026 Calendar'!$E$107),LOOKUP(AE148,'2026 Calendar'!$C$4:$C$107,'2026 Calendar'!$A$4:$A$107),YEAR(AE148-WEEKDAY(AE148,2)+4)&amp;"/W"&amp;TEXT(WEEKNUM(AE148,21),"00")),IF(IFERROR(ISNUMBER(SEARCH("/W",AE148)),FALSE),IF(IFERROR(ISNUMBER(SEARCH("-",AE148)),FALSE),MID(AE148,SEARCH("-",AE148)+1,100),AE148),AE148)))</f>
        <v>2026/W39</v>
      </c>
      <c r="AH148" s="2" t="s">
        <v>56</v>
      </c>
      <c r="AI148" s="278"/>
      <c r="AJ148" s="278"/>
      <c r="AK148" s="2" t="s">
        <v>56</v>
      </c>
      <c r="AL148" s="278"/>
      <c r="AM148" s="278"/>
      <c r="AN148" s="2" t="s">
        <v>56</v>
      </c>
      <c r="AO148" s="278"/>
      <c r="AP148" s="278"/>
      <c r="AQ148" s="2" t="s">
        <v>56</v>
      </c>
      <c r="AR148" s="278"/>
      <c r="AS148" s="278"/>
      <c r="AT148" s="2" t="s">
        <v>73</v>
      </c>
      <c r="AU148" s="278"/>
      <c r="AV148" s="278"/>
      <c r="AW148" s="2" t="s">
        <v>73</v>
      </c>
      <c r="AX148" s="278"/>
      <c r="AY148" s="278"/>
      <c r="AZ148" s="2" t="s">
        <v>73</v>
      </c>
      <c r="BA148" s="278"/>
      <c r="BB148" s="278"/>
      <c r="BC148" s="2" t="str">
        <f t="shared" si="24"/>
        <v>Active</v>
      </c>
      <c r="BD148" s="2" t="s">
        <v>279</v>
      </c>
      <c r="BE148" s="119" t="str">
        <f t="shared" si="25"/>
        <v>NPD: All development items approved/closed for SW39</v>
      </c>
    </row>
    <row r="149" spans="1:58" x14ac:dyDescent="0.35">
      <c r="A149" s="2" t="str">
        <f>IFERROR(VLOOKUP(E149,'Customer '!$A$4:$D$23,3,FALSE),"")</f>
        <v>NON RH</v>
      </c>
      <c r="B149" s="2" t="s">
        <v>268</v>
      </c>
      <c r="C149" s="2" t="s">
        <v>329</v>
      </c>
      <c r="E149" s="2" t="s">
        <v>427</v>
      </c>
      <c r="F149" s="2" t="str">
        <f>IFERROR(VLOOKUP(E149,'Customer '!$A$4:$D$28,2,FALSE),"")</f>
        <v>BISCAYNE</v>
      </c>
      <c r="G149" s="2" t="s">
        <v>428</v>
      </c>
      <c r="H14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TBC-BISCAYNE-PARK_AVENUE_HOTEL</v>
      </c>
      <c r="I149" s="2">
        <f ca="1">IF(OR($H149="",$B149=""),0,--(COUNTIFS($H$3:$H149,$H149,$B$3:$B149,$B149)=1))</f>
        <v>1</v>
      </c>
      <c r="J149" s="2" t="s">
        <v>316</v>
      </c>
      <c r="K149" s="2" t="s">
        <v>273</v>
      </c>
      <c r="L149" s="2" t="s">
        <v>317</v>
      </c>
      <c r="M149" s="278"/>
      <c r="N149" s="278">
        <v>46177</v>
      </c>
      <c r="O149" s="279"/>
      <c r="P149" s="2" t="s">
        <v>51</v>
      </c>
      <c r="Q149" s="2" t="s">
        <v>152</v>
      </c>
      <c r="R149" s="2">
        <v>1</v>
      </c>
      <c r="S149" s="2">
        <v>1</v>
      </c>
      <c r="V149" s="276">
        <v>17</v>
      </c>
      <c r="X149" s="280">
        <v>780835.84000000008</v>
      </c>
      <c r="Y149" s="280">
        <v>780835.84000000008</v>
      </c>
      <c r="Z149" s="2" t="s">
        <v>149</v>
      </c>
      <c r="AA149" s="2" t="str">
        <f t="shared" ref="AA149:AA153" si="30">IF(Z149="","",IF(OR(Z149="TBC",Z149="Removed"),Z149,LEFT(Z149,4)))</f>
        <v>TBC</v>
      </c>
      <c r="AB149" s="278"/>
      <c r="AC149" s="278"/>
      <c r="AD149" s="277" t="s">
        <v>149</v>
      </c>
      <c r="AE149" s="278" t="s">
        <v>149</v>
      </c>
      <c r="AF149" s="2" t="str">
        <f>IF(AD149="","",IF(ISNUMBER(AD149),IF(AND(AD149&gt;='2026 Calendar'!$C$4,AD149&lt;='2026 Calendar'!$E$107),LOOKUP(AD149,'2026 Calendar'!$C$4:$C$107,'2026 Calendar'!$A$4:$A$107),YEAR(AD149-WEEKDAY(AD149,2)+4)&amp;"/W"&amp;TEXT(WEEKNUM(AD149,21),"00")),IF(IFERROR(ISNUMBER(SEARCH("/W",AD149)),FALSE),IF(IFERROR(ISNUMBER(SEARCH("-",AD149)),FALSE),LEFT(AD149,SEARCH("-",AD149)-1),AD149),AD149)))</f>
        <v>TBC</v>
      </c>
      <c r="AG149" s="2" t="str">
        <f>IF(AE149="","",IF(ISNUMBER(AE149),IF(AND(AE149&gt;='2026 Calendar'!$C$4,AE149&lt;='2026 Calendar'!$E$107),LOOKUP(AE149,'2026 Calendar'!$C$4:$C$107,'2026 Calendar'!$A$4:$A$107),YEAR(AE149-WEEKDAY(AE149,2)+4)&amp;"/W"&amp;TEXT(WEEKNUM(AE149,21),"00")),IF(IFERROR(ISNUMBER(SEARCH("/W",AE149)),FALSE),IF(IFERROR(ISNUMBER(SEARCH("-",AE149)),FALSE),MID(AE149,SEARCH("-",AE149)+1,100),AE149),AE149)))</f>
        <v>TBC</v>
      </c>
      <c r="AH149" s="2" t="s">
        <v>342</v>
      </c>
      <c r="AI149" s="278"/>
      <c r="AJ149" s="278"/>
      <c r="AK149" s="2" t="s">
        <v>287</v>
      </c>
      <c r="AL149" s="278"/>
      <c r="AM149" s="278"/>
      <c r="AN149" s="2" t="s">
        <v>342</v>
      </c>
      <c r="AO149" s="278"/>
      <c r="AP149" s="278"/>
      <c r="AQ149" s="2" t="s">
        <v>342</v>
      </c>
      <c r="AR149" s="278"/>
      <c r="AS149" s="278"/>
      <c r="AT149" s="2" t="s">
        <v>342</v>
      </c>
      <c r="AU149" s="278"/>
      <c r="AV149" s="278"/>
      <c r="AW149" s="2" t="s">
        <v>342</v>
      </c>
      <c r="AX149" s="278"/>
      <c r="AY149" s="278"/>
      <c r="AZ149" s="2" t="s">
        <v>342</v>
      </c>
      <c r="BA149" s="278"/>
      <c r="BB149" s="278"/>
      <c r="BC149" s="2" t="str">
        <f t="shared" si="24"/>
        <v>Active</v>
      </c>
      <c r="BD149" s="2" t="s">
        <v>279</v>
      </c>
      <c r="BE149" s="119" t="str">
        <f t="shared" si="25"/>
        <v>NPI: Not started: Veneer/Wood for SW TBC</v>
      </c>
    </row>
    <row r="150" spans="1:58" x14ac:dyDescent="0.35">
      <c r="A150" s="2" t="str">
        <f>IFERROR(VLOOKUP(E150,'Customer '!$A$4:$D$23,3,FALSE),"")</f>
        <v>RH</v>
      </c>
      <c r="B150" s="2" t="s">
        <v>268</v>
      </c>
      <c r="C150" s="2" t="s">
        <v>329</v>
      </c>
      <c r="D150" s="2" t="s">
        <v>312</v>
      </c>
      <c r="E150" s="2" t="s">
        <v>61</v>
      </c>
      <c r="F150" s="2" t="str">
        <f>IFERROR(VLOOKUP(E150,'Customer '!$A$4:$D$28,2,FALSE),"")</f>
        <v>RH</v>
      </c>
      <c r="G150" s="2" t="s">
        <v>429</v>
      </c>
      <c r="H15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2026-RH-CAUDWELL</v>
      </c>
      <c r="I150" s="2">
        <f ca="1">IF(OR($H150="",$B150=""),0,--(COUNTIFS($H$3:$H150,$H150,$B$3:$B150,$B150)=1))</f>
        <v>1</v>
      </c>
      <c r="J150" s="2" t="s">
        <v>272</v>
      </c>
      <c r="K150" s="2" t="s">
        <v>273</v>
      </c>
      <c r="L150" s="2" t="s">
        <v>274</v>
      </c>
      <c r="M150" s="278"/>
      <c r="N150" s="278">
        <v>46190</v>
      </c>
      <c r="O150" s="279"/>
      <c r="P150" s="2" t="s">
        <v>430</v>
      </c>
      <c r="V150" s="276">
        <v>1</v>
      </c>
      <c r="X150" s="280">
        <v>499.5</v>
      </c>
      <c r="Y150" s="280">
        <v>499.5</v>
      </c>
      <c r="Z150" s="2" t="s">
        <v>281</v>
      </c>
      <c r="AA150" s="2" t="str">
        <f t="shared" si="30"/>
        <v>2026</v>
      </c>
      <c r="AB150" s="278">
        <v>46217</v>
      </c>
      <c r="AC150" s="278">
        <v>46217</v>
      </c>
      <c r="AD150" s="277">
        <v>46228</v>
      </c>
      <c r="AE150" s="278">
        <v>46228</v>
      </c>
      <c r="AF150" s="2" t="str">
        <f>IF(AD150="","",IF(ISNUMBER(AD150),IF(AND(AD150&gt;='2026 Calendar'!$C$4,AD150&lt;='2026 Calendar'!$E$107),LOOKUP(AD150,'2026 Calendar'!$C$4:$C$107,'2026 Calendar'!$A$4:$A$107),YEAR(AD150-WEEKDAY(AD150,2)+4)&amp;"/W"&amp;TEXT(WEEKNUM(AD150,21),"00")),IF(IFERROR(ISNUMBER(SEARCH("/W",AD150)),FALSE),IF(IFERROR(ISNUMBER(SEARCH("-",AD150)),FALSE),LEFT(AD150,SEARCH("-",AD150)-1),AD150),AD150)))</f>
        <v>2026/W30</v>
      </c>
      <c r="AG150" s="2" t="str">
        <f>IF(AE150="","",IF(ISNUMBER(AE150),IF(AND(AE150&gt;='2026 Calendar'!$C$4,AE150&lt;='2026 Calendar'!$E$107),LOOKUP(AE150,'2026 Calendar'!$C$4:$C$107,'2026 Calendar'!$A$4:$A$107),YEAR(AE150-WEEKDAY(AE150,2)+4)&amp;"/W"&amp;TEXT(WEEKNUM(AE150,21),"00")),IF(IFERROR(ISNUMBER(SEARCH("/W",AE150)),FALSE),IF(IFERROR(ISNUMBER(SEARCH("-",AE150)),FALSE),MID(AE150,SEARCH("-",AE150)+1,100),AE150),AE150)))</f>
        <v>2026/W30</v>
      </c>
      <c r="AH150" s="2" t="s">
        <v>56</v>
      </c>
      <c r="AI150" s="278"/>
      <c r="AJ150" s="278">
        <v>46190</v>
      </c>
      <c r="AK150" s="2" t="s">
        <v>56</v>
      </c>
      <c r="AL150" s="278"/>
      <c r="AM150" s="278">
        <v>46190</v>
      </c>
      <c r="AN150" s="2" t="s">
        <v>56</v>
      </c>
      <c r="AO150" s="278"/>
      <c r="AP150" s="278"/>
      <c r="AQ150" s="2" t="s">
        <v>73</v>
      </c>
      <c r="AR150" s="278"/>
      <c r="AS150" s="278"/>
      <c r="AT150" s="2" t="s">
        <v>73</v>
      </c>
      <c r="AW150" s="2" t="s">
        <v>73</v>
      </c>
      <c r="AX150" s="278"/>
      <c r="AY150" s="278"/>
      <c r="AZ150" s="2" t="s">
        <v>57</v>
      </c>
      <c r="BA150" s="278"/>
      <c r="BB150" s="278">
        <v>46195</v>
      </c>
      <c r="BC150" s="2" t="str">
        <f t="shared" si="24"/>
        <v>Complete</v>
      </c>
      <c r="BD150" s="2" t="s">
        <v>279</v>
      </c>
      <c r="BE150" s="119" t="str">
        <f t="shared" si="25"/>
        <v>READY</v>
      </c>
    </row>
    <row r="151" spans="1:58" x14ac:dyDescent="0.35">
      <c r="A151" s="2" t="str">
        <f>IFERROR(VLOOKUP(E151,'Customer '!$A$4:$D$23,3,FALSE),"")</f>
        <v>RH</v>
      </c>
      <c r="B151" s="2" t="s">
        <v>268</v>
      </c>
      <c r="C151" s="2" t="s">
        <v>308</v>
      </c>
      <c r="D151" s="2" t="s">
        <v>270</v>
      </c>
      <c r="E151" s="2" t="s">
        <v>61</v>
      </c>
      <c r="F151" s="2" t="str">
        <f>IFERROR(VLOOKUP(E151,'Customer '!$A$4:$D$28,2,FALSE),"")</f>
        <v>RH</v>
      </c>
      <c r="G151" s="2" t="s">
        <v>431</v>
      </c>
      <c r="H15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2026-RH-FOUR SEASONS  DENVER</v>
      </c>
      <c r="I151" s="2">
        <f ca="1">IF(OR($H151="",$B151=""),0,--(COUNTIFS($H$3:$H151,$H151,$B$3:$B151,$B151)=1))</f>
        <v>1</v>
      </c>
      <c r="J151" s="2" t="s">
        <v>284</v>
      </c>
      <c r="K151" s="2" t="s">
        <v>273</v>
      </c>
      <c r="L151" s="2" t="s">
        <v>285</v>
      </c>
      <c r="M151" s="278">
        <v>46196</v>
      </c>
      <c r="N151" s="278" t="s">
        <v>1557</v>
      </c>
      <c r="O151" s="279"/>
      <c r="P151" s="2" t="s">
        <v>51</v>
      </c>
      <c r="Q151" s="2" t="s">
        <v>408</v>
      </c>
      <c r="R151" s="2">
        <v>2</v>
      </c>
      <c r="S151" s="2">
        <v>2</v>
      </c>
      <c r="T151" s="2">
        <v>2</v>
      </c>
      <c r="V151" s="276">
        <v>2</v>
      </c>
      <c r="W151" s="276">
        <v>2</v>
      </c>
      <c r="X151" s="280">
        <v>4003.5</v>
      </c>
      <c r="Y151" s="280">
        <v>4003.5</v>
      </c>
      <c r="Z151" s="2" t="s">
        <v>315</v>
      </c>
      <c r="AA151" s="2" t="str">
        <f t="shared" si="30"/>
        <v>2027</v>
      </c>
      <c r="AB151" s="278"/>
      <c r="AC151" s="278"/>
      <c r="AD151" s="277">
        <v>46402</v>
      </c>
      <c r="AE151" s="278">
        <v>46402</v>
      </c>
      <c r="AF151" s="2" t="str">
        <f>IF(AD151="","",IF(ISNUMBER(AD151),IF(AND(AD151&gt;='2026 Calendar'!$C$4,AD151&lt;='2026 Calendar'!$E$107),LOOKUP(AD151,'2026 Calendar'!$C$4:$C$107,'2026 Calendar'!$A$4:$A$107),YEAR(AD151-WEEKDAY(AD151,2)+4)&amp;"/W"&amp;TEXT(WEEKNUM(AD151,21),"00")),IF(IFERROR(ISNUMBER(SEARCH("/W",AD151)),FALSE),IF(IFERROR(ISNUMBER(SEARCH("-",AD151)),FALSE),LEFT(AD151,SEARCH("-",AD151)-1),AD151),AD151)))</f>
        <v>2027/W03</v>
      </c>
      <c r="AG151" s="2" t="str">
        <f>IF(AE151="","",IF(ISNUMBER(AE151),IF(AND(AE151&gt;='2026 Calendar'!$C$4,AE151&lt;='2026 Calendar'!$E$107),LOOKUP(AE151,'2026 Calendar'!$C$4:$C$107,'2026 Calendar'!$A$4:$A$107),YEAR(AE151-WEEKDAY(AE151,2)+4)&amp;"/W"&amp;TEXT(WEEKNUM(AE151,21),"00")),IF(IFERROR(ISNUMBER(SEARCH("/W",AE151)),FALSE),IF(IFERROR(ISNUMBER(SEARCH("-",AE151)),FALSE),MID(AE151,SEARCH("-",AE151)+1,100),AE151),AE151)))</f>
        <v>2027/W03</v>
      </c>
      <c r="AH151" s="2" t="s">
        <v>318</v>
      </c>
      <c r="AI151" s="278"/>
      <c r="AJ151" s="278"/>
      <c r="AK151" s="2" t="s">
        <v>318</v>
      </c>
      <c r="AL151" s="278"/>
      <c r="AM151" s="278"/>
      <c r="AN151" s="2" t="s">
        <v>318</v>
      </c>
      <c r="AO151" s="278"/>
      <c r="AP151" s="278"/>
      <c r="AQ151" s="2" t="s">
        <v>73</v>
      </c>
      <c r="AR151" s="278"/>
      <c r="AS151" s="278"/>
      <c r="AT151" s="2" t="s">
        <v>73</v>
      </c>
      <c r="AU151" s="278"/>
      <c r="AV151" s="278"/>
      <c r="AW151" s="2" t="s">
        <v>73</v>
      </c>
      <c r="AX151" s="278"/>
      <c r="AY151" s="278"/>
      <c r="AZ151" s="2" t="s">
        <v>73</v>
      </c>
      <c r="BA151" s="278"/>
      <c r="BB151" s="278"/>
      <c r="BC151" s="2" t="str">
        <f t="shared" si="24"/>
        <v>Active</v>
      </c>
      <c r="BD151" s="2" t="s">
        <v>279</v>
      </c>
      <c r="BE151" s="119" t="str">
        <f t="shared" si="25"/>
        <v>NPI: Pending approval: Drawing, Veneer/Wood, Marble for SW03</v>
      </c>
      <c r="BF151" s="2" t="s">
        <v>1597</v>
      </c>
    </row>
    <row r="152" spans="1:58" x14ac:dyDescent="0.35">
      <c r="A152" s="2" t="s">
        <v>59</v>
      </c>
      <c r="B152" s="2" t="s">
        <v>323</v>
      </c>
      <c r="C152" s="2" t="s">
        <v>308</v>
      </c>
      <c r="E152" s="2" t="s">
        <v>61</v>
      </c>
      <c r="F152" s="2" t="str">
        <f>IFERROR(VLOOKUP(E152,'Customer '!$A$4:$D$28,2,FALSE),"")</f>
        <v>RH</v>
      </c>
      <c r="G152" s="2" t="s">
        <v>432</v>
      </c>
      <c r="H15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2026-RH-MUNISH</v>
      </c>
      <c r="I152" s="2">
        <f ca="1">IF(OR($H152="",$B152=""),0,--(COUNTIFS($H$3:$H152,$H152,$B$3:$B152,$B152)=1))</f>
        <v>1</v>
      </c>
      <c r="J152" s="2" t="s">
        <v>396</v>
      </c>
      <c r="K152" s="2" t="s">
        <v>273</v>
      </c>
      <c r="L152" s="2" t="s">
        <v>285</v>
      </c>
      <c r="M152" s="278">
        <v>46199</v>
      </c>
      <c r="N152" s="278"/>
      <c r="O152" s="279"/>
      <c r="V152" s="276">
        <v>1</v>
      </c>
      <c r="X152" s="280"/>
      <c r="Y152" s="280"/>
      <c r="AA152" s="2" t="str">
        <f t="shared" si="30"/>
        <v/>
      </c>
      <c r="AB152" s="278"/>
      <c r="AC152" s="278"/>
      <c r="AE152" s="278"/>
      <c r="AF152" s="2" t="str">
        <f>IF(AD152="","",IF(ISNUMBER(AD152),IF(AND(AD152&gt;='2026 Calendar'!$C$4,AD152&lt;='2026 Calendar'!$E$107),LOOKUP(AD152,'2026 Calendar'!$C$4:$C$107,'2026 Calendar'!$A$4:$A$107),YEAR(AD152-WEEKDAY(AD152,2)+4)&amp;"/W"&amp;TEXT(WEEKNUM(AD152,21),"00")),IF(IFERROR(ISNUMBER(SEARCH("/W",AD152)),FALSE),IF(IFERROR(ISNUMBER(SEARCH("-",AD152)),FALSE),LEFT(AD152,SEARCH("-",AD152)-1),AD152),AD152)))</f>
        <v/>
      </c>
      <c r="AG152" s="2" t="str">
        <f>IF(AE152="","",IF(ISNUMBER(AE152),IF(AND(AE152&gt;='2026 Calendar'!$C$4,AE152&lt;='2026 Calendar'!$E$107),LOOKUP(AE152,'2026 Calendar'!$C$4:$C$107,'2026 Calendar'!$A$4:$A$107),YEAR(AE152-WEEKDAY(AE152,2)+4)&amp;"/W"&amp;TEXT(WEEKNUM(AE152,21),"00")),IF(IFERROR(ISNUMBER(SEARCH("/W",AE152)),FALSE),IF(IFERROR(ISNUMBER(SEARCH("-",AE152)),FALSE),MID(AE152,SEARCH("-",AE152)+1,100),AE152),AE152)))</f>
        <v/>
      </c>
      <c r="AH152" s="2" t="s">
        <v>304</v>
      </c>
      <c r="AI152" s="278"/>
      <c r="AJ152" s="278"/>
      <c r="AK152" s="2" t="s">
        <v>304</v>
      </c>
      <c r="AL152" s="278"/>
      <c r="AM152" s="278"/>
      <c r="AN152" s="2" t="s">
        <v>73</v>
      </c>
      <c r="AO152" s="278"/>
      <c r="AP152" s="278"/>
      <c r="AQ152" s="2" t="s">
        <v>73</v>
      </c>
      <c r="AR152" s="278"/>
      <c r="AS152" s="278"/>
      <c r="AT152" s="2" t="s">
        <v>73</v>
      </c>
      <c r="AU152" s="278"/>
      <c r="AV152" s="278"/>
      <c r="AW152" s="2" t="s">
        <v>73</v>
      </c>
      <c r="AX152" s="278"/>
      <c r="AY152" s="278"/>
      <c r="AZ152" s="2" t="s">
        <v>73</v>
      </c>
      <c r="BA152" s="278"/>
      <c r="BB152" s="278"/>
      <c r="BC152" s="2" t="str">
        <f t="shared" si="24"/>
        <v>Complete</v>
      </c>
      <c r="BD152" s="2" t="s">
        <v>279</v>
      </c>
      <c r="BE152" s="119" t="str">
        <f t="shared" si="25"/>
        <v>NPD: In progress: Drawing, Veneer/Wood</v>
      </c>
    </row>
    <row r="153" spans="1:58" x14ac:dyDescent="0.35">
      <c r="A153" s="2" t="s">
        <v>59</v>
      </c>
      <c r="B153" s="2" t="s">
        <v>268</v>
      </c>
      <c r="C153" s="2" t="s">
        <v>308</v>
      </c>
      <c r="D153" s="2" t="s">
        <v>412</v>
      </c>
      <c r="E153" s="2" t="s">
        <v>61</v>
      </c>
      <c r="F153" s="2" t="str">
        <f>IFERROR(VLOOKUP(E153,'Customer '!$A$4:$D$28,2,FALSE),"")</f>
        <v>RH</v>
      </c>
      <c r="G153" s="2" t="s">
        <v>433</v>
      </c>
      <c r="H15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2026-RH-MAUNA LANI</v>
      </c>
      <c r="I153" s="2">
        <f ca="1">IF(OR($H153="",$B153=""),0,--(COUNTIFS($H$3:$H153,$H153,$B$3:$B153,$B153)=1))</f>
        <v>1</v>
      </c>
      <c r="J153" s="2" t="s">
        <v>309</v>
      </c>
      <c r="K153" s="2" t="s">
        <v>291</v>
      </c>
      <c r="L153" s="2" t="s">
        <v>310</v>
      </c>
      <c r="M153" s="278">
        <v>46182</v>
      </c>
      <c r="N153" s="278">
        <v>46245</v>
      </c>
      <c r="O153" s="279"/>
      <c r="P153" s="2" t="s">
        <v>51</v>
      </c>
      <c r="Q153" s="2" t="s">
        <v>346</v>
      </c>
      <c r="R153" s="2">
        <v>0</v>
      </c>
      <c r="S153" s="2">
        <v>0</v>
      </c>
      <c r="V153" s="276">
        <v>2</v>
      </c>
      <c r="W153" s="276">
        <v>10</v>
      </c>
      <c r="X153" s="280">
        <v>3240</v>
      </c>
      <c r="Y153" s="280">
        <v>3240</v>
      </c>
      <c r="Z153" s="2" t="s">
        <v>315</v>
      </c>
      <c r="AA153" s="2" t="str">
        <f t="shared" si="30"/>
        <v>2027</v>
      </c>
      <c r="AB153" s="278"/>
      <c r="AC153" s="278"/>
      <c r="AD153" s="277">
        <v>46030</v>
      </c>
      <c r="AE153" s="277">
        <v>46030</v>
      </c>
      <c r="AF153" s="2" t="str">
        <f>IF(AD153="","",IF(ISNUMBER(AD153),IF(AND(AD153&gt;='2026 Calendar'!$C$4,AD153&lt;='2026 Calendar'!$E$107),LOOKUP(AD153,'2026 Calendar'!$C$4:$C$107,'2026 Calendar'!$A$4:$A$107),YEAR(AD153-WEEKDAY(AD153,2)+4)&amp;"/W"&amp;TEXT(WEEKNUM(AD153,21),"00")),IF(IFERROR(ISNUMBER(SEARCH("/W",AD153)),FALSE),IF(IFERROR(ISNUMBER(SEARCH("-",AD153)),FALSE),LEFT(AD153,SEARCH("-",AD153)-1),AD153),AD153)))</f>
        <v>2026/W02</v>
      </c>
      <c r="AG153" s="2" t="str">
        <f>IF(AE153="","",IF(ISNUMBER(AE153),IF(AND(AE153&gt;='2026 Calendar'!$C$4,AE153&lt;='2026 Calendar'!$E$107),LOOKUP(AE153,'2026 Calendar'!$C$4:$C$107,'2026 Calendar'!$A$4:$A$107),YEAR(AE153-WEEKDAY(AE153,2)+4)&amp;"/W"&amp;TEXT(WEEKNUM(AE153,21),"00")),IF(IFERROR(ISNUMBER(SEARCH("/W",AE153)),FALSE),IF(IFERROR(ISNUMBER(SEARCH("-",AE153)),FALSE),MID(AE153,SEARCH("-",AE153)+1,100),AE153),AE153)))</f>
        <v>2026/W02</v>
      </c>
      <c r="AH153" s="2" t="s">
        <v>56</v>
      </c>
      <c r="AI153" s="278"/>
      <c r="AJ153" s="278">
        <v>46255</v>
      </c>
      <c r="AK153" s="2" t="s">
        <v>56</v>
      </c>
      <c r="AL153" s="278"/>
      <c r="AM153" s="278">
        <v>46255</v>
      </c>
      <c r="AN153" s="2" t="s">
        <v>73</v>
      </c>
      <c r="AO153" s="278"/>
      <c r="AP153" s="278"/>
      <c r="AQ153" s="2" t="s">
        <v>56</v>
      </c>
      <c r="AR153" s="278"/>
      <c r="AS153" s="278">
        <v>46255</v>
      </c>
      <c r="AT153" s="2" t="s">
        <v>73</v>
      </c>
      <c r="AU153" s="278"/>
      <c r="AV153" s="278"/>
      <c r="AW153" s="2" t="s">
        <v>73</v>
      </c>
      <c r="AX153" s="278"/>
      <c r="AY153" s="278"/>
      <c r="AZ153" s="2" t="s">
        <v>73</v>
      </c>
      <c r="BA153" s="278"/>
      <c r="BB153" s="278"/>
      <c r="BC153" s="2" t="str">
        <f t="shared" si="24"/>
        <v>Active</v>
      </c>
      <c r="BD153" s="2" t="s">
        <v>279</v>
      </c>
      <c r="BE153" s="119" t="str">
        <f t="shared" si="25"/>
        <v>NPI: All development items approved/closed for SW02</v>
      </c>
    </row>
    <row r="154" spans="1:58" x14ac:dyDescent="0.35">
      <c r="A154" s="2" t="str">
        <f>IFERROR(VLOOKUP(E154,'Customer '!$A$4:$D$23,3,FALSE),"")</f>
        <v>RH</v>
      </c>
      <c r="B154" s="2" t="s">
        <v>268</v>
      </c>
      <c r="C154" s="2" t="s">
        <v>329</v>
      </c>
      <c r="D154" s="2" t="s">
        <v>312</v>
      </c>
      <c r="E154" s="2" t="s">
        <v>61</v>
      </c>
      <c r="F154" s="2" t="str">
        <f>IFERROR(VLOOKUP(E154,'Customer '!$A$4:$D$28,2,FALSE),"")</f>
        <v>RH</v>
      </c>
      <c r="G154" s="2" t="s">
        <v>434</v>
      </c>
      <c r="H15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2026-RH-GOLDEN PEAK</v>
      </c>
      <c r="I154" s="2">
        <f ca="1">IF(OR($H154="",$B154=""),0,--(COUNTIFS($H$3:$H154,$H154,$B$3:$B154,$B154)=1))</f>
        <v>1</v>
      </c>
      <c r="J154" s="2" t="s">
        <v>272</v>
      </c>
      <c r="K154" s="2" t="s">
        <v>273</v>
      </c>
      <c r="L154" s="2" t="s">
        <v>274</v>
      </c>
      <c r="M154" s="283"/>
      <c r="N154" s="283">
        <v>46196</v>
      </c>
      <c r="O154" s="284"/>
      <c r="V154" s="276">
        <v>1</v>
      </c>
      <c r="X154" s="280">
        <v>1466</v>
      </c>
      <c r="Y154" s="280">
        <v>1466</v>
      </c>
      <c r="Z154" s="2" t="s">
        <v>281</v>
      </c>
      <c r="AA154" s="2" t="str">
        <f t="shared" ref="AA154:AA204" si="31">IF(Z154="","",IF(OR(Z154="TBC",Z154="Removed"),Z154,LEFT(Z154,4)))</f>
        <v>2026</v>
      </c>
      <c r="AB154" s="283">
        <v>46223</v>
      </c>
      <c r="AC154" s="283">
        <v>46228</v>
      </c>
      <c r="AD154" s="277">
        <v>46230</v>
      </c>
      <c r="AE154" s="283">
        <v>46235</v>
      </c>
      <c r="AF154" s="2" t="str">
        <f>IF(AD154="","",IF(ISNUMBER(AD154),IF(AND(AD154&gt;='2026 Calendar'!$C$4,AD154&lt;='2026 Calendar'!$E$107),LOOKUP(AD154,'2026 Calendar'!$C$4:$C$107,'2026 Calendar'!$A$4:$A$107),YEAR(AD154-WEEKDAY(AD154,2)+4)&amp;"/W"&amp;TEXT(WEEKNUM(AD154,21),"00")),IF(IFERROR(ISNUMBER(SEARCH("/W",AD154)),FALSE),IF(IFERROR(ISNUMBER(SEARCH("-",AD154)),FALSE),LEFT(AD154,SEARCH("-",AD154)-1),AD154),AD154)))</f>
        <v>2026/W31</v>
      </c>
      <c r="AG154" s="2" t="str">
        <f>IF(AE154="","",IF(ISNUMBER(AE154),IF(AND(AE154&gt;='2026 Calendar'!$C$4,AE154&lt;='2026 Calendar'!$E$107),LOOKUP(AE154,'2026 Calendar'!$C$4:$C$107,'2026 Calendar'!$A$4:$A$107),YEAR(AE154-WEEKDAY(AE154,2)+4)&amp;"/W"&amp;TEXT(WEEKNUM(AE154,21),"00")),IF(IFERROR(ISNUMBER(SEARCH("/W",AE154)),FALSE),IF(IFERROR(ISNUMBER(SEARCH("-",AE154)),FALSE),MID(AE154,SEARCH("-",AE154)+1,100),AE154),AE154)))</f>
        <v>2026/W31</v>
      </c>
      <c r="AH154" s="2" t="s">
        <v>56</v>
      </c>
      <c r="AI154" s="278"/>
      <c r="AJ154" s="278">
        <v>46198</v>
      </c>
      <c r="AK154" s="2" t="s">
        <v>56</v>
      </c>
      <c r="AL154" s="278"/>
      <c r="AM154" s="278">
        <v>46198</v>
      </c>
      <c r="AN154" s="2" t="s">
        <v>56</v>
      </c>
      <c r="AO154" s="283"/>
      <c r="AP154" s="283"/>
      <c r="AQ154" s="2" t="s">
        <v>73</v>
      </c>
      <c r="AR154" s="283"/>
      <c r="AS154" s="283"/>
      <c r="AT154" s="2" t="s">
        <v>73</v>
      </c>
      <c r="AW154" s="2" t="s">
        <v>73</v>
      </c>
      <c r="AX154" s="283"/>
      <c r="AY154" s="283"/>
      <c r="AZ154" s="2" t="s">
        <v>73</v>
      </c>
      <c r="BA154" s="283"/>
      <c r="BB154" s="283" t="s">
        <v>92</v>
      </c>
      <c r="BC154" s="2" t="str">
        <f t="shared" ref="BC154:BC185" si="32">IF(J154="","",IF(OR(J154="OB",J154="NOR",J154="FC",J154="PIPELINE"),"Active","Complete"))</f>
        <v>Complete</v>
      </c>
      <c r="BD154" s="2" t="s">
        <v>279</v>
      </c>
      <c r="BE154" s="119" t="str">
        <f t="shared" ref="BE154:BE172" si="33">IF(UPPER(TRIM(J154))="SHIPPED","READY",_xlfn.LET(_xlpm.stage,IF(B154="","",B154&amp;": "),_xlpm.ip,_xlfn.TEXTJOIN(", ",TRUE,IF(LOWER(AH154)="in progress","Drawing",""),IF(LOWER(AK154)="in progress","Veneer/Wood",""),IF(LOWER(AN154)="in progress","Marble",""),IF(LOWER(AQ154)="in progress","Metal",""),IF(LOWER(AT154)="in progress","Mirror",""),IF(LOWER(AW154)="in progress","Electrical",""),IF(LOWER(AZ154)="in progress","Fabric","")),_xlpm.pa,_xlfn.TEXTJOIN(", ",TRUE,IF(LOWER(AH154)="pending approval","Drawing",""),IF(LOWER(AK154)="pending approval","Veneer/Wood",""),IF(LOWER(AN154)="pending approval","Marble",""),IF(LOWER(AQ154)="pending approval","Metal",""),IF(LOWER(AT154)="pending approval","Mirror",""),IF(LOWER(AW154)="pending approval","Electrical",""),IF(LOWER(AZ154)="pending approval","Fabric","")),_xlpm.ns,_xlfn.TEXTJOIN(", ",TRUE,IF(LOWER(AH154)="not started","Drawing",""),IF(LOWER(AK154)="not started","Veneer/Wood",""),IF(LOWER(AN154)="not started","Marble",""),IF(LOWER(AQ154)="not started","Metal",""),IF(LOWER(AT154)="not started","Mirror",""),IF(LOWER(AW154)="not started","Electrical",""),IF(LOWER(AZ154)="not started","Fabric","")),_xlpm.fab,IF(OR(LOWER(AZ154)="com",LOWER(AZ154)="com pending",LOWER(AZ154)="com received"),"Fabric is "&amp;LOWER(AZ154),""),_xlpm.parts,_xlfn.TEXTJOIN("; ",TRUE,IF(_xlpm.ip&lt;&gt;"","In progress: "&amp;_xlpm.ip,""),IF(_xlpm.pa&lt;&gt;"","Pending approval: "&amp;_xlpm.pa,""),IF(_xlpm.ns&lt;&gt;"","Not started: "&amp;_xlpm.ns,""),_xlpm.fab),_xlpm.deadline,MIN(IF(AND(AH154&lt;&gt;"",LOWER(AH154)&lt;&gt;"approved",LOWER(AH154)&lt;&gt;"n/a",ISNUMBER(AI154)),AI154,1E+99),IF(AND(AK154&lt;&gt;"",LOWER(AK154)&lt;&gt;"approved",LOWER(AK154)&lt;&gt;"n/a",ISNUMBER(AL154)),AL154,1E+99),IF(AND(AN154&lt;&gt;"",LOWER(AN154)&lt;&gt;"approved",LOWER(AN154)&lt;&gt;"n/a",ISNUMBER(AO154)),AO154,1E+99),IF(AND(AQ154&lt;&gt;"",LOWER(AQ154)&lt;&gt;"approved",LOWER(AQ154)&lt;&gt;"n/a",ISNUMBER(AR154)),AR154,1E+99),IF(AND(AT154&lt;&gt;"",LOWER(AT154)&lt;&gt;"approved",LOWER(AT154)&lt;&gt;"n/a",ISNUMBER(AU154)),AU154,1E+99),IF(AND(AW154&lt;&gt;"",LOWER(AW154)&lt;&gt;"approved",LOWER(AW154)&lt;&gt;"n/a",ISNUMBER(AX154)),AX154,1E+99),IF(AND(AZ154&lt;&gt;"",LOWER(AZ154)&lt;&gt;"approved",LOWER(AZ154)&lt;&gt;"n/a",ISNUMBER(BA154)),BA154,1E+99)),_xlpm.sw,IF(AG154="","",IFERROR("SW"&amp;MID(AG154,FIND("/W",AG154)+2,99),"SW "&amp;AG154)),_xlpm.stage&amp;IF(_xlpm.parts="","All development items approved/closed",_xlpm.parts)&amp;IF(AND(_xlpm.parts&lt;&gt;"",_xlpm.deadline&lt;1E+99),"; need approval by "&amp;TEXT(_xlpm.deadline,"d-mmm-yy"),"")&amp;IF(_xlpm.sw&lt;&gt;""," for "&amp;_xlpm.sw,"")))</f>
        <v>READY</v>
      </c>
    </row>
    <row r="155" spans="1:58" ht="29" x14ac:dyDescent="0.35">
      <c r="A155" s="2" t="str">
        <f>IFERROR(VLOOKUP(E155,'Customer '!$A$4:$D$23,3,FALSE),"")</f>
        <v>RH</v>
      </c>
      <c r="B155" s="2" t="s">
        <v>268</v>
      </c>
      <c r="C155" s="2" t="s">
        <v>308</v>
      </c>
      <c r="D155" s="2" t="s">
        <v>405</v>
      </c>
      <c r="E155" s="2" t="s">
        <v>61</v>
      </c>
      <c r="F155" s="2" t="str">
        <f>IFERROR(VLOOKUP(E155,'Customer '!$A$4:$D$28,2,FALSE),"")</f>
        <v>RH</v>
      </c>
      <c r="G155" s="2" t="s">
        <v>435</v>
      </c>
      <c r="H15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2026-RH-CUSTOM BEDS FOR EU</v>
      </c>
      <c r="I155" s="2">
        <f ca="1">IF(OR($H155="",$B155=""),0,--(COUNTIFS($H$3:$H155,$H155,$B$3:$B155,$B155)=1))</f>
        <v>1</v>
      </c>
      <c r="J155" s="2" t="s">
        <v>284</v>
      </c>
      <c r="K155" s="2" t="s">
        <v>273</v>
      </c>
      <c r="L155" s="2" t="s">
        <v>317</v>
      </c>
      <c r="M155" s="283">
        <v>46212</v>
      </c>
      <c r="N155" s="283" t="s">
        <v>1557</v>
      </c>
      <c r="O155" s="284"/>
      <c r="P155" s="2" t="s">
        <v>436</v>
      </c>
      <c r="R155" s="2">
        <v>2</v>
      </c>
      <c r="S155" s="2">
        <v>8</v>
      </c>
      <c r="V155" s="276">
        <v>2</v>
      </c>
      <c r="W155" s="276">
        <v>8</v>
      </c>
      <c r="X155" s="280">
        <v>8455.52</v>
      </c>
      <c r="Y155" s="280">
        <v>8455.52</v>
      </c>
      <c r="Z155" s="2" t="s">
        <v>315</v>
      </c>
      <c r="AA155" s="2" t="str">
        <f t="shared" si="31"/>
        <v>2027</v>
      </c>
      <c r="AB155" s="283"/>
      <c r="AC155" s="283"/>
      <c r="AD155" s="277">
        <v>46395</v>
      </c>
      <c r="AE155" s="283">
        <v>46395</v>
      </c>
      <c r="AF155" s="2" t="str">
        <f>IF(AD155="","",IF(ISNUMBER(AD155),IF(AND(AD155&gt;='2026 Calendar'!$C$4,AD155&lt;='2026 Calendar'!$E$107),LOOKUP(AD155,'2026 Calendar'!$C$4:$C$107,'2026 Calendar'!$A$4:$A$107),YEAR(AD155-WEEKDAY(AD155,2)+4)&amp;"/W"&amp;TEXT(WEEKNUM(AD155,21),"00")),IF(IFERROR(ISNUMBER(SEARCH("/W",AD155)),FALSE),IF(IFERROR(ISNUMBER(SEARCH("-",AD155)),FALSE),LEFT(AD155,SEARCH("-",AD155)-1),AD155),AD155)))</f>
        <v>2027/W02</v>
      </c>
      <c r="AG155" s="2" t="str">
        <f>IF(AE155="","",IF(ISNUMBER(AE155),IF(AND(AE155&gt;='2026 Calendar'!$C$4,AE155&lt;='2026 Calendar'!$E$107),LOOKUP(AE155,'2026 Calendar'!$C$4:$C$107,'2026 Calendar'!$A$4:$A$107),YEAR(AE155-WEEKDAY(AE155,2)+4)&amp;"/W"&amp;TEXT(WEEKNUM(AE155,21),"00")),IF(IFERROR(ISNUMBER(SEARCH("/W",AE155)),FALSE),IF(IFERROR(ISNUMBER(SEARCH("-",AE155)),FALSE),MID(AE155,SEARCH("-",AE155)+1,100),AE155),AE155)))</f>
        <v>2027/W02</v>
      </c>
      <c r="AH155" s="2" t="s">
        <v>318</v>
      </c>
      <c r="AI155" s="283">
        <v>46297</v>
      </c>
      <c r="AJ155" s="283"/>
      <c r="AK155" s="2" t="s">
        <v>304</v>
      </c>
      <c r="AL155" s="283">
        <v>46297</v>
      </c>
      <c r="AM155" s="283"/>
      <c r="AN155" s="2" t="s">
        <v>73</v>
      </c>
      <c r="AO155" s="283"/>
      <c r="AP155" s="283"/>
      <c r="AQ155" s="2" t="s">
        <v>73</v>
      </c>
      <c r="AR155" s="283"/>
      <c r="AS155" s="283"/>
      <c r="AT155" s="2" t="s">
        <v>73</v>
      </c>
      <c r="AU155" s="283"/>
      <c r="AV155" s="283"/>
      <c r="AW155" s="2" t="s">
        <v>73</v>
      </c>
      <c r="AX155" s="283"/>
      <c r="AY155" s="283"/>
      <c r="AZ155" s="2" t="s">
        <v>304</v>
      </c>
      <c r="BA155" s="283">
        <v>46297</v>
      </c>
      <c r="BB155" s="283"/>
      <c r="BC155" s="2" t="str">
        <f t="shared" si="32"/>
        <v>Active</v>
      </c>
      <c r="BD155" s="2" t="s">
        <v>279</v>
      </c>
      <c r="BE155" s="119" t="str">
        <f t="shared" si="33"/>
        <v>NPI: In progress: Veneer/Wood, Fabric; Pending approval: Drawing; need approval by 2-Oct-26 for SW02</v>
      </c>
      <c r="BF155" s="2" t="s">
        <v>1597</v>
      </c>
    </row>
    <row r="156" spans="1:58" x14ac:dyDescent="0.35">
      <c r="A156" s="2" t="str">
        <f>IFERROR(VLOOKUP(E156,'Customer '!$A$4:$D$24,3,FALSE),"")</f>
        <v>NON RH</v>
      </c>
      <c r="B156" s="2" t="s">
        <v>323</v>
      </c>
      <c r="C156" s="2" t="s">
        <v>324</v>
      </c>
      <c r="E156" s="2" t="s">
        <v>437</v>
      </c>
      <c r="F156" s="2" t="str">
        <f>IFERROR(VLOOKUP(E156,'Customer '!$A$4:$D$28,2,FALSE),"")</f>
        <v xml:space="preserve">BWG </v>
      </c>
      <c r="G156" s="2" t="s">
        <v>438</v>
      </c>
      <c r="H15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2026-BWG -MUSE POINT APARTMENT</v>
      </c>
      <c r="I156" s="2">
        <f ca="1">IF(OR($H156="",$B156=""),0,--(COUNTIFS($H$3:$H156,$H156,$B$3:$B156,$B156)=1))</f>
        <v>1</v>
      </c>
      <c r="J156" s="2" t="s">
        <v>272</v>
      </c>
      <c r="K156" s="2" t="s">
        <v>273</v>
      </c>
      <c r="L156" s="2" t="s">
        <v>372</v>
      </c>
      <c r="M156" s="283">
        <v>46216</v>
      </c>
      <c r="N156" s="283"/>
      <c r="O156" s="284"/>
      <c r="P156" s="2" t="s">
        <v>439</v>
      </c>
      <c r="Q156" s="2" t="s">
        <v>439</v>
      </c>
      <c r="R156" s="2">
        <v>0</v>
      </c>
      <c r="S156" s="2">
        <v>0</v>
      </c>
      <c r="V156" s="276">
        <v>9</v>
      </c>
      <c r="W156" s="276">
        <v>19</v>
      </c>
      <c r="X156" s="280">
        <v>0</v>
      </c>
      <c r="Y156" s="280">
        <v>0</v>
      </c>
      <c r="Z156" s="2" t="s">
        <v>297</v>
      </c>
      <c r="AA156" s="2" t="str">
        <f t="shared" si="31"/>
        <v>2026</v>
      </c>
      <c r="AB156" s="283"/>
      <c r="AC156" s="283"/>
      <c r="AD156" s="277">
        <v>46283</v>
      </c>
      <c r="AE156" s="283">
        <v>46283</v>
      </c>
      <c r="AF156" s="2" t="str">
        <f>IF(AD156="","",IF(ISNUMBER(AD156),IF(AND(AD156&gt;='2026 Calendar'!$C$4,AD156&lt;='2026 Calendar'!$E$107),LOOKUP(AD156,'2026 Calendar'!$C$4:$C$107,'2026 Calendar'!$A$4:$A$107),YEAR(AD156-WEEKDAY(AD156,2)+4)&amp;"/W"&amp;TEXT(WEEKNUM(AD156,21),"00")),IF(IFERROR(ISNUMBER(SEARCH("/W",AD156)),FALSE),IF(IFERROR(ISNUMBER(SEARCH("-",AD156)),FALSE),LEFT(AD156,SEARCH("-",AD156)-1),AD156),AD156)))</f>
        <v>2026/W38</v>
      </c>
      <c r="AG156" s="2" t="str">
        <f>IF(AE156="","",IF(ISNUMBER(AE156),IF(AND(AE156&gt;='2026 Calendar'!$C$4,AE156&lt;='2026 Calendar'!$E$107),LOOKUP(AE156,'2026 Calendar'!$C$4:$C$107,'2026 Calendar'!$A$4:$A$107),YEAR(AE156-WEEKDAY(AE156,2)+4)&amp;"/W"&amp;TEXT(WEEKNUM(AE156,21),"00")),IF(IFERROR(ISNUMBER(SEARCH("/W",AE156)),FALSE),IF(IFERROR(ISNUMBER(SEARCH("-",AE156)),FALSE),MID(AE156,SEARCH("-",AE156)+1,100),AE156),AE156)))</f>
        <v>2026/W38</v>
      </c>
      <c r="AH156" s="2" t="s">
        <v>56</v>
      </c>
      <c r="AI156" s="283"/>
      <c r="AJ156" s="283"/>
      <c r="AK156" s="2" t="s">
        <v>56</v>
      </c>
      <c r="AL156" s="283"/>
      <c r="AM156" s="283"/>
      <c r="AN156" s="2" t="s">
        <v>73</v>
      </c>
      <c r="AO156" s="283"/>
      <c r="AP156" s="283"/>
      <c r="AQ156" s="2" t="s">
        <v>56</v>
      </c>
      <c r="AR156" s="283"/>
      <c r="AS156" s="283"/>
      <c r="AT156" s="2" t="s">
        <v>73</v>
      </c>
      <c r="AU156" s="283"/>
      <c r="AV156" s="283"/>
      <c r="AW156" s="2" t="s">
        <v>73</v>
      </c>
      <c r="AX156" s="283"/>
      <c r="AY156" s="283"/>
      <c r="AZ156" s="2" t="s">
        <v>73</v>
      </c>
      <c r="BA156" s="283"/>
      <c r="BB156" s="283"/>
      <c r="BC156" s="2" t="str">
        <f t="shared" si="32"/>
        <v>Complete</v>
      </c>
      <c r="BE156" s="119" t="str">
        <f t="shared" si="33"/>
        <v>READY</v>
      </c>
    </row>
    <row r="157" spans="1:58" x14ac:dyDescent="0.35">
      <c r="A157" s="2" t="str">
        <f>IFERROR(VLOOKUP(E157,'Customer '!$A$4:$D$23,3,FALSE),"")</f>
        <v>RH</v>
      </c>
      <c r="B157" s="2" t="s">
        <v>323</v>
      </c>
      <c r="C157" s="2" t="s">
        <v>308</v>
      </c>
      <c r="D157" s="2" t="s">
        <v>412</v>
      </c>
      <c r="E157" s="2" t="s">
        <v>61</v>
      </c>
      <c r="F157" s="2" t="str">
        <f>IFERROR(VLOOKUP(E157,'Customer '!$A$4:$D$28,2,FALSE),"")</f>
        <v>RH</v>
      </c>
      <c r="G157" s="2" t="s">
        <v>440</v>
      </c>
      <c r="H15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2026-RH-DANCING BEAR </v>
      </c>
      <c r="I157" s="2">
        <f ca="1">IF(OR($H157="",$B157=""),0,--(COUNTIFS($H$3:$H157,$H157,$B$3:$B157,$B157)=1))</f>
        <v>1</v>
      </c>
      <c r="J157" s="2" t="s">
        <v>309</v>
      </c>
      <c r="K157" s="2" t="s">
        <v>273</v>
      </c>
      <c r="L157" s="2" t="s">
        <v>301</v>
      </c>
      <c r="M157" s="283">
        <v>46221</v>
      </c>
      <c r="N157" s="283">
        <v>46259</v>
      </c>
      <c r="O157" s="284"/>
      <c r="P157" s="2" t="s">
        <v>51</v>
      </c>
      <c r="Q157" s="2" t="s">
        <v>51</v>
      </c>
      <c r="R157" s="2">
        <v>0</v>
      </c>
      <c r="S157" s="2">
        <v>0</v>
      </c>
      <c r="V157" s="276">
        <v>17</v>
      </c>
      <c r="W157" s="276">
        <v>25</v>
      </c>
      <c r="X157" s="280">
        <v>33810.54</v>
      </c>
      <c r="Y157" s="280">
        <v>33810.54</v>
      </c>
      <c r="Z157" s="2" t="s">
        <v>311</v>
      </c>
      <c r="AA157" s="2" t="str">
        <f t="shared" si="31"/>
        <v>2026</v>
      </c>
      <c r="AB157" s="283">
        <v>46276</v>
      </c>
      <c r="AC157" s="283">
        <v>46276</v>
      </c>
      <c r="AD157" s="283">
        <v>46318</v>
      </c>
      <c r="AE157" s="283">
        <v>46318</v>
      </c>
      <c r="AF157" s="2" t="str">
        <f>IF(AD157="","",IF(ISNUMBER(AD157),IF(AND(AD157&gt;='2026 Calendar'!$C$4,AD157&lt;='2026 Calendar'!$E$107),LOOKUP(AD157,'2026 Calendar'!$C$4:$C$107,'2026 Calendar'!$A$4:$A$107),YEAR(AD157-WEEKDAY(AD157,2)+4)&amp;"/W"&amp;TEXT(WEEKNUM(AD157,21),"00")),IF(IFERROR(ISNUMBER(SEARCH("/W",AD157)),FALSE),IF(IFERROR(ISNUMBER(SEARCH("-",AD157)),FALSE),LEFT(AD157,SEARCH("-",AD157)-1),AD157),AD157)))</f>
        <v>2026/W43</v>
      </c>
      <c r="AG157" s="2" t="str">
        <f>IF(AE157="","",IF(ISNUMBER(AE157),IF(AND(AE157&gt;='2026 Calendar'!$C$4,AE157&lt;='2026 Calendar'!$E$107),LOOKUP(AE157,'2026 Calendar'!$C$4:$C$107,'2026 Calendar'!$A$4:$A$107),YEAR(AE157-WEEKDAY(AE157,2)+4)&amp;"/W"&amp;TEXT(WEEKNUM(AE157,21),"00")),IF(IFERROR(ISNUMBER(SEARCH("/W",AE157)),FALSE),IF(IFERROR(ISNUMBER(SEARCH("-",AE157)),FALSE),MID(AE157,SEARCH("-",AE157)+1,100),AE157),AE157)))</f>
        <v>2026/W43</v>
      </c>
      <c r="AH157" s="2" t="s">
        <v>56</v>
      </c>
      <c r="AI157" s="283"/>
      <c r="AJ157" s="283">
        <v>46276</v>
      </c>
      <c r="AK157" s="2" t="s">
        <v>56</v>
      </c>
      <c r="AL157" s="283">
        <v>46276</v>
      </c>
      <c r="AM157" s="283">
        <v>46274</v>
      </c>
      <c r="AN157" s="2" t="s">
        <v>56</v>
      </c>
      <c r="AO157" s="283"/>
      <c r="AP157" s="283">
        <v>46261</v>
      </c>
      <c r="AQ157" s="2" t="s">
        <v>56</v>
      </c>
      <c r="AR157" s="283">
        <v>46276</v>
      </c>
      <c r="AS157" s="283">
        <v>46269</v>
      </c>
      <c r="AT157" s="2" t="s">
        <v>73</v>
      </c>
      <c r="AU157" s="283"/>
      <c r="AV157" s="283"/>
      <c r="AW157" s="2" t="s">
        <v>56</v>
      </c>
      <c r="AX157" s="283"/>
      <c r="AY157" s="283">
        <v>46261</v>
      </c>
      <c r="AZ157" s="2" t="s">
        <v>278</v>
      </c>
      <c r="BA157" s="283"/>
      <c r="BB157" s="283">
        <v>46259</v>
      </c>
      <c r="BC157" s="2" t="str">
        <f t="shared" si="32"/>
        <v>Active</v>
      </c>
      <c r="BD157" s="2" t="s">
        <v>279</v>
      </c>
      <c r="BE157" s="119" t="str">
        <f t="shared" si="33"/>
        <v>NPD: Fabric is com received for SW43</v>
      </c>
      <c r="BF157" s="2" t="s">
        <v>1558</v>
      </c>
    </row>
    <row r="158" spans="1:58" ht="29" x14ac:dyDescent="0.35">
      <c r="A158" s="2" t="str">
        <f>IFERROR(VLOOKUP(E158,'Customer '!$A$4:$D$23,3,FALSE),"")</f>
        <v>RH</v>
      </c>
      <c r="B158" s="2" t="s">
        <v>268</v>
      </c>
      <c r="C158" s="2" t="s">
        <v>308</v>
      </c>
      <c r="D158" s="2" t="s">
        <v>412</v>
      </c>
      <c r="E158" s="2" t="s">
        <v>61</v>
      </c>
      <c r="F158" s="2" t="str">
        <f>IFERROR(VLOOKUP(E158,'Customer '!$A$4:$D$28,2,FALSE),"")</f>
        <v>RH</v>
      </c>
      <c r="G158" s="2" t="s">
        <v>440</v>
      </c>
      <c r="H15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2026-RH-DANCING BEAR </v>
      </c>
      <c r="I158" s="2">
        <f ca="1">IF(OR($H158="",$B158=""),0,--(COUNTIFS($H$3:$H158,$H158,$B$3:$B158,$B158)=1))</f>
        <v>1</v>
      </c>
      <c r="J158" s="2" t="s">
        <v>284</v>
      </c>
      <c r="K158" s="2" t="s">
        <v>273</v>
      </c>
      <c r="L158" s="2" t="s">
        <v>301</v>
      </c>
      <c r="M158" s="283">
        <v>46221</v>
      </c>
      <c r="N158" s="283"/>
      <c r="O158" s="284"/>
      <c r="P158" s="2" t="s">
        <v>51</v>
      </c>
      <c r="Q158" s="2" t="s">
        <v>51</v>
      </c>
      <c r="R158" s="2">
        <v>0</v>
      </c>
      <c r="S158" s="2">
        <v>0</v>
      </c>
      <c r="V158" s="276">
        <v>18</v>
      </c>
      <c r="W158" s="276">
        <v>494</v>
      </c>
      <c r="X158" s="280">
        <v>299970.28999999998</v>
      </c>
      <c r="Y158" s="280">
        <v>299970.28999999998</v>
      </c>
      <c r="Z158" s="2" t="s">
        <v>328</v>
      </c>
      <c r="AA158" s="2" t="str">
        <f t="shared" si="31"/>
        <v>2027</v>
      </c>
      <c r="AB158" s="283"/>
      <c r="AC158" s="283"/>
      <c r="AD158" s="277" t="s">
        <v>149</v>
      </c>
      <c r="AE158" s="278" t="s">
        <v>149</v>
      </c>
      <c r="AF158" s="2" t="str">
        <f>IF(AD158="","",IF(ISNUMBER(AD158),IF(AND(AD158&gt;='2026 Calendar'!$C$4,AD158&lt;='2026 Calendar'!$E$107),LOOKUP(AD158,'2026 Calendar'!$C$4:$C$107,'2026 Calendar'!$A$4:$A$107),YEAR(AD158-WEEKDAY(AD158,2)+4)&amp;"/W"&amp;TEXT(WEEKNUM(AD158,21),"00")),IF(IFERROR(ISNUMBER(SEARCH("/W",AD158)),FALSE),IF(IFERROR(ISNUMBER(SEARCH("-",AD158)),FALSE),LEFT(AD158,SEARCH("-",AD158)-1),AD158),AD158)))</f>
        <v>TBC</v>
      </c>
      <c r="AG158" s="2" t="str">
        <f>IF(AE158="","",IF(ISNUMBER(AE158),IF(AND(AE158&gt;='2026 Calendar'!$C$4,AE158&lt;='2026 Calendar'!$E$107),LOOKUP(AE158,'2026 Calendar'!$C$4:$C$107,'2026 Calendar'!$A$4:$A$107),YEAR(AE158-WEEKDAY(AE158,2)+4)&amp;"/W"&amp;TEXT(WEEKNUM(AE158,21),"00")),IF(IFERROR(ISNUMBER(SEARCH("/W",AE158)),FALSE),IF(IFERROR(ISNUMBER(SEARCH("-",AE158)),FALSE),MID(AE158,SEARCH("-",AE158)+1,100),AE158),AE158)))</f>
        <v>TBC</v>
      </c>
      <c r="AH158" s="2" t="s">
        <v>287</v>
      </c>
      <c r="AI158" s="283"/>
      <c r="AJ158" s="283"/>
      <c r="AK158" s="2" t="s">
        <v>287</v>
      </c>
      <c r="AL158" s="283"/>
      <c r="AM158" s="283"/>
      <c r="AN158" s="2" t="s">
        <v>287</v>
      </c>
      <c r="AO158" s="283"/>
      <c r="AP158" s="283"/>
      <c r="AQ158" s="2" t="s">
        <v>304</v>
      </c>
      <c r="AR158" s="283"/>
      <c r="AS158" s="283"/>
      <c r="AT158" s="2" t="s">
        <v>73</v>
      </c>
      <c r="AU158" s="283"/>
      <c r="AV158" s="283"/>
      <c r="AW158" s="2" t="s">
        <v>287</v>
      </c>
      <c r="AX158" s="283"/>
      <c r="AY158" s="283"/>
      <c r="AZ158" s="2" t="s">
        <v>287</v>
      </c>
      <c r="BA158" s="283"/>
      <c r="BB158" s="283"/>
      <c r="BC158" s="2" t="str">
        <f t="shared" si="32"/>
        <v>Active</v>
      </c>
      <c r="BD158" s="2" t="s">
        <v>279</v>
      </c>
      <c r="BE158" s="119" t="str">
        <f t="shared" si="33"/>
        <v>NPI: In progress: Metal; Not started: Drawing, Veneer/Wood, Marble, Electrical, Fabric for SW TBC</v>
      </c>
    </row>
    <row r="159" spans="1:58" ht="29" x14ac:dyDescent="0.35">
      <c r="A159" s="2" t="str">
        <f>IFERROR(VLOOKUP(E159,'Customer '!$A$4:$D$23,3,FALSE),"")</f>
        <v>RH</v>
      </c>
      <c r="B159" s="2" t="s">
        <v>323</v>
      </c>
      <c r="C159" s="2" t="s">
        <v>298</v>
      </c>
      <c r="D159" s="2" t="s">
        <v>312</v>
      </c>
      <c r="E159" s="2" t="s">
        <v>61</v>
      </c>
      <c r="F159" s="2" t="str">
        <f>IFERROR(VLOOKUP(E159,'Customer '!$A$4:$D$28,2,FALSE),"")</f>
        <v>RH</v>
      </c>
      <c r="G159" s="2" t="s">
        <v>441</v>
      </c>
      <c r="H15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2026-RH-FOOTES REST</v>
      </c>
      <c r="I159" s="2">
        <f ca="1">IF(OR($H159="",$B159=""),0,--(COUNTIFS($H$3:$H159,$H159,$B$3:$B159,$B159)=1))</f>
        <v>1</v>
      </c>
      <c r="J159" s="2" t="s">
        <v>309</v>
      </c>
      <c r="K159" s="2" t="s">
        <v>273</v>
      </c>
      <c r="L159" s="2" t="s">
        <v>372</v>
      </c>
      <c r="M159" s="283">
        <v>46226</v>
      </c>
      <c r="N159" s="283"/>
      <c r="O159" s="284"/>
      <c r="P159" s="2" t="s">
        <v>51</v>
      </c>
      <c r="Q159" s="2" t="s">
        <v>408</v>
      </c>
      <c r="R159" s="2">
        <v>0</v>
      </c>
      <c r="S159" s="2">
        <v>0</v>
      </c>
      <c r="V159" s="276">
        <v>15</v>
      </c>
      <c r="W159" s="276">
        <v>31</v>
      </c>
      <c r="X159" s="280">
        <v>32385.58</v>
      </c>
      <c r="Y159" s="280">
        <v>32385.58</v>
      </c>
      <c r="Z159" s="2" t="s">
        <v>311</v>
      </c>
      <c r="AA159" s="2" t="str">
        <f t="shared" si="31"/>
        <v>2026</v>
      </c>
      <c r="AB159" s="283"/>
      <c r="AC159" s="283"/>
      <c r="AD159" s="283">
        <v>46339</v>
      </c>
      <c r="AE159" s="283">
        <v>46339</v>
      </c>
      <c r="AF159" s="2" t="str">
        <f>IF(AD159="","",IF(ISNUMBER(AD159),IF(AND(AD159&gt;='2026 Calendar'!$C$4,AD159&lt;='2026 Calendar'!$E$107),LOOKUP(AD159,'2026 Calendar'!$C$4:$C$107,'2026 Calendar'!$A$4:$A$107),YEAR(AD159-WEEKDAY(AD159,2)+4)&amp;"/W"&amp;TEXT(WEEKNUM(AD159,21),"00")),IF(IFERROR(ISNUMBER(SEARCH("/W",AD159)),FALSE),IF(IFERROR(ISNUMBER(SEARCH("-",AD159)),FALSE),LEFT(AD159,SEARCH("-",AD159)-1),AD159),AD159)))</f>
        <v>2026/W46</v>
      </c>
      <c r="AG159" s="2" t="str">
        <f>IF(AE159="","",IF(ISNUMBER(AE159),IF(AND(AE159&gt;='2026 Calendar'!$C$4,AE159&lt;='2026 Calendar'!$E$107),LOOKUP(AE159,'2026 Calendar'!$C$4:$C$107,'2026 Calendar'!$A$4:$A$107),YEAR(AE159-WEEKDAY(AE159,2)+4)&amp;"/W"&amp;TEXT(WEEKNUM(AE159,21),"00")),IF(IFERROR(ISNUMBER(SEARCH("/W",AE159)),FALSE),IF(IFERROR(ISNUMBER(SEARCH("-",AE159)),FALSE),MID(AE159,SEARCH("-",AE159)+1,100),AE159),AE159)))</f>
        <v>2026/W46</v>
      </c>
      <c r="AH159" s="2" t="s">
        <v>318</v>
      </c>
      <c r="AI159" s="254">
        <v>46297</v>
      </c>
      <c r="AJ159" s="283"/>
      <c r="AK159" s="2" t="s">
        <v>56</v>
      </c>
      <c r="AL159" s="283"/>
      <c r="AM159" s="283"/>
      <c r="AN159" s="2" t="s">
        <v>56</v>
      </c>
      <c r="AO159" s="283"/>
      <c r="AP159" s="283"/>
      <c r="AQ159" s="2" t="s">
        <v>318</v>
      </c>
      <c r="AR159" s="283"/>
      <c r="AS159" s="283"/>
      <c r="AT159" s="2" t="s">
        <v>56</v>
      </c>
      <c r="AU159" s="283"/>
      <c r="AV159" s="283"/>
      <c r="AW159" s="2" t="s">
        <v>73</v>
      </c>
      <c r="AX159" s="283"/>
      <c r="AY159" s="283"/>
      <c r="AZ159" s="2" t="s">
        <v>331</v>
      </c>
      <c r="BA159" s="283">
        <v>46269</v>
      </c>
      <c r="BB159" s="283"/>
      <c r="BC159" s="2" t="str">
        <f t="shared" si="32"/>
        <v>Active</v>
      </c>
      <c r="BD159" s="2" t="s">
        <v>279</v>
      </c>
      <c r="BE159" s="119" t="str">
        <f t="shared" si="33"/>
        <v>NPD: Pending approval: Drawing, Metal; Fabric is com pending; need approval by 4-Sep-26 for SW46</v>
      </c>
      <c r="BF159" s="2" t="s">
        <v>1596</v>
      </c>
    </row>
    <row r="160" spans="1:58" ht="29" x14ac:dyDescent="0.35">
      <c r="A160" s="2" t="str">
        <f>IFERROR(VLOOKUP(E160,'Customer '!$A$4:$D$23,3,FALSE),"")</f>
        <v>RH</v>
      </c>
      <c r="B160" s="2" t="s">
        <v>268</v>
      </c>
      <c r="C160" s="2" t="s">
        <v>298</v>
      </c>
      <c r="D160" s="2" t="s">
        <v>312</v>
      </c>
      <c r="E160" s="2" t="s">
        <v>61</v>
      </c>
      <c r="F160" s="2" t="str">
        <f>IFERROR(VLOOKUP(E160,'Customer '!$A$4:$D$28,2,FALSE),"")</f>
        <v>RH</v>
      </c>
      <c r="G160" s="2" t="s">
        <v>441</v>
      </c>
      <c r="H16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2026-RH-FOOTES REST</v>
      </c>
      <c r="I160" s="2">
        <f ca="1">IF(OR($H160="",$B160=""),0,--(COUNTIFS($H$3:$H160,$H160,$B$3:$B160,$B160)=1))</f>
        <v>1</v>
      </c>
      <c r="J160" s="2" t="s">
        <v>284</v>
      </c>
      <c r="K160" s="2" t="s">
        <v>273</v>
      </c>
      <c r="L160" s="2" t="s">
        <v>317</v>
      </c>
      <c r="M160" s="283"/>
      <c r="N160" s="283"/>
      <c r="O160" s="284"/>
      <c r="P160" s="2" t="s">
        <v>51</v>
      </c>
      <c r="Q160" s="2" t="s">
        <v>408</v>
      </c>
      <c r="R160" s="2">
        <v>0</v>
      </c>
      <c r="S160" s="2">
        <v>0</v>
      </c>
      <c r="V160" s="276">
        <v>12</v>
      </c>
      <c r="X160" s="280">
        <v>543005</v>
      </c>
      <c r="Y160" s="280">
        <f>DetailTracker[[#This Row],[PROJECT VALUE $]]/2</f>
        <v>271502.5</v>
      </c>
      <c r="Z160" s="2" t="s">
        <v>288</v>
      </c>
      <c r="AA160" s="2" t="str">
        <f t="shared" si="31"/>
        <v>2027</v>
      </c>
      <c r="AB160" s="283"/>
      <c r="AC160" s="283"/>
      <c r="AD160" s="277">
        <v>46220</v>
      </c>
      <c r="AE160" s="278">
        <v>46255</v>
      </c>
      <c r="AF160" s="2" t="str">
        <f>IF(AD160="","",IF(ISNUMBER(AD160),IF(AND(AD160&gt;='2026 Calendar'!$C$4,AD160&lt;='2026 Calendar'!$E$107),LOOKUP(AD160,'2026 Calendar'!$C$4:$C$107,'2026 Calendar'!$A$4:$A$107),YEAR(AD160-WEEKDAY(AD160,2)+4)&amp;"/W"&amp;TEXT(WEEKNUM(AD160,21),"00")),IF(IFERROR(ISNUMBER(SEARCH("/W",AD160)),FALSE),IF(IFERROR(ISNUMBER(SEARCH("-",AD160)),FALSE),LEFT(AD160,SEARCH("-",AD160)-1),AD160),AD160)))</f>
        <v>2026/W29</v>
      </c>
      <c r="AG160" s="2" t="str">
        <f>IF(AE160="","",IF(ISNUMBER(AE160),IF(AND(AE160&gt;='2026 Calendar'!$C$4,AE160&lt;='2026 Calendar'!$E$107),LOOKUP(AE160,'2026 Calendar'!$C$4:$C$107,'2026 Calendar'!$A$4:$A$107),YEAR(AE160-WEEKDAY(AE160,2)+4)&amp;"/W"&amp;TEXT(WEEKNUM(AE160,21),"00")),IF(IFERROR(ISNUMBER(SEARCH("/W",AE160)),FALSE),IF(IFERROR(ISNUMBER(SEARCH("-",AE160)),FALSE),MID(AE160,SEARCH("-",AE160)+1,100),AE160),AE160)))</f>
        <v>2026/W34</v>
      </c>
      <c r="AH160" s="2" t="s">
        <v>287</v>
      </c>
      <c r="AI160" s="283"/>
      <c r="AJ160" s="283"/>
      <c r="AK160" s="2" t="s">
        <v>287</v>
      </c>
      <c r="AL160" s="283"/>
      <c r="AM160" s="283"/>
      <c r="AN160" s="2" t="s">
        <v>318</v>
      </c>
      <c r="AO160" s="283"/>
      <c r="AP160" s="283"/>
      <c r="AQ160" s="2" t="s">
        <v>318</v>
      </c>
      <c r="AR160" s="283"/>
      <c r="AS160" s="283"/>
      <c r="AT160" s="2" t="s">
        <v>318</v>
      </c>
      <c r="AU160" s="283"/>
      <c r="AV160" s="283"/>
      <c r="AW160" s="2" t="s">
        <v>73</v>
      </c>
      <c r="AX160" s="283"/>
      <c r="AY160" s="283"/>
      <c r="AZ160" s="2" t="s">
        <v>57</v>
      </c>
      <c r="BA160" s="283"/>
      <c r="BB160" s="283"/>
      <c r="BC160" s="2" t="str">
        <f t="shared" si="32"/>
        <v>Active</v>
      </c>
      <c r="BD160" s="2" t="s">
        <v>279</v>
      </c>
      <c r="BE160" s="119" t="str">
        <f t="shared" si="33"/>
        <v>NPI: Pending approval: Marble, Metal, Mirror; Not started: Drawing, Veneer/Wood; Fabric is com for SW34</v>
      </c>
    </row>
    <row r="161" spans="1:58" ht="29" x14ac:dyDescent="0.35">
      <c r="A161" s="2" t="str">
        <f>IFERROR(VLOOKUP(E161,'Customer '!$A$4:$D$23,3,FALSE),"")</f>
        <v>RH</v>
      </c>
      <c r="B161" s="2" t="s">
        <v>268</v>
      </c>
      <c r="C161" s="2" t="s">
        <v>298</v>
      </c>
      <c r="D161" s="2" t="s">
        <v>312</v>
      </c>
      <c r="E161" s="2" t="s">
        <v>61</v>
      </c>
      <c r="F161" s="2" t="str">
        <f>IFERROR(VLOOKUP(E161,'Customer '!$A$4:$D$28,2,FALSE),"")</f>
        <v>RH</v>
      </c>
      <c r="G161" s="2" t="s">
        <v>441</v>
      </c>
      <c r="H16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2026-RH-FOOTES REST</v>
      </c>
      <c r="I161" s="2">
        <f ca="1">IF(OR($H161="",$B161=""),0,--(COUNTIFS($H$3:$H161,$H161,$B$3:$B161,$B161)=1))</f>
        <v>0</v>
      </c>
      <c r="J161" s="2" t="s">
        <v>284</v>
      </c>
      <c r="K161" s="2" t="s">
        <v>273</v>
      </c>
      <c r="L161" s="2" t="s">
        <v>317</v>
      </c>
      <c r="M161" s="283"/>
      <c r="N161" s="283"/>
      <c r="O161" s="284"/>
      <c r="P161" s="2" t="s">
        <v>51</v>
      </c>
      <c r="Q161" s="2" t="s">
        <v>408</v>
      </c>
      <c r="R161" s="2">
        <v>0</v>
      </c>
      <c r="S161" s="2">
        <v>0</v>
      </c>
      <c r="V161" s="276">
        <v>12</v>
      </c>
      <c r="X161" s="280">
        <v>543005</v>
      </c>
      <c r="Y161" s="280">
        <f>DetailTracker[[#This Row],[PROJECT VALUE $]]/2</f>
        <v>271502.5</v>
      </c>
      <c r="Z161" s="2" t="s">
        <v>289</v>
      </c>
      <c r="AA161" s="2" t="str">
        <f t="shared" si="31"/>
        <v>2027</v>
      </c>
      <c r="AB161" s="283"/>
      <c r="AC161" s="283"/>
      <c r="AD161" s="277">
        <v>46220</v>
      </c>
      <c r="AE161" s="278">
        <v>46255</v>
      </c>
      <c r="AF161" s="2" t="str">
        <f>IF(AD161="","",IF(ISNUMBER(AD161),IF(AND(AD161&gt;='2026 Calendar'!$C$4,AD161&lt;='2026 Calendar'!$E$107),LOOKUP(AD161,'2026 Calendar'!$C$4:$C$107,'2026 Calendar'!$A$4:$A$107),YEAR(AD161-WEEKDAY(AD161,2)+4)&amp;"/W"&amp;TEXT(WEEKNUM(AD161,21),"00")),IF(IFERROR(ISNUMBER(SEARCH("/W",AD161)),FALSE),IF(IFERROR(ISNUMBER(SEARCH("-",AD161)),FALSE),LEFT(AD161,SEARCH("-",AD161)-1),AD161),AD161)))</f>
        <v>2026/W29</v>
      </c>
      <c r="AG161" s="2" t="str">
        <f>IF(AE161="","",IF(ISNUMBER(AE161),IF(AND(AE161&gt;='2026 Calendar'!$C$4,AE161&lt;='2026 Calendar'!$E$107),LOOKUP(AE161,'2026 Calendar'!$C$4:$C$107,'2026 Calendar'!$A$4:$A$107),YEAR(AE161-WEEKDAY(AE161,2)+4)&amp;"/W"&amp;TEXT(WEEKNUM(AE161,21),"00")),IF(IFERROR(ISNUMBER(SEARCH("/W",AE161)),FALSE),IF(IFERROR(ISNUMBER(SEARCH("-",AE161)),FALSE),MID(AE161,SEARCH("-",AE161)+1,100),AE161),AE161)))</f>
        <v>2026/W34</v>
      </c>
      <c r="AH161" s="2" t="s">
        <v>287</v>
      </c>
      <c r="AI161" s="283"/>
      <c r="AJ161" s="283"/>
      <c r="AK161" s="2" t="s">
        <v>287</v>
      </c>
      <c r="AL161" s="283"/>
      <c r="AM161" s="283"/>
      <c r="AN161" s="2" t="s">
        <v>318</v>
      </c>
      <c r="AO161" s="283"/>
      <c r="AP161" s="283"/>
      <c r="AQ161" s="2" t="s">
        <v>318</v>
      </c>
      <c r="AR161" s="283"/>
      <c r="AS161" s="283"/>
      <c r="AT161" s="2" t="s">
        <v>318</v>
      </c>
      <c r="AU161" s="283"/>
      <c r="AV161" s="283"/>
      <c r="AW161" s="2" t="s">
        <v>73</v>
      </c>
      <c r="AX161" s="283"/>
      <c r="AY161" s="283"/>
      <c r="AZ161" s="2" t="s">
        <v>57</v>
      </c>
      <c r="BA161" s="283"/>
      <c r="BB161" s="283"/>
      <c r="BC161" s="2" t="str">
        <f t="shared" si="32"/>
        <v>Active</v>
      </c>
      <c r="BD161" s="2" t="s">
        <v>279</v>
      </c>
      <c r="BE161" s="119" t="str">
        <f t="shared" si="33"/>
        <v>NPI: Pending approval: Marble, Metal, Mirror; Not started: Drawing, Veneer/Wood; Fabric is com for SW34</v>
      </c>
    </row>
    <row r="162" spans="1:58" x14ac:dyDescent="0.35">
      <c r="A162" s="2" t="str">
        <f>IFERROR(VLOOKUP(E162,'Customer '!$A$4:$D$23,3,FALSE),"")</f>
        <v>NON RH</v>
      </c>
      <c r="B162" s="2" t="s">
        <v>323</v>
      </c>
      <c r="C162" s="2" t="s">
        <v>329</v>
      </c>
      <c r="D162" s="2" t="s">
        <v>367</v>
      </c>
      <c r="E162" s="2" t="s">
        <v>98</v>
      </c>
      <c r="F162" s="2" t="str">
        <f>IFERROR(VLOOKUP(E162,'Customer '!$A$4:$D$28,2,FALSE),"")</f>
        <v xml:space="preserve">FLEETWOOD </v>
      </c>
      <c r="G162" s="2" t="s">
        <v>188</v>
      </c>
      <c r="H16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2025-FLEETWOOD -W-HOTEL-LAS-VEGAS</v>
      </c>
      <c r="I162" s="2">
        <f ca="1">IF(OR($H162="",$B162=""),0,--(COUNTIFS($H$3:$H162,$H162,$B$3:$B162,$B162)=1))</f>
        <v>0</v>
      </c>
      <c r="J162" s="2" t="s">
        <v>272</v>
      </c>
      <c r="K162" s="2" t="s">
        <v>273</v>
      </c>
      <c r="L162" s="2" t="s">
        <v>274</v>
      </c>
      <c r="M162" s="278">
        <v>45939</v>
      </c>
      <c r="N162" s="283"/>
      <c r="O162" s="284"/>
      <c r="P162" s="2" t="s">
        <v>51</v>
      </c>
      <c r="Q162" s="2" t="s">
        <v>334</v>
      </c>
      <c r="R162" s="2">
        <v>0</v>
      </c>
      <c r="S162" s="2">
        <v>0</v>
      </c>
      <c r="V162" s="276">
        <v>3</v>
      </c>
      <c r="W162" s="276">
        <v>3</v>
      </c>
      <c r="X162" s="280" t="s">
        <v>442</v>
      </c>
      <c r="Y162" s="280">
        <v>0</v>
      </c>
      <c r="Z162" s="2" t="s">
        <v>297</v>
      </c>
      <c r="AA162" s="2" t="str">
        <f t="shared" si="31"/>
        <v>2026</v>
      </c>
      <c r="AB162" s="283">
        <v>46286</v>
      </c>
      <c r="AC162" s="283">
        <v>46286</v>
      </c>
      <c r="AD162" s="277">
        <v>46290</v>
      </c>
      <c r="AE162" s="283">
        <v>46290</v>
      </c>
      <c r="AF162" s="2" t="str">
        <f>IF(AD162="","",IF(ISNUMBER(AD162),IF(AND(AD162&gt;='2026 Calendar'!$C$4,AD162&lt;='2026 Calendar'!$E$107),LOOKUP(AD162,'2026 Calendar'!$C$4:$C$107,'2026 Calendar'!$A$4:$A$107),YEAR(AD162-WEEKDAY(AD162,2)+4)&amp;"/W"&amp;TEXT(WEEKNUM(AD162,21),"00")),IF(IFERROR(ISNUMBER(SEARCH("/W",AD162)),FALSE),IF(IFERROR(ISNUMBER(SEARCH("-",AD162)),FALSE),LEFT(AD162,SEARCH("-",AD162)-1),AD162),AD162)))</f>
        <v>2026/W39</v>
      </c>
      <c r="AG162" s="2" t="str">
        <f>IF(AE162="","",IF(ISNUMBER(AE162),IF(AND(AE162&gt;='2026 Calendar'!$C$4,AE162&lt;='2026 Calendar'!$E$107),LOOKUP(AE162,'2026 Calendar'!$C$4:$C$107,'2026 Calendar'!$A$4:$A$107),YEAR(AE162-WEEKDAY(AE162,2)+4)&amp;"/W"&amp;TEXT(WEEKNUM(AE162,21),"00")),IF(IFERROR(ISNUMBER(SEARCH("/W",AE162)),FALSE),IF(IFERROR(ISNUMBER(SEARCH("-",AE162)),FALSE),MID(AE162,SEARCH("-",AE162)+1,100),AE162),AE162)))</f>
        <v>2026/W39</v>
      </c>
      <c r="AH162" s="2" t="s">
        <v>56</v>
      </c>
      <c r="AI162" s="283"/>
      <c r="AJ162" s="283"/>
      <c r="AK162" s="2" t="s">
        <v>56</v>
      </c>
      <c r="AL162" s="283"/>
      <c r="AM162" s="283"/>
      <c r="AN162" s="2" t="s">
        <v>56</v>
      </c>
      <c r="AO162" s="283"/>
      <c r="AP162" s="283"/>
      <c r="AQ162" s="2" t="s">
        <v>56</v>
      </c>
      <c r="AR162" s="283"/>
      <c r="AS162" s="283"/>
      <c r="AT162" s="2" t="s">
        <v>73</v>
      </c>
      <c r="AU162" s="283"/>
      <c r="AV162" s="283"/>
      <c r="AW162" s="2" t="s">
        <v>73</v>
      </c>
      <c r="AX162" s="283"/>
      <c r="AY162" s="283"/>
      <c r="AZ162" s="2" t="s">
        <v>278</v>
      </c>
      <c r="BA162" s="283"/>
      <c r="BB162" s="283"/>
      <c r="BC162" s="2" t="str">
        <f t="shared" si="32"/>
        <v>Complete</v>
      </c>
      <c r="BE162" s="119" t="str">
        <f t="shared" si="33"/>
        <v>READY</v>
      </c>
    </row>
    <row r="163" spans="1:58" x14ac:dyDescent="0.35">
      <c r="A163" s="2" t="str">
        <f>IFERROR(VLOOKUP(E163,'Customer '!$A$4:$D$23,3,FALSE),"")</f>
        <v>RH</v>
      </c>
      <c r="B163" s="2" t="s">
        <v>268</v>
      </c>
      <c r="C163" s="2" t="s">
        <v>424</v>
      </c>
      <c r="D163" s="2" t="s">
        <v>312</v>
      </c>
      <c r="E163" s="2" t="s">
        <v>61</v>
      </c>
      <c r="F163" s="2" t="str">
        <f>IFERROR(VLOOKUP(E163,'Customer '!$A$4:$D$28,2,FALSE),"")</f>
        <v>RH</v>
      </c>
      <c r="G163" s="2" t="s">
        <v>443</v>
      </c>
      <c r="H16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2026-RH-RITZ CABO VILLA</v>
      </c>
      <c r="I163" s="2">
        <f ca="1">IF(OR($H163="",$B163=""),0,--(COUNTIFS($H$3:$H163,$H163,$B$3:$B163,$B163)=1))</f>
        <v>1</v>
      </c>
      <c r="J163" s="2" t="s">
        <v>316</v>
      </c>
      <c r="K163" s="2" t="s">
        <v>273</v>
      </c>
      <c r="L163" s="2" t="s">
        <v>285</v>
      </c>
      <c r="M163" s="283">
        <v>46227</v>
      </c>
      <c r="N163" s="283"/>
      <c r="O163" s="284"/>
      <c r="P163" s="2" t="s">
        <v>339</v>
      </c>
      <c r="Q163" s="2" t="s">
        <v>339</v>
      </c>
      <c r="R163" s="2" t="s">
        <v>149</v>
      </c>
      <c r="S163" s="2" t="s">
        <v>149</v>
      </c>
      <c r="V163" s="276">
        <v>4</v>
      </c>
      <c r="W163" s="276">
        <v>6</v>
      </c>
      <c r="X163" s="280">
        <v>9809</v>
      </c>
      <c r="Y163" s="280">
        <v>9809</v>
      </c>
      <c r="Z163" s="2" t="s">
        <v>149</v>
      </c>
      <c r="AA163" s="2" t="str">
        <f t="shared" si="31"/>
        <v>TBC</v>
      </c>
      <c r="AB163" s="283"/>
      <c r="AC163" s="283"/>
      <c r="AD163" s="277" t="s">
        <v>149</v>
      </c>
      <c r="AE163" s="278" t="s">
        <v>149</v>
      </c>
      <c r="AF163" s="2" t="str">
        <f>IF(AD163="","",IF(ISNUMBER(AD163),IF(AND(AD163&gt;='2026 Calendar'!$C$4,AD163&lt;='2026 Calendar'!$E$107),LOOKUP(AD163,'2026 Calendar'!$C$4:$C$107,'2026 Calendar'!$A$4:$A$107),YEAR(AD163-WEEKDAY(AD163,2)+4)&amp;"/W"&amp;TEXT(WEEKNUM(AD163,21),"00")),IF(IFERROR(ISNUMBER(SEARCH("/W",AD163)),FALSE),IF(IFERROR(ISNUMBER(SEARCH("-",AD163)),FALSE),LEFT(AD163,SEARCH("-",AD163)-1),AD163),AD163)))</f>
        <v>TBC</v>
      </c>
      <c r="AG163" s="2" t="str">
        <f>IF(AE163="","",IF(ISNUMBER(AE163),IF(AND(AE163&gt;='2026 Calendar'!$C$4,AE163&lt;='2026 Calendar'!$E$107),LOOKUP(AE163,'2026 Calendar'!$C$4:$C$107,'2026 Calendar'!$A$4:$A$107),YEAR(AE163-WEEKDAY(AE163,2)+4)&amp;"/W"&amp;TEXT(WEEKNUM(AE163,21),"00")),IF(IFERROR(ISNUMBER(SEARCH("/W",AE163)),FALSE),IF(IFERROR(ISNUMBER(SEARCH("-",AE163)),FALSE),MID(AE163,SEARCH("-",AE163)+1,100),AE163),AE163)))</f>
        <v>TBC</v>
      </c>
      <c r="AH163" s="2" t="s">
        <v>287</v>
      </c>
      <c r="AI163" s="283"/>
      <c r="AJ163" s="283"/>
      <c r="AK163" s="2" t="s">
        <v>287</v>
      </c>
      <c r="AL163" s="254"/>
      <c r="AM163" s="283"/>
      <c r="AN163" s="2" t="s">
        <v>73</v>
      </c>
      <c r="AO163" s="254"/>
      <c r="AP163" s="283"/>
      <c r="AQ163" s="2" t="s">
        <v>73</v>
      </c>
      <c r="AR163" s="254"/>
      <c r="AS163" s="283"/>
      <c r="AT163" s="2" t="s">
        <v>73</v>
      </c>
      <c r="AU163" s="254"/>
      <c r="AV163" s="283"/>
      <c r="AW163" s="2" t="s">
        <v>73</v>
      </c>
      <c r="AX163" s="254"/>
      <c r="AY163" s="283"/>
      <c r="BA163" s="254"/>
      <c r="BB163" s="283"/>
      <c r="BC163" s="2" t="str">
        <f t="shared" si="32"/>
        <v>Active</v>
      </c>
      <c r="BD163" s="2" t="s">
        <v>279</v>
      </c>
      <c r="BE163" s="119" t="str">
        <f t="shared" si="33"/>
        <v>NPI: Not started: Drawing, Veneer/Wood for SW TBC</v>
      </c>
      <c r="BF163" s="2" t="s">
        <v>1560</v>
      </c>
    </row>
    <row r="164" spans="1:58" x14ac:dyDescent="0.35">
      <c r="A164" s="2" t="str">
        <f>IFERROR(VLOOKUP(E164,'Customer '!$A$4:$D$23,3,FALSE),"")</f>
        <v>NON RH</v>
      </c>
      <c r="B164" s="2" t="s">
        <v>323</v>
      </c>
      <c r="C164" s="2" t="s">
        <v>340</v>
      </c>
      <c r="D164" s="2" t="s">
        <v>394</v>
      </c>
      <c r="E164" s="2" t="s">
        <v>98</v>
      </c>
      <c r="F164" s="2" t="str">
        <f>IFERROR(VLOOKUP(E164,'Customer '!$A$4:$D$28,2,FALSE),"")</f>
        <v xml:space="preserve">FLEETWOOD </v>
      </c>
      <c r="G164" s="2" t="s">
        <v>444</v>
      </c>
      <c r="H16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-BDNY</v>
      </c>
      <c r="I164" s="2">
        <f ca="1">IF(OR($H164="",$B164=""),0,--(COUNTIFS($H$3:$H164,$H164,$B$3:$B164,$B164)=1))</f>
        <v>1</v>
      </c>
      <c r="J164" s="2" t="s">
        <v>272</v>
      </c>
      <c r="K164" s="2" t="s">
        <v>273</v>
      </c>
      <c r="L164" s="2" t="s">
        <v>372</v>
      </c>
      <c r="M164" s="283">
        <v>46224</v>
      </c>
      <c r="N164" s="283">
        <v>46224</v>
      </c>
      <c r="O164" s="284" t="s">
        <v>442</v>
      </c>
      <c r="P164" s="2" t="s">
        <v>51</v>
      </c>
      <c r="Q164" s="2" t="s">
        <v>325</v>
      </c>
      <c r="R164" s="2">
        <v>0</v>
      </c>
      <c r="S164" s="2">
        <v>0</v>
      </c>
      <c r="T164" s="2">
        <v>2</v>
      </c>
      <c r="V164" s="276">
        <v>3</v>
      </c>
      <c r="W164" s="276">
        <v>3</v>
      </c>
      <c r="X164" s="294" t="s">
        <v>442</v>
      </c>
      <c r="Y164" s="280">
        <v>0</v>
      </c>
      <c r="Z164" s="2" t="s">
        <v>297</v>
      </c>
      <c r="AA164" s="2" t="str">
        <f t="shared" ref="AA164:AA172" si="34">IF(Z164="","",IF(OR(Z164="TBC",Z164="Removed"),Z164,LEFT(Z164,4)))</f>
        <v>2026</v>
      </c>
      <c r="AB164" s="283">
        <v>46284</v>
      </c>
      <c r="AC164" s="283">
        <v>46284</v>
      </c>
      <c r="AD164" s="277">
        <v>46296</v>
      </c>
      <c r="AE164" s="277">
        <v>46296</v>
      </c>
      <c r="AF164" s="2" t="str">
        <f>IF(AD164="","",IF(ISNUMBER(AD164),IF(AND(AD164&gt;='2026 Calendar'!$C$4,AD164&lt;='2026 Calendar'!$E$107),LOOKUP(AD164,'2026 Calendar'!$C$4:$C$107,'2026 Calendar'!$A$4:$A$107),YEAR(AD164-WEEKDAY(AD164,2)+4)&amp;"/W"&amp;TEXT(WEEKNUM(AD164,21),"00")),IF(IFERROR(ISNUMBER(SEARCH("/W",AD164)),FALSE),IF(IFERROR(ISNUMBER(SEARCH("-",AD164)),FALSE),LEFT(AD164,SEARCH("-",AD164)-1),AD164),AD164)))</f>
        <v>2026/W40</v>
      </c>
      <c r="AG164" s="2" t="str">
        <f>IF(AE164="","",IF(ISNUMBER(AE164),IF(AND(AE164&gt;='2026 Calendar'!$C$4,AE164&lt;='2026 Calendar'!$E$107),LOOKUP(AE164,'2026 Calendar'!$C$4:$C$107,'2026 Calendar'!$A$4:$A$107),YEAR(AE164-WEEKDAY(AE164,2)+4)&amp;"/W"&amp;TEXT(WEEKNUM(AE164,21),"00")),IF(IFERROR(ISNUMBER(SEARCH("/W",AE164)),FALSE),IF(IFERROR(ISNUMBER(SEARCH("-",AE164)),FALSE),MID(AE164,SEARCH("-",AE164)+1,100),AE164),AE164)))</f>
        <v>2026/W40</v>
      </c>
      <c r="AH164" s="2" t="s">
        <v>56</v>
      </c>
      <c r="AI164" s="283"/>
      <c r="AJ164" s="283">
        <v>46233</v>
      </c>
      <c r="AK164" s="2" t="s">
        <v>56</v>
      </c>
      <c r="AL164" s="278"/>
      <c r="AM164" s="283">
        <v>46276</v>
      </c>
      <c r="AN164" s="2" t="s">
        <v>56</v>
      </c>
      <c r="AO164" s="278"/>
      <c r="AP164" s="283">
        <v>46276</v>
      </c>
      <c r="AQ164" s="2" t="s">
        <v>56</v>
      </c>
      <c r="AR164" s="278"/>
      <c r="AS164" s="283">
        <v>46283</v>
      </c>
      <c r="AT164" s="2" t="s">
        <v>73</v>
      </c>
      <c r="AU164" s="278"/>
      <c r="AV164" s="283"/>
      <c r="AW164" s="2" t="s">
        <v>73</v>
      </c>
      <c r="AX164" s="278"/>
      <c r="AY164" s="283"/>
      <c r="AZ164" s="2" t="s">
        <v>73</v>
      </c>
      <c r="BA164" s="278"/>
      <c r="BB164" s="283"/>
      <c r="BC164" s="2" t="str">
        <f t="shared" si="32"/>
        <v>Complete</v>
      </c>
      <c r="BE164" s="119" t="str">
        <f t="shared" si="33"/>
        <v>READY</v>
      </c>
    </row>
    <row r="165" spans="1:58" x14ac:dyDescent="0.35">
      <c r="A165" s="2" t="str">
        <f>IFERROR(VLOOKUP(E165,'Customer '!$A$4:$D$23,3,FALSE),"")</f>
        <v>RH</v>
      </c>
      <c r="B165" s="2" t="s">
        <v>268</v>
      </c>
      <c r="C165" s="2" t="s">
        <v>329</v>
      </c>
      <c r="D165" s="2" t="s">
        <v>312</v>
      </c>
      <c r="E165" s="2" t="s">
        <v>61</v>
      </c>
      <c r="F165" s="2" t="str">
        <f>IFERROR(VLOOKUP(E165,'Customer '!$A$4:$D$28,2,FALSE),"")</f>
        <v>RH</v>
      </c>
      <c r="G165" s="2" t="s">
        <v>445</v>
      </c>
      <c r="H16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2026-RH-AHS ONE CANAL CRESENT</v>
      </c>
      <c r="I165" s="2">
        <f ca="1">IF(OR($H165="",$B165=""),0,--(COUNTIFS($H$3:$H165,$H165,$B$3:$B165,$B165)=1))</f>
        <v>1</v>
      </c>
      <c r="J165" s="2" t="s">
        <v>300</v>
      </c>
      <c r="K165" s="2" t="s">
        <v>273</v>
      </c>
      <c r="L165" s="2" t="s">
        <v>333</v>
      </c>
      <c r="M165" s="283"/>
      <c r="N165" s="283"/>
      <c r="O165" s="284"/>
      <c r="P165" s="2" t="s">
        <v>51</v>
      </c>
      <c r="Q165" s="2" t="s">
        <v>1607</v>
      </c>
      <c r="R165" s="2">
        <v>0</v>
      </c>
      <c r="S165" s="2">
        <v>0</v>
      </c>
      <c r="V165" s="276">
        <v>4</v>
      </c>
      <c r="X165" s="280" t="s">
        <v>149</v>
      </c>
      <c r="Y165" s="280" t="s">
        <v>149</v>
      </c>
      <c r="Z165" s="2" t="s">
        <v>297</v>
      </c>
      <c r="AA165" s="2" t="str">
        <f t="shared" si="34"/>
        <v>2026</v>
      </c>
      <c r="AB165" s="283"/>
      <c r="AC165" s="283"/>
      <c r="AD165" s="277">
        <v>46277</v>
      </c>
      <c r="AE165" s="277">
        <v>46277</v>
      </c>
      <c r="AF165" s="2" t="str">
        <f>IF(AD165="","",IF(ISNUMBER(AD165),IF(AND(AD165&gt;='2026 Calendar'!$C$4,AD165&lt;='2026 Calendar'!$E$107),LOOKUP(AD165,'2026 Calendar'!$C$4:$C$107,'2026 Calendar'!$A$4:$A$107),YEAR(AD165-WEEKDAY(AD165,2)+4)&amp;"/W"&amp;TEXT(WEEKNUM(AD165,21),"00")),IF(IFERROR(ISNUMBER(SEARCH("/W",AD165)),FALSE),IF(IFERROR(ISNUMBER(SEARCH("-",AD165)),FALSE),LEFT(AD165,SEARCH("-",AD165)-1),AD165),AD165)))</f>
        <v>2026/W37</v>
      </c>
      <c r="AG165" s="2" t="str">
        <f>IF(AE165="","",IF(ISNUMBER(AE165),IF(AND(AE165&gt;='2026 Calendar'!$C$4,AE165&lt;='2026 Calendar'!$E$107),LOOKUP(AE165,'2026 Calendar'!$C$4:$C$107,'2026 Calendar'!$A$4:$A$107),YEAR(AE165-WEEKDAY(AE165,2)+4)&amp;"/W"&amp;TEXT(WEEKNUM(AE165,21),"00")),IF(IFERROR(ISNUMBER(SEARCH("/W",AE165)),FALSE),IF(IFERROR(ISNUMBER(SEARCH("-",AE165)),FALSE),MID(AE165,SEARCH("-",AE165)+1,100),AE165),AE165)))</f>
        <v>2026/W37</v>
      </c>
      <c r="AI165" s="254"/>
      <c r="AJ165" s="283"/>
      <c r="AL165" s="254"/>
      <c r="AM165" s="283"/>
      <c r="AO165" s="254"/>
      <c r="AP165" s="283"/>
      <c r="AR165" s="254"/>
      <c r="AS165" s="283"/>
      <c r="AU165" s="254"/>
      <c r="AV165" s="283"/>
      <c r="AX165" s="254"/>
      <c r="AY165" s="283"/>
      <c r="BA165" s="254"/>
      <c r="BB165" s="283"/>
      <c r="BC165" s="2" t="str">
        <f t="shared" si="32"/>
        <v>Complete</v>
      </c>
      <c r="BE165" s="119" t="str">
        <f t="shared" si="33"/>
        <v>NPI: All development items approved/closed for SW37</v>
      </c>
      <c r="BF165" s="2" t="s">
        <v>446</v>
      </c>
    </row>
    <row r="166" spans="1:58" x14ac:dyDescent="0.35">
      <c r="A166" s="2" t="str">
        <f>IFERROR(VLOOKUP(E166,'Customer '!$A$4:$D$23,3,FALSE),"")</f>
        <v>RH</v>
      </c>
      <c r="B166" s="2" t="s">
        <v>268</v>
      </c>
      <c r="C166" s="2" t="s">
        <v>424</v>
      </c>
      <c r="D166" s="2" t="s">
        <v>412</v>
      </c>
      <c r="E166" s="2" t="s">
        <v>61</v>
      </c>
      <c r="F166" s="2" t="str">
        <f>IFERROR(VLOOKUP(E166,'Customer '!$A$4:$D$28,2,FALSE),"")</f>
        <v>RH</v>
      </c>
      <c r="G166" s="2" t="s">
        <v>447</v>
      </c>
      <c r="H16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2026-RH-1419 MONUMENT HOTEL</v>
      </c>
      <c r="I166" s="2">
        <f ca="1">IF(OR($H166="",$B166=""),0,--(COUNTIFS($H$3:$H166,$H166,$B$3:$B166,$B166)=1))</f>
        <v>1</v>
      </c>
      <c r="J166" s="2" t="s">
        <v>309</v>
      </c>
      <c r="K166" s="2" t="s">
        <v>273</v>
      </c>
      <c r="L166" s="2" t="s">
        <v>310</v>
      </c>
      <c r="M166" s="283">
        <v>46239</v>
      </c>
      <c r="N166" s="283">
        <v>46241</v>
      </c>
      <c r="O166" s="284"/>
      <c r="P166" s="2" t="s">
        <v>51</v>
      </c>
      <c r="Q166" s="2" t="s">
        <v>152</v>
      </c>
      <c r="R166" s="2">
        <v>0</v>
      </c>
      <c r="S166" s="2">
        <v>0</v>
      </c>
      <c r="V166" s="276">
        <v>1</v>
      </c>
      <c r="W166" s="276">
        <v>7</v>
      </c>
      <c r="X166" s="280">
        <v>6068.79</v>
      </c>
      <c r="Y166" s="280">
        <v>6068.79</v>
      </c>
      <c r="Z166" s="2" t="s">
        <v>330</v>
      </c>
      <c r="AA166" s="2" t="str">
        <f t="shared" si="34"/>
        <v>2026</v>
      </c>
      <c r="AB166" s="283"/>
      <c r="AC166" s="283"/>
      <c r="AD166" s="277">
        <v>46360</v>
      </c>
      <c r="AE166" s="277">
        <v>46360</v>
      </c>
      <c r="AF166" s="2" t="str">
        <f>IF(AD166="","",IF(ISNUMBER(AD166),IF(AND(AD166&gt;='2026 Calendar'!$C$4,AD166&lt;='2026 Calendar'!$E$107),LOOKUP(AD166,'2026 Calendar'!$C$4:$C$107,'2026 Calendar'!$A$4:$A$107),YEAR(AD166-WEEKDAY(AD166,2)+4)&amp;"/W"&amp;TEXT(WEEKNUM(AD166,21),"00")),IF(IFERROR(ISNUMBER(SEARCH("/W",AD166)),FALSE),IF(IFERROR(ISNUMBER(SEARCH("-",AD166)),FALSE),LEFT(AD166,SEARCH("-",AD166)-1),AD166),AD166)))</f>
        <v>2026/W49</v>
      </c>
      <c r="AG166" s="2" t="str">
        <f>IF(AE166="","",IF(ISNUMBER(AE166),IF(AND(AE166&gt;='2026 Calendar'!$C$4,AE166&lt;='2026 Calendar'!$E$107),LOOKUP(AE166,'2026 Calendar'!$C$4:$C$107,'2026 Calendar'!$A$4:$A$107),YEAR(AE166-WEEKDAY(AE166,2)+4)&amp;"/W"&amp;TEXT(WEEKNUM(AE166,21),"00")),IF(IFERROR(ISNUMBER(SEARCH("/W",AE166)),FALSE),IF(IFERROR(ISNUMBER(SEARCH("-",AE166)),FALSE),MID(AE166,SEARCH("-",AE166)+1,100),AE166),AE166)))</f>
        <v>2026/W49</v>
      </c>
      <c r="AH166" s="2" t="s">
        <v>56</v>
      </c>
      <c r="AI166" s="254"/>
      <c r="AJ166" s="283">
        <v>46241</v>
      </c>
      <c r="AK166" s="2" t="s">
        <v>56</v>
      </c>
      <c r="AL166" s="254"/>
      <c r="AM166" s="283">
        <v>46241</v>
      </c>
      <c r="AN166" s="2" t="s">
        <v>56</v>
      </c>
      <c r="AO166" s="254"/>
      <c r="AP166" s="283">
        <v>46241</v>
      </c>
      <c r="AQ166" s="2" t="s">
        <v>56</v>
      </c>
      <c r="AR166" s="254"/>
      <c r="AS166" s="283">
        <v>46241</v>
      </c>
      <c r="AT166" s="2" t="s">
        <v>73</v>
      </c>
      <c r="AU166" s="254"/>
      <c r="AV166" s="283"/>
      <c r="AW166" s="2" t="s">
        <v>73</v>
      </c>
      <c r="AX166" s="254"/>
      <c r="AY166" s="283"/>
      <c r="AZ166" s="2" t="s">
        <v>73</v>
      </c>
      <c r="BA166" s="254"/>
      <c r="BB166" s="283"/>
      <c r="BC166" s="2" t="str">
        <f t="shared" si="32"/>
        <v>Active</v>
      </c>
      <c r="BE166" s="119" t="str">
        <f t="shared" si="33"/>
        <v>NPI: All development items approved/closed for SW49</v>
      </c>
    </row>
    <row r="167" spans="1:58" x14ac:dyDescent="0.35">
      <c r="A167" s="2" t="str">
        <f>IFERROR(VLOOKUP(E167,'Customer '!$A$4:$D$25,3,FALSE),"")</f>
        <v>NON RH</v>
      </c>
      <c r="B167" s="2" t="s">
        <v>323</v>
      </c>
      <c r="C167" s="2" t="s">
        <v>414</v>
      </c>
      <c r="E167" s="2" t="s">
        <v>448</v>
      </c>
      <c r="F167" s="2" t="str">
        <f>IFERROR(VLOOKUP(E167,'Customer '!$A$4:$D$28,2,FALSE),"")</f>
        <v>SH</v>
      </c>
      <c r="G167" s="2" t="s">
        <v>449</v>
      </c>
      <c r="H16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2026-SH-OAKLEY COURT MINI BAR BRIEF</v>
      </c>
      <c r="I167" s="2">
        <f ca="1">IF(OR($H167="",$B167=""),0,--(COUNTIFS($H$3:$H167,$H167,$B$3:$B167,$B167)=1))</f>
        <v>1</v>
      </c>
      <c r="J167" s="2" t="s">
        <v>309</v>
      </c>
      <c r="K167" s="2" t="s">
        <v>273</v>
      </c>
      <c r="L167" s="2" t="s">
        <v>372</v>
      </c>
      <c r="M167" s="283"/>
      <c r="N167" s="283">
        <v>46275</v>
      </c>
      <c r="O167" s="284"/>
      <c r="P167" s="2" t="s">
        <v>430</v>
      </c>
      <c r="R167" s="2">
        <v>0</v>
      </c>
      <c r="S167" s="2">
        <v>0</v>
      </c>
      <c r="V167" s="276">
        <v>1</v>
      </c>
      <c r="W167" s="276">
        <v>1</v>
      </c>
      <c r="X167" s="280">
        <v>2230.98</v>
      </c>
      <c r="Y167" s="280">
        <v>2230.98</v>
      </c>
      <c r="Z167" s="2" t="s">
        <v>303</v>
      </c>
      <c r="AA167" s="2" t="str">
        <f t="shared" si="34"/>
        <v>2026</v>
      </c>
      <c r="AB167" s="283"/>
      <c r="AC167" s="283"/>
      <c r="AD167" s="277">
        <v>46346</v>
      </c>
      <c r="AE167" s="283">
        <v>46346</v>
      </c>
      <c r="AF167" s="2" t="str">
        <f>IF(AD167="","",IF(ISNUMBER(AD167),IF(AND(AD167&gt;='2026 Calendar'!$C$4,AD167&lt;='2026 Calendar'!$E$107),LOOKUP(AD167,'2026 Calendar'!$C$4:$C$107,'2026 Calendar'!$A$4:$A$107),YEAR(AD167-WEEKDAY(AD167,2)+4)&amp;"/W"&amp;TEXT(WEEKNUM(AD167,21),"00")),IF(IFERROR(ISNUMBER(SEARCH("/W",AD167)),FALSE),IF(IFERROR(ISNUMBER(SEARCH("-",AD167)),FALSE),LEFT(AD167,SEARCH("-",AD167)-1),AD167),AD167)))</f>
        <v>2026/W47</v>
      </c>
      <c r="AG167" s="2" t="str">
        <f>IF(AE167="","",IF(ISNUMBER(AE167),IF(AND(AE167&gt;='2026 Calendar'!$C$4,AE167&lt;='2026 Calendar'!$E$107),LOOKUP(AE167,'2026 Calendar'!$C$4:$C$107,'2026 Calendar'!$A$4:$A$107),YEAR(AE167-WEEKDAY(AE167,2)+4)&amp;"/W"&amp;TEXT(WEEKNUM(AE167,21),"00")),IF(IFERROR(ISNUMBER(SEARCH("/W",AE167)),FALSE),IF(IFERROR(ISNUMBER(SEARCH("-",AE167)),FALSE),MID(AE167,SEARCH("-",AE167)+1,100),AE167),AE167)))</f>
        <v>2026/W47</v>
      </c>
      <c r="AH167" s="2" t="s">
        <v>56</v>
      </c>
      <c r="AI167" s="254"/>
      <c r="AJ167" s="283"/>
      <c r="AK167" s="2" t="s">
        <v>56</v>
      </c>
      <c r="AL167" s="254"/>
      <c r="AM167" s="283"/>
      <c r="AO167" s="254"/>
      <c r="AP167" s="283"/>
      <c r="AR167" s="254"/>
      <c r="AS167" s="283"/>
      <c r="AU167" s="254"/>
      <c r="AV167" s="283"/>
      <c r="AX167" s="254"/>
      <c r="AY167" s="283"/>
      <c r="BA167" s="254"/>
      <c r="BB167" s="283"/>
      <c r="BC167" s="2" t="str">
        <f t="shared" si="32"/>
        <v>Active</v>
      </c>
      <c r="BE167" s="119" t="str">
        <f t="shared" si="33"/>
        <v>NPD: All development items approved/closed for SW47</v>
      </c>
    </row>
    <row r="168" spans="1:58" x14ac:dyDescent="0.35">
      <c r="A168" s="2" t="str">
        <f>IFERROR(VLOOKUP(E168,'Customer '!$A$4:$D$25,3,FALSE),"")</f>
        <v>NON RH</v>
      </c>
      <c r="B168" s="2" t="s">
        <v>268</v>
      </c>
      <c r="C168" s="2" t="s">
        <v>414</v>
      </c>
      <c r="E168" s="2" t="s">
        <v>448</v>
      </c>
      <c r="F168" s="2" t="str">
        <f>IFERROR(VLOOKUP(E168,'Customer '!$A$4:$D$28,2,FALSE),"")</f>
        <v>SH</v>
      </c>
      <c r="G168" s="2" t="s">
        <v>449</v>
      </c>
      <c r="H16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2026-SH-OAKLEY COURT MINI BAR BRIEF</v>
      </c>
      <c r="I168" s="2">
        <f ca="1">IF(OR($H168="",$B168=""),0,--(COUNTIFS($H$3:$H168,$H168,$B$3:$B168,$B168)=1))</f>
        <v>1</v>
      </c>
      <c r="J168" s="2" t="s">
        <v>284</v>
      </c>
      <c r="K168" s="2" t="s">
        <v>273</v>
      </c>
      <c r="L168" s="2" t="s">
        <v>317</v>
      </c>
      <c r="M168" s="283"/>
      <c r="N168" s="283"/>
      <c r="O168" s="284"/>
      <c r="P168" s="2" t="s">
        <v>430</v>
      </c>
      <c r="R168" s="2">
        <v>1</v>
      </c>
      <c r="S168" s="2">
        <v>1</v>
      </c>
      <c r="V168" s="276">
        <v>4</v>
      </c>
      <c r="W168" s="276">
        <v>333</v>
      </c>
      <c r="X168" s="280">
        <v>210727.22</v>
      </c>
      <c r="Y168" s="280">
        <v>210727.22</v>
      </c>
      <c r="Z168" s="2" t="s">
        <v>345</v>
      </c>
      <c r="AA168" s="2" t="str">
        <f t="shared" si="34"/>
        <v>2027</v>
      </c>
      <c r="AB168" s="283"/>
      <c r="AC168" s="283"/>
      <c r="AD168" s="277">
        <v>46486</v>
      </c>
      <c r="AE168" s="283">
        <v>46493</v>
      </c>
      <c r="AF168" s="2" t="str">
        <f>IF(AD168="","",IF(ISNUMBER(AD168),IF(AND(AD168&gt;='2026 Calendar'!$C$4,AD168&lt;='2026 Calendar'!$E$107),LOOKUP(AD168,'2026 Calendar'!$C$4:$C$107,'2026 Calendar'!$A$4:$A$107),YEAR(AD168-WEEKDAY(AD168,2)+4)&amp;"/W"&amp;TEXT(WEEKNUM(AD168,21),"00")),IF(IFERROR(ISNUMBER(SEARCH("/W",AD168)),FALSE),IF(IFERROR(ISNUMBER(SEARCH("-",AD168)),FALSE),LEFT(AD168,SEARCH("-",AD168)-1),AD168),AD168)))</f>
        <v>2027/W15</v>
      </c>
      <c r="AG168" s="2" t="str">
        <f>IF(AE168="","",IF(ISNUMBER(AE168),IF(AND(AE168&gt;='2026 Calendar'!$C$4,AE168&lt;='2026 Calendar'!$E$107),LOOKUP(AE168,'2026 Calendar'!$C$4:$C$107,'2026 Calendar'!$A$4:$A$107),YEAR(AE168-WEEKDAY(AE168,2)+4)&amp;"/W"&amp;TEXT(WEEKNUM(AE168,21),"00")),IF(IFERROR(ISNUMBER(SEARCH("/W",AE168)),FALSE),IF(IFERROR(ISNUMBER(SEARCH("-",AE168)),FALSE),MID(AE168,SEARCH("-",AE168)+1,100),AE168),AE168)))</f>
        <v>2027/W16</v>
      </c>
      <c r="AH168" s="2" t="s">
        <v>304</v>
      </c>
      <c r="AI168" s="254"/>
      <c r="AJ168" s="283"/>
      <c r="AK168" s="2" t="s">
        <v>304</v>
      </c>
      <c r="AL168" s="254"/>
      <c r="AM168" s="283"/>
      <c r="AO168" s="254"/>
      <c r="AP168" s="283"/>
      <c r="AR168" s="254"/>
      <c r="AS168" s="283"/>
      <c r="AU168" s="254"/>
      <c r="AV168" s="283"/>
      <c r="AX168" s="254"/>
      <c r="AY168" s="283"/>
      <c r="BA168" s="254"/>
      <c r="BB168" s="283"/>
      <c r="BC168" s="2" t="str">
        <f t="shared" si="32"/>
        <v>Active</v>
      </c>
      <c r="BE168" s="119" t="str">
        <f t="shared" si="33"/>
        <v>NPI: In progress: Drawing, Veneer/Wood for SW16</v>
      </c>
    </row>
    <row r="169" spans="1:58" x14ac:dyDescent="0.35">
      <c r="A169" s="2" t="str">
        <f>IFERROR(VLOOKUP(E169,'Customer '!$A$4:$D$26,3,FALSE),"")</f>
        <v>NON RH</v>
      </c>
      <c r="B169" s="2" t="s">
        <v>268</v>
      </c>
      <c r="C169" s="2" t="s">
        <v>424</v>
      </c>
      <c r="E169" s="2" t="s">
        <v>450</v>
      </c>
      <c r="F169" s="2" t="str">
        <f>IFERROR(VLOOKUP(E169,'Customer '!$A$4:$D$28,2,FALSE),"")</f>
        <v>AG</v>
      </c>
      <c r="G169" s="2" t="s">
        <v>451</v>
      </c>
      <c r="H16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2026-AG-8 EATON LANE</v>
      </c>
      <c r="I169" s="2">
        <f ca="1">IF(OR($H169="",$B169=""),0,--(COUNTIFS($H$3:$H169,$H169,$B$3:$B169,$B169)=1))</f>
        <v>1</v>
      </c>
      <c r="J169" s="2" t="s">
        <v>309</v>
      </c>
      <c r="K169" s="2" t="s">
        <v>273</v>
      </c>
      <c r="L169" s="2" t="s">
        <v>310</v>
      </c>
      <c r="M169" s="283"/>
      <c r="N169" s="283">
        <v>46239</v>
      </c>
      <c r="O169" s="284"/>
      <c r="P169" s="2" t="s">
        <v>430</v>
      </c>
      <c r="Q169" s="2" t="s">
        <v>430</v>
      </c>
      <c r="R169" s="2">
        <v>7</v>
      </c>
      <c r="S169" s="2">
        <v>9</v>
      </c>
      <c r="V169" s="276">
        <v>7</v>
      </c>
      <c r="W169" s="276">
        <v>9</v>
      </c>
      <c r="X169" s="280">
        <v>14883.84</v>
      </c>
      <c r="Y169" s="280">
        <v>14883.84</v>
      </c>
      <c r="Z169" s="2" t="s">
        <v>330</v>
      </c>
      <c r="AA169" s="2" t="str">
        <f t="shared" si="34"/>
        <v>2026</v>
      </c>
      <c r="AB169" s="283">
        <v>46352</v>
      </c>
      <c r="AC169" s="283">
        <v>46352</v>
      </c>
      <c r="AD169" s="277">
        <v>46360</v>
      </c>
      <c r="AE169" s="277">
        <v>46360</v>
      </c>
      <c r="AF169" s="2" t="str">
        <f>IF(AD169="","",IF(ISNUMBER(AD169),IF(AND(AD169&gt;='2026 Calendar'!$C$4,AD169&lt;='2026 Calendar'!$E$107),LOOKUP(AD169,'2026 Calendar'!$C$4:$C$107,'2026 Calendar'!$A$4:$A$107),YEAR(AD169-WEEKDAY(AD169,2)+4)&amp;"/W"&amp;TEXT(WEEKNUM(AD169,21),"00")),IF(IFERROR(ISNUMBER(SEARCH("/W",AD169)),FALSE),IF(IFERROR(ISNUMBER(SEARCH("-",AD169)),FALSE),LEFT(AD169,SEARCH("-",AD169)-1),AD169),AD169)))</f>
        <v>2026/W49</v>
      </c>
      <c r="AG169" s="2" t="str">
        <f>IF(AE169="","",IF(ISNUMBER(AE169),IF(AND(AE169&gt;='2026 Calendar'!$C$4,AE169&lt;='2026 Calendar'!$E$107),LOOKUP(AE169,'2026 Calendar'!$C$4:$C$107,'2026 Calendar'!$A$4:$A$107),YEAR(AE169-WEEKDAY(AE169,2)+4)&amp;"/W"&amp;TEXT(WEEKNUM(AE169,21),"00")),IF(IFERROR(ISNUMBER(SEARCH("/W",AE169)),FALSE),IF(IFERROR(ISNUMBER(SEARCH("-",AE169)),FALSE),MID(AE169,SEARCH("-",AE169)+1,100),AE169),AE169)))</f>
        <v>2026/W49</v>
      </c>
      <c r="AH169" s="2" t="s">
        <v>56</v>
      </c>
      <c r="AI169" s="254"/>
      <c r="AJ169" s="283"/>
      <c r="AK169" s="2" t="s">
        <v>304</v>
      </c>
      <c r="AL169" s="254"/>
      <c r="AM169" s="283"/>
      <c r="AO169" s="254"/>
      <c r="AP169" s="283"/>
      <c r="AR169" s="254"/>
      <c r="AS169" s="283"/>
      <c r="AU169" s="254"/>
      <c r="AV169" s="283"/>
      <c r="AX169" s="254"/>
      <c r="AY169" s="283"/>
      <c r="BA169" s="254"/>
      <c r="BB169" s="283"/>
      <c r="BC169" s="2" t="str">
        <f t="shared" si="32"/>
        <v>Active</v>
      </c>
      <c r="BE169" s="119" t="str">
        <f t="shared" si="33"/>
        <v>NPI: In progress: Veneer/Wood for SW49</v>
      </c>
    </row>
    <row r="170" spans="1:58" x14ac:dyDescent="0.35">
      <c r="A170" s="2" t="str">
        <f>IFERROR(VLOOKUP(E170,'Customer '!$A$4:$D$26,3,FALSE),"")</f>
        <v>NON RH</v>
      </c>
      <c r="B170" s="2" t="s">
        <v>268</v>
      </c>
      <c r="C170" s="2" t="s">
        <v>424</v>
      </c>
      <c r="E170" s="2" t="s">
        <v>450</v>
      </c>
      <c r="F170" s="2" t="str">
        <f>IFERROR(VLOOKUP(E170,'Customer '!$A$4:$D$28,2,FALSE),"")</f>
        <v>AG</v>
      </c>
      <c r="G170" s="2" t="s">
        <v>452</v>
      </c>
      <c r="H17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2026-AG-BOARDROOM FURNITURE</v>
      </c>
      <c r="I170" s="2">
        <f ca="1">IF(OR($H170="",$B170=""),0,--(COUNTIFS($H$3:$H170,$H170,$B$3:$B170,$B170)=1))</f>
        <v>1</v>
      </c>
      <c r="J170" s="2" t="s">
        <v>309</v>
      </c>
      <c r="K170" s="2" t="s">
        <v>273</v>
      </c>
      <c r="L170" s="2" t="s">
        <v>310</v>
      </c>
      <c r="M170" s="283"/>
      <c r="N170" s="283">
        <v>46245</v>
      </c>
      <c r="O170" s="284"/>
      <c r="P170" s="2" t="s">
        <v>430</v>
      </c>
      <c r="Q170" s="2" t="s">
        <v>430</v>
      </c>
      <c r="R170" s="2">
        <v>2</v>
      </c>
      <c r="S170" s="2">
        <v>2</v>
      </c>
      <c r="V170" s="276">
        <v>2</v>
      </c>
      <c r="W170" s="276">
        <v>2</v>
      </c>
      <c r="X170" s="280">
        <v>10410</v>
      </c>
      <c r="Y170" s="280">
        <v>10410</v>
      </c>
      <c r="Z170" s="2" t="s">
        <v>311</v>
      </c>
      <c r="AA170" s="2" t="str">
        <f t="shared" si="34"/>
        <v>2026</v>
      </c>
      <c r="AB170" s="283">
        <v>46352</v>
      </c>
      <c r="AC170" s="283">
        <v>46352</v>
      </c>
      <c r="AD170" s="277">
        <v>46346</v>
      </c>
      <c r="AE170" s="277">
        <v>46346</v>
      </c>
      <c r="AF170" s="2" t="str">
        <f>IF(AD170="","",IF(ISNUMBER(AD170),IF(AND(AD170&gt;='2026 Calendar'!$C$4,AD170&lt;='2026 Calendar'!$E$107),LOOKUP(AD170,'2026 Calendar'!$C$4:$C$107,'2026 Calendar'!$A$4:$A$107),YEAR(AD170-WEEKDAY(AD170,2)+4)&amp;"/W"&amp;TEXT(WEEKNUM(AD170,21),"00")),IF(IFERROR(ISNUMBER(SEARCH("/W",AD170)),FALSE),IF(IFERROR(ISNUMBER(SEARCH("-",AD170)),FALSE),LEFT(AD170,SEARCH("-",AD170)-1),AD170),AD170)))</f>
        <v>2026/W47</v>
      </c>
      <c r="AG170" s="2" t="str">
        <f>IF(AE170="","",IF(ISNUMBER(AE170),IF(AND(AE170&gt;='2026 Calendar'!$C$4,AE170&lt;='2026 Calendar'!$E$107),LOOKUP(AE170,'2026 Calendar'!$C$4:$C$107,'2026 Calendar'!$A$4:$A$107),YEAR(AE170-WEEKDAY(AE170,2)+4)&amp;"/W"&amp;TEXT(WEEKNUM(AE170,21),"00")),IF(IFERROR(ISNUMBER(SEARCH("/W",AE170)),FALSE),IF(IFERROR(ISNUMBER(SEARCH("-",AE170)),FALSE),MID(AE170,SEARCH("-",AE170)+1,100),AE170),AE170)))</f>
        <v>2026/W47</v>
      </c>
      <c r="AH170" s="2" t="s">
        <v>56</v>
      </c>
      <c r="AI170" s="254"/>
      <c r="AJ170" s="283"/>
      <c r="AK170" s="2" t="s">
        <v>304</v>
      </c>
      <c r="AL170" s="254"/>
      <c r="AM170" s="283"/>
      <c r="AO170" s="254"/>
      <c r="AP170" s="283"/>
      <c r="AR170" s="254"/>
      <c r="AS170" s="283"/>
      <c r="AU170" s="254"/>
      <c r="AV170" s="283"/>
      <c r="AX170" s="254"/>
      <c r="AY170" s="283"/>
      <c r="BA170" s="254"/>
      <c r="BB170" s="283"/>
      <c r="BC170" s="2" t="str">
        <f t="shared" si="32"/>
        <v>Active</v>
      </c>
      <c r="BE170" s="119" t="str">
        <f t="shared" si="33"/>
        <v>NPI: In progress: Veneer/Wood for SW47</v>
      </c>
    </row>
    <row r="171" spans="1:58" x14ac:dyDescent="0.35">
      <c r="A171" s="2" t="str">
        <f>IFERROR(VLOOKUP(E171,'Customer '!$A$4:$D$26,3,FALSE),"")</f>
        <v>NON RH</v>
      </c>
      <c r="B171" s="2" t="s">
        <v>268</v>
      </c>
      <c r="C171" s="2" t="s">
        <v>424</v>
      </c>
      <c r="E171" s="2" t="s">
        <v>450</v>
      </c>
      <c r="F171" s="2" t="str">
        <f>IFERROR(VLOOKUP(E171,'Customer '!$A$4:$D$28,2,FALSE),"")</f>
        <v>AG</v>
      </c>
      <c r="G171" s="2" t="s">
        <v>453</v>
      </c>
      <c r="H17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2026-AG-CHARTER STREET TABLES</v>
      </c>
      <c r="I171" s="2">
        <f ca="1">IF(OR($H171="",$B171=""),0,--(COUNTIFS($H$3:$H171,$H171,$B$3:$B171,$B171)=1))</f>
        <v>1</v>
      </c>
      <c r="J171" s="2" t="s">
        <v>309</v>
      </c>
      <c r="K171" s="2" t="s">
        <v>273</v>
      </c>
      <c r="L171" s="2" t="s">
        <v>310</v>
      </c>
      <c r="M171" s="283"/>
      <c r="N171" s="283">
        <v>46245</v>
      </c>
      <c r="O171" s="284"/>
      <c r="P171" s="2" t="s">
        <v>430</v>
      </c>
      <c r="Q171" s="2" t="s">
        <v>430</v>
      </c>
      <c r="R171" s="2">
        <v>5</v>
      </c>
      <c r="S171" s="2">
        <v>9</v>
      </c>
      <c r="V171" s="276">
        <v>5</v>
      </c>
      <c r="W171" s="276">
        <v>9</v>
      </c>
      <c r="X171" s="280">
        <v>16944.240000000002</v>
      </c>
      <c r="Y171" s="280">
        <v>17615.419999999998</v>
      </c>
      <c r="Z171" s="2" t="s">
        <v>311</v>
      </c>
      <c r="AA171" s="2" t="str">
        <f t="shared" si="34"/>
        <v>2026</v>
      </c>
      <c r="AB171" s="283">
        <v>46352</v>
      </c>
      <c r="AC171" s="283">
        <v>46352</v>
      </c>
      <c r="AD171" s="277">
        <v>46346</v>
      </c>
      <c r="AE171" s="277">
        <v>46346</v>
      </c>
      <c r="AF171" s="2" t="str">
        <f>IF(AD171="","",IF(ISNUMBER(AD171),IF(AND(AD171&gt;='2026 Calendar'!$C$4,AD171&lt;='2026 Calendar'!$E$107),LOOKUP(AD171,'2026 Calendar'!$C$4:$C$107,'2026 Calendar'!$A$4:$A$107),YEAR(AD171-WEEKDAY(AD171,2)+4)&amp;"/W"&amp;TEXT(WEEKNUM(AD171,21),"00")),IF(IFERROR(ISNUMBER(SEARCH("/W",AD171)),FALSE),IF(IFERROR(ISNUMBER(SEARCH("-",AD171)),FALSE),LEFT(AD171,SEARCH("-",AD171)-1),AD171),AD171)))</f>
        <v>2026/W47</v>
      </c>
      <c r="AG171" s="2" t="str">
        <f>IF(AE171="","",IF(ISNUMBER(AE171),IF(AND(AE171&gt;='2026 Calendar'!$C$4,AE171&lt;='2026 Calendar'!$E$107),LOOKUP(AE171,'2026 Calendar'!$C$4:$C$107,'2026 Calendar'!$A$4:$A$107),YEAR(AE171-WEEKDAY(AE171,2)+4)&amp;"/W"&amp;TEXT(WEEKNUM(AE171,21),"00")),IF(IFERROR(ISNUMBER(SEARCH("/W",AE171)),FALSE),IF(IFERROR(ISNUMBER(SEARCH("-",AE171)),FALSE),MID(AE171,SEARCH("-",AE171)+1,100),AE171),AE171)))</f>
        <v>2026/W47</v>
      </c>
      <c r="AH171" s="2" t="s">
        <v>56</v>
      </c>
      <c r="AI171" s="254"/>
      <c r="AJ171" s="283"/>
      <c r="AK171" s="2" t="s">
        <v>304</v>
      </c>
      <c r="AL171" s="254"/>
      <c r="AM171" s="283"/>
      <c r="AO171" s="254"/>
      <c r="AP171" s="283"/>
      <c r="AR171" s="254"/>
      <c r="AS171" s="283"/>
      <c r="AU171" s="254"/>
      <c r="AV171" s="283"/>
      <c r="AX171" s="254"/>
      <c r="AY171" s="283"/>
      <c r="BA171" s="254"/>
      <c r="BB171" s="283"/>
      <c r="BC171" s="2" t="str">
        <f t="shared" si="32"/>
        <v>Active</v>
      </c>
      <c r="BE171" s="119" t="str">
        <f t="shared" si="33"/>
        <v>NPI: In progress: Veneer/Wood for SW47</v>
      </c>
    </row>
    <row r="172" spans="1:58" x14ac:dyDescent="0.35">
      <c r="A172" s="2" t="str">
        <f>IFERROR(VLOOKUP(E172,'Customer '!$A$4:$D$23,3,FALSE),"")</f>
        <v>RH</v>
      </c>
      <c r="B172" s="2" t="s">
        <v>268</v>
      </c>
      <c r="C172" s="2" t="s">
        <v>308</v>
      </c>
      <c r="D172" s="2" t="s">
        <v>425</v>
      </c>
      <c r="E172" s="2" t="s">
        <v>61</v>
      </c>
      <c r="F172" s="2" t="str">
        <f>IFERROR(VLOOKUP(E172,'Customer '!$A$4:$D$28,2,FALSE),"")</f>
        <v>RH</v>
      </c>
      <c r="G172" s="2" t="s">
        <v>454</v>
      </c>
      <c r="H17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2026-RH-DEER VALLEY  </v>
      </c>
      <c r="I172" s="2">
        <f ca="1">IF(OR($H172="",$B172=""),0,--(COUNTIFS($H$3:$H172,$H172,$B$3:$B172,$B172)=1))</f>
        <v>1</v>
      </c>
      <c r="J172" s="2" t="s">
        <v>316</v>
      </c>
      <c r="K172" s="2" t="s">
        <v>273</v>
      </c>
      <c r="L172" s="2" t="s">
        <v>285</v>
      </c>
      <c r="M172" s="283">
        <v>46276</v>
      </c>
      <c r="N172" s="283" t="s">
        <v>1557</v>
      </c>
      <c r="O172" s="284"/>
      <c r="P172" s="2" t="s">
        <v>51</v>
      </c>
      <c r="Q172" s="2" t="s">
        <v>335</v>
      </c>
      <c r="R172" s="2">
        <v>0</v>
      </c>
      <c r="S172" s="2">
        <v>0</v>
      </c>
      <c r="V172" s="276">
        <v>4</v>
      </c>
      <c r="W172" s="276">
        <v>45</v>
      </c>
      <c r="X172" s="280">
        <v>47893.859999999993</v>
      </c>
      <c r="Y172" s="280">
        <v>47893.859999999993</v>
      </c>
      <c r="Z172" s="2" t="s">
        <v>1615</v>
      </c>
      <c r="AA172" s="2" t="str">
        <f t="shared" si="34"/>
        <v>2028</v>
      </c>
      <c r="AB172" s="283"/>
      <c r="AC172" s="283"/>
      <c r="AD172" s="277" t="s">
        <v>149</v>
      </c>
      <c r="AE172" s="278" t="s">
        <v>149</v>
      </c>
      <c r="AF172" s="2" t="str">
        <f>IF(AD172="","",IF(ISNUMBER(AD172),IF(AND(AD172&gt;='2026 Calendar'!$C$4,AD172&lt;='2026 Calendar'!$E$107),LOOKUP(AD172,'2026 Calendar'!$C$4:$C$107,'2026 Calendar'!$A$4:$A$107),YEAR(AD172-WEEKDAY(AD172,2)+4)&amp;"/W"&amp;TEXT(WEEKNUM(AD172,21),"00")),IF(IFERROR(ISNUMBER(SEARCH("/W",AD172)),FALSE),IF(IFERROR(ISNUMBER(SEARCH("-",AD172)),FALSE),LEFT(AD172,SEARCH("-",AD172)-1),AD172),AD172)))</f>
        <v>TBC</v>
      </c>
      <c r="AG172" s="2" t="str">
        <f>IF(AE172="","",IF(ISNUMBER(AE172),IF(AND(AE172&gt;='2026 Calendar'!$C$4,AE172&lt;='2026 Calendar'!$E$107),LOOKUP(AE172,'2026 Calendar'!$C$4:$C$107,'2026 Calendar'!$A$4:$A$107),YEAR(AE172-WEEKDAY(AE172,2)+4)&amp;"/W"&amp;TEXT(WEEKNUM(AE172,21),"00")),IF(IFERROR(ISNUMBER(SEARCH("/W",AE172)),FALSE),IF(IFERROR(ISNUMBER(SEARCH("-",AE172)),FALSE),MID(AE172,SEARCH("-",AE172)+1,100),AE172),AE172)))</f>
        <v>TBC</v>
      </c>
      <c r="AH172" s="2" t="s">
        <v>318</v>
      </c>
      <c r="AI172" s="283"/>
      <c r="AJ172" s="283"/>
      <c r="AK172" s="2" t="s">
        <v>318</v>
      </c>
      <c r="AL172" s="283"/>
      <c r="AM172" s="283"/>
      <c r="AN172" s="2" t="s">
        <v>73</v>
      </c>
      <c r="AO172" s="283"/>
      <c r="AP172" s="283"/>
      <c r="AQ172" s="2" t="s">
        <v>318</v>
      </c>
      <c r="AR172" s="283"/>
      <c r="AS172" s="283"/>
      <c r="AT172" s="2" t="s">
        <v>73</v>
      </c>
      <c r="AU172" s="283"/>
      <c r="AV172" s="283"/>
      <c r="AW172" s="2" t="s">
        <v>73</v>
      </c>
      <c r="AX172" s="283"/>
      <c r="AY172" s="283"/>
      <c r="AZ172" s="2" t="s">
        <v>73</v>
      </c>
      <c r="BA172" s="283"/>
      <c r="BB172" s="283"/>
      <c r="BC172" s="2" t="str">
        <f t="shared" si="32"/>
        <v>Active</v>
      </c>
      <c r="BE172" s="119" t="str">
        <f t="shared" si="33"/>
        <v>NPI: Pending approval: Drawing, Veneer/Wood, Metal for SW TBC</v>
      </c>
    </row>
    <row r="173" spans="1:58" ht="29" x14ac:dyDescent="0.35">
      <c r="A173" s="2" t="str">
        <f>IFERROR(VLOOKUP(E173,'Customer '!$A$4:$D$23,3,FALSE),"")</f>
        <v>RH</v>
      </c>
      <c r="B173" s="2" t="s">
        <v>268</v>
      </c>
      <c r="C173" s="2" t="s">
        <v>308</v>
      </c>
      <c r="E173" s="2" t="s">
        <v>61</v>
      </c>
      <c r="F173" s="2" t="str">
        <f>IFERROR(VLOOKUP(E173,'Customer '!$A$4:$D$28,2,FALSE),"")</f>
        <v>RH</v>
      </c>
      <c r="G173" s="2" t="s">
        <v>455</v>
      </c>
      <c r="H17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 xml:space="preserve">2026-RH-ALTERRA_DEER VALLEY </v>
      </c>
      <c r="I173" s="2">
        <f ca="1">IF(OR($H173="",$B173=""),0,--(COUNTIFS($H$3:$H173,$H173,$B$3:$B173,$B173)=1))</f>
        <v>1</v>
      </c>
      <c r="J173" s="2" t="s">
        <v>284</v>
      </c>
      <c r="K173" s="2" t="s">
        <v>273</v>
      </c>
      <c r="L173" s="2" t="s">
        <v>285</v>
      </c>
      <c r="M173" s="283"/>
      <c r="N173" s="283"/>
      <c r="O173" s="284"/>
      <c r="P173" s="2" t="s">
        <v>51</v>
      </c>
      <c r="Q173" s="2" t="s">
        <v>335</v>
      </c>
      <c r="R173" s="2">
        <v>0</v>
      </c>
      <c r="S173" s="2">
        <v>0</v>
      </c>
      <c r="X173" s="280">
        <v>228194</v>
      </c>
      <c r="Y173" s="280">
        <v>228194</v>
      </c>
      <c r="Z173" s="2" t="s">
        <v>286</v>
      </c>
      <c r="AA173" s="2" t="str">
        <f t="shared" ref="AA173:AA179" si="35">IF(Z173="","",IF(OR(Z173="TBC",Z173="Removed"),Z173,LEFT(Z173,4)))</f>
        <v>2027</v>
      </c>
      <c r="AB173" s="283"/>
      <c r="AC173" s="283"/>
      <c r="AD173" s="277" t="s">
        <v>149</v>
      </c>
      <c r="AE173" s="278" t="s">
        <v>149</v>
      </c>
      <c r="AF173" s="2" t="str">
        <f>IF(AD173="","",IF(ISNUMBER(AD173),IF(AND(AD173&gt;='2026 Calendar'!$C$4,AD173&lt;='2026 Calendar'!$E$107),LOOKUP(AD173,'2026 Calendar'!$C$4:$C$107,'2026 Calendar'!$A$4:$A$107),YEAR(AD173-WEEKDAY(AD173,2)+4)&amp;"/W"&amp;TEXT(WEEKNUM(AD173,21),"00")),IF(IFERROR(ISNUMBER(SEARCH("/W",AD173)),FALSE),IF(IFERROR(ISNUMBER(SEARCH("-",AD173)),FALSE),LEFT(AD173,SEARCH("-",AD173)-1),AD173),AD173)))</f>
        <v>TBC</v>
      </c>
      <c r="AG173" s="2" t="str">
        <f>IF(AE173="","",IF(ISNUMBER(AE173),IF(AND(AE173&gt;='2026 Calendar'!$C$4,AE173&lt;='2026 Calendar'!$E$107),LOOKUP(AE173,'2026 Calendar'!$C$4:$C$107,'2026 Calendar'!$A$4:$A$107),YEAR(AE173-WEEKDAY(AE173,2)+4)&amp;"/W"&amp;TEXT(WEEKNUM(AE173,21),"00")),IF(IFERROR(ISNUMBER(SEARCH("/W",AE173)),FALSE),IF(IFERROR(ISNUMBER(SEARCH("-",AE173)),FALSE),MID(AE173,SEARCH("-",AE173)+1,100),AE173),AE173)))</f>
        <v>TBC</v>
      </c>
      <c r="AH173" s="2" t="s">
        <v>287</v>
      </c>
      <c r="AI173" s="283"/>
      <c r="AJ173" s="283"/>
      <c r="AK173" s="2" t="s">
        <v>287</v>
      </c>
      <c r="AL173" s="283"/>
      <c r="AM173" s="283"/>
      <c r="AN173" s="2" t="s">
        <v>287</v>
      </c>
      <c r="AO173" s="283"/>
      <c r="AP173" s="283"/>
      <c r="AQ173" s="2" t="s">
        <v>304</v>
      </c>
      <c r="AR173" s="283"/>
      <c r="AS173" s="283"/>
      <c r="AT173" s="2" t="s">
        <v>73</v>
      </c>
      <c r="AU173" s="283"/>
      <c r="AV173" s="283"/>
      <c r="AW173" s="2" t="s">
        <v>73</v>
      </c>
      <c r="AX173" s="283"/>
      <c r="AY173" s="283"/>
      <c r="AZ173" s="2" t="s">
        <v>73</v>
      </c>
      <c r="BA173" s="283"/>
      <c r="BB173" s="283"/>
      <c r="BC173" s="2" t="str">
        <f t="shared" si="32"/>
        <v>Active</v>
      </c>
      <c r="BE173" s="119" t="str">
        <f>IF(UPPER(TRIM(J173))="SHIPPED","READY",_xlfn.LET(_xlpm.stage,IF(B173="","",B173&amp;": "),_xlpm.ip,_xlfn.TEXTJOIN(", ",TRUE,IF(LOWER(AH173)="in progress","Drawing",""),IF(LOWER(AK173)="in progress","Veneer/Wood",""),IF(LOWER(AN191)="in progress","Marble",""),IF(LOWER(AQ173)="in progress","Metal",""),IF(LOWER(AT173)="in progress","Mirror",""),IF(LOWER(AW173)="in progress","Electrical",""),IF(LOWER(AZ173)="in progress","Fabric","")),_xlpm.pa,_xlfn.TEXTJOIN(", ",TRUE,IF(LOWER(AH173)="pending approval","Drawing",""),IF(LOWER(AK173)="pending approval","Veneer/Wood",""),IF(LOWER(AN191)="pending approval","Marble",""),IF(LOWER(AQ173)="pending approval","Metal",""),IF(LOWER(AT173)="pending approval","Mirror",""),IF(LOWER(AW173)="pending approval","Electrical",""),IF(LOWER(AZ173)="pending approval","Fabric","")),_xlpm.ns,_xlfn.TEXTJOIN(", ",TRUE,IF(LOWER(AH173)="not started","Drawing",""),IF(LOWER(AK173)="not started","Veneer/Wood",""),IF(LOWER(AN191)="not started","Marble",""),IF(LOWER(AQ173)="not started","Metal",""),IF(LOWER(AT173)="not started","Mirror",""),IF(LOWER(AW173)="not started","Electrical",""),IF(LOWER(AZ173)="not started","Fabric","")),_xlpm.fab,IF(OR(LOWER(AZ173)="com",LOWER(AZ173)="com pending",LOWER(AZ173)="com received"),"Fabric is "&amp;LOWER(AZ173),""),_xlpm.parts,_xlfn.TEXTJOIN("; ",TRUE,IF(_xlpm.ip&lt;&gt;"","In progress: "&amp;_xlpm.ip,""),IF(_xlpm.pa&lt;&gt;"","Pending approval: "&amp;_xlpm.pa,""),IF(_xlpm.ns&lt;&gt;"","Not started: "&amp;_xlpm.ns,""),_xlpm.fab),_xlpm.deadline,MIN(IF(AND(AH173&lt;&gt;"",LOWER(AH173)&lt;&gt;"approved",LOWER(AH173)&lt;&gt;"n/a",ISNUMBER(AI173)),AI173,1E+99),IF(AND(AK173&lt;&gt;"",LOWER(AK173)&lt;&gt;"approved",LOWER(AK173)&lt;&gt;"n/a",ISNUMBER(AL173)),AL173,1E+99),IF(AND(AN191&lt;&gt;"",LOWER(AN191)&lt;&gt;"approved",LOWER(AN191)&lt;&gt;"n/a",ISNUMBER(AO173)),AO173,1E+99),IF(AND(AQ173&lt;&gt;"",LOWER(AQ173)&lt;&gt;"approved",LOWER(AQ173)&lt;&gt;"n/a",ISNUMBER(AR173)),AR173,1E+99),IF(AND(AT173&lt;&gt;"",LOWER(AT173)&lt;&gt;"approved",LOWER(AT173)&lt;&gt;"n/a",ISNUMBER(AU173)),AU173,1E+99),IF(AND(AW173&lt;&gt;"",LOWER(AW173)&lt;&gt;"approved",LOWER(AW173)&lt;&gt;"n/a",ISNUMBER(AX173)),AX173,1E+99),IF(AND(AZ173&lt;&gt;"",LOWER(AZ173)&lt;&gt;"approved",LOWER(AZ173)&lt;&gt;"n/a",ISNUMBER(BA173)),BA173,1E+99)),_xlpm.sw,IF(AG173="","",IFERROR("SW"&amp;MID(AG173,FIND("/W",AG173)+2,99),"SW "&amp;AG173)),_xlpm.stage&amp;IF(_xlpm.parts="","All development items approved/closed",_xlpm.parts)&amp;IF(AND(_xlpm.parts&lt;&gt;"",_xlpm.deadline&lt;1E+99),"; need approval by "&amp;TEXT(_xlpm.deadline,"d-mmm-yy"),"")&amp;IF(_xlpm.sw&lt;&gt;""," for "&amp;_xlpm.sw,"")))</f>
        <v>NPI: In progress: Metal; Not started: Drawing, Veneer/Wood, Marble for SW TBC</v>
      </c>
    </row>
    <row r="174" spans="1:58" x14ac:dyDescent="0.35">
      <c r="A174" s="2" t="str">
        <f>IFERROR(VLOOKUP(E174,'Customer '!$A$4:$D$23,3,FALSE),"")</f>
        <v>NON RH</v>
      </c>
      <c r="B174" s="2" t="s">
        <v>268</v>
      </c>
      <c r="C174" s="2" t="s">
        <v>375</v>
      </c>
      <c r="E174" s="2" t="s">
        <v>427</v>
      </c>
      <c r="F174" s="2" t="str">
        <f>IFERROR(VLOOKUP(E174,'Customer '!$A$4:$D$28,2,FALSE),"")</f>
        <v>BISCAYNE</v>
      </c>
      <c r="G174" s="2" t="s">
        <v>456</v>
      </c>
      <c r="H174" s="2" t="s">
        <v>457</v>
      </c>
      <c r="I174" s="2">
        <f ca="1">IF(OR($H174="",$B174=""),0,--(COUNTIFS($H$3:$H174,$H174,$B$3:$B174,$B174)=1))</f>
        <v>1</v>
      </c>
      <c r="J174" s="2" t="s">
        <v>133</v>
      </c>
      <c r="K174" s="2" t="s">
        <v>273</v>
      </c>
      <c r="L174" s="2" t="s">
        <v>317</v>
      </c>
      <c r="M174" s="283"/>
      <c r="N174" s="283"/>
      <c r="O174" s="284"/>
      <c r="P174" s="2" t="s">
        <v>51</v>
      </c>
      <c r="Q174" s="2" t="s">
        <v>1608</v>
      </c>
      <c r="R174" s="2">
        <v>17</v>
      </c>
      <c r="S174" s="2">
        <v>41</v>
      </c>
      <c r="V174" s="276">
        <v>28</v>
      </c>
      <c r="W174" s="276">
        <v>162</v>
      </c>
      <c r="X174" s="280">
        <v>156985.75999999995</v>
      </c>
      <c r="Y174" s="280">
        <v>156985.75999999995</v>
      </c>
      <c r="Z174" s="2" t="s">
        <v>315</v>
      </c>
      <c r="AA174" s="2" t="str">
        <f t="shared" si="35"/>
        <v>2027</v>
      </c>
      <c r="AB174" s="283">
        <v>46367</v>
      </c>
      <c r="AC174" s="283">
        <v>46367</v>
      </c>
      <c r="AD174" s="277">
        <v>46388</v>
      </c>
      <c r="AE174" s="283">
        <v>46416</v>
      </c>
      <c r="AF174" s="2" t="str">
        <f>IF(AD174="","",IF(ISNUMBER(AD174),IF(AND(AD174&gt;='2026 Calendar'!$C$4,AD174&lt;='2026 Calendar'!$E$107),LOOKUP(AD174,'2026 Calendar'!$C$4:$C$107,'2026 Calendar'!$A$4:$A$107),YEAR(AD174-WEEKDAY(AD174,2)+4)&amp;"/W"&amp;TEXT(WEEKNUM(AD174,21),"00")),IF(IFERROR(ISNUMBER(SEARCH("/W",AD174)),FALSE),IF(IFERROR(ISNUMBER(SEARCH("-",AD174)),FALSE),LEFT(AD174,SEARCH("-",AD174)-1),AD174),AD174)))</f>
        <v>2027/W01</v>
      </c>
      <c r="AG174" s="2" t="str">
        <f>IF(AE174="","",IF(ISNUMBER(AE174),IF(AND(AE174&gt;='2026 Calendar'!$C$4,AE174&lt;='2026 Calendar'!$E$107),LOOKUP(AE174,'2026 Calendar'!$C$4:$C$107,'2026 Calendar'!$A$4:$A$107),YEAR(AE174-WEEKDAY(AE174,2)+4)&amp;"/W"&amp;TEXT(WEEKNUM(AE174,21),"00")),IF(IFERROR(ISNUMBER(SEARCH("/W",AE174)),FALSE),IF(IFERROR(ISNUMBER(SEARCH("-",AE174)),FALSE),MID(AE174,SEARCH("-",AE174)+1,100),AE174),AE174)))</f>
        <v>2027/W05</v>
      </c>
      <c r="AH174" s="2" t="s">
        <v>304</v>
      </c>
      <c r="AI174" s="254"/>
      <c r="AJ174" s="283"/>
      <c r="AK174" s="2" t="s">
        <v>304</v>
      </c>
      <c r="AL174" s="254"/>
      <c r="AM174" s="283"/>
      <c r="AO174" s="254"/>
      <c r="AP174" s="283"/>
      <c r="AR174" s="254"/>
      <c r="AS174" s="283"/>
      <c r="AU174" s="254"/>
      <c r="AV174" s="283"/>
      <c r="AX174" s="254"/>
      <c r="AY174" s="283"/>
      <c r="BA174" s="254"/>
      <c r="BB174" s="283"/>
      <c r="BC174" s="2" t="str">
        <f t="shared" si="32"/>
        <v>Complete</v>
      </c>
      <c r="BD174" s="2" t="s">
        <v>279</v>
      </c>
      <c r="BE174" s="119" t="str">
        <f t="shared" ref="BE174:BE190" si="36">IF(UPPER(TRIM(J174))="SHIPPED","READY",_xlfn.LET(_xlpm.stage,IF(B174="","",B174&amp;": "),_xlpm.ip,_xlfn.TEXTJOIN(", ",TRUE,IF(LOWER(AH174)="in progress","Drawing",""),IF(LOWER(AK174)="in progress","Veneer/Wood",""),IF(LOWER(AN174)="in progress","Marble",""),IF(LOWER(AQ174)="in progress","Metal",""),IF(LOWER(AT174)="in progress","Mirror",""),IF(LOWER(AW174)="in progress","Electrical",""),IF(LOWER(AZ174)="in progress","Fabric","")),_xlpm.pa,_xlfn.TEXTJOIN(", ",TRUE,IF(LOWER(AH174)="pending approval","Drawing",""),IF(LOWER(AK174)="pending approval","Veneer/Wood",""),IF(LOWER(AN174)="pending approval","Marble",""),IF(LOWER(AQ174)="pending approval","Metal",""),IF(LOWER(AT174)="pending approval","Mirror",""),IF(LOWER(AW174)="pending approval","Electrical",""),IF(LOWER(AZ174)="pending approval","Fabric","")),_xlpm.ns,_xlfn.TEXTJOIN(", ",TRUE,IF(LOWER(AH174)="not started","Drawing",""),IF(LOWER(AK174)="not started","Veneer/Wood",""),IF(LOWER(AN174)="not started","Marble",""),IF(LOWER(AQ174)="not started","Metal",""),IF(LOWER(AT174)="not started","Mirror",""),IF(LOWER(AW174)="not started","Electrical",""),IF(LOWER(AZ174)="not started","Fabric","")),_xlpm.fab,IF(OR(LOWER(AZ174)="com",LOWER(AZ174)="com pending",LOWER(AZ174)="com received"),"Fabric is "&amp;LOWER(AZ174),""),_xlpm.parts,_xlfn.TEXTJOIN("; ",TRUE,IF(_xlpm.ip&lt;&gt;"","In progress: "&amp;_xlpm.ip,""),IF(_xlpm.pa&lt;&gt;"","Pending approval: "&amp;_xlpm.pa,""),IF(_xlpm.ns&lt;&gt;"","Not started: "&amp;_xlpm.ns,""),_xlpm.fab),_xlpm.deadline,MIN(IF(AND(AH174&lt;&gt;"",LOWER(AH174)&lt;&gt;"approved",LOWER(AH174)&lt;&gt;"n/a",ISNUMBER(AI174)),AI174,1E+99),IF(AND(AK174&lt;&gt;"",LOWER(AK174)&lt;&gt;"approved",LOWER(AK174)&lt;&gt;"n/a",ISNUMBER(AL174)),AL174,1E+99),IF(AND(AN174&lt;&gt;"",LOWER(AN174)&lt;&gt;"approved",LOWER(AN174)&lt;&gt;"n/a",ISNUMBER(AO174)),AO174,1E+99),IF(AND(AQ174&lt;&gt;"",LOWER(AQ174)&lt;&gt;"approved",LOWER(AQ174)&lt;&gt;"n/a",ISNUMBER(AR174)),AR174,1E+99),IF(AND(AT174&lt;&gt;"",LOWER(AT174)&lt;&gt;"approved",LOWER(AT174)&lt;&gt;"n/a",ISNUMBER(AU174)),AU174,1E+99),IF(AND(AW174&lt;&gt;"",LOWER(AW174)&lt;&gt;"approved",LOWER(AW174)&lt;&gt;"n/a",ISNUMBER(AX174)),AX174,1E+99),IF(AND(AZ174&lt;&gt;"",LOWER(AZ174)&lt;&gt;"approved",LOWER(AZ174)&lt;&gt;"n/a",ISNUMBER(BA174)),BA174,1E+99)),_xlpm.sw,IF(AG174="","",IFERROR("SW"&amp;MID(AG174,FIND("/W",AG174)+2,99),"SW "&amp;AG174)),_xlpm.stage&amp;IF(_xlpm.parts="","All development items approved/closed",_xlpm.parts)&amp;IF(AND(_xlpm.parts&lt;&gt;"",_xlpm.deadline&lt;1E+99),"; need approval by "&amp;TEXT(_xlpm.deadline,"d-mmm-yy"),"")&amp;IF(_xlpm.sw&lt;&gt;""," for "&amp;_xlpm.sw,"")))</f>
        <v>NPI: In progress: Drawing, Veneer/Wood for SW05</v>
      </c>
    </row>
    <row r="175" spans="1:58" ht="29" x14ac:dyDescent="0.35">
      <c r="A175" s="2" t="str">
        <f>IFERROR(VLOOKUP(E175,'Customer '!$A$4:$D$23,3,FALSE),"")</f>
        <v>NON RH</v>
      </c>
      <c r="B175" s="2" t="s">
        <v>268</v>
      </c>
      <c r="C175" s="2" t="s">
        <v>298</v>
      </c>
      <c r="E175" s="2" t="s">
        <v>427</v>
      </c>
      <c r="F175" s="2" t="str">
        <f>IFERROR(VLOOKUP(E175,'Customer '!$A$4:$D$28,2,FALSE),"")</f>
        <v>BISCAYNE</v>
      </c>
      <c r="G175" s="2" t="s">
        <v>458</v>
      </c>
      <c r="H17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2026-BISCAYNE-SLPSC</v>
      </c>
      <c r="I175" s="2">
        <f ca="1">IF(OR($H175="",$B175=""),0,--(COUNTIFS($H$3:$H175,$H175,$B$3:$B175,$B175)=1))</f>
        <v>1</v>
      </c>
      <c r="J175" s="2" t="s">
        <v>309</v>
      </c>
      <c r="K175" s="2" t="s">
        <v>273</v>
      </c>
      <c r="L175" s="2" t="s">
        <v>372</v>
      </c>
      <c r="M175" s="283">
        <v>46252</v>
      </c>
      <c r="N175" s="283">
        <v>46251</v>
      </c>
      <c r="O175" s="284" t="s">
        <v>459</v>
      </c>
      <c r="P175" s="2" t="s">
        <v>51</v>
      </c>
      <c r="Q175" s="2" t="s">
        <v>51</v>
      </c>
      <c r="R175" s="2">
        <v>25</v>
      </c>
      <c r="S175" s="2">
        <v>57</v>
      </c>
      <c r="V175" s="276">
        <v>35</v>
      </c>
      <c r="W175" s="276">
        <v>98</v>
      </c>
      <c r="X175" s="280">
        <v>83963.209999999992</v>
      </c>
      <c r="Y175" s="280">
        <v>83963.209999999992</v>
      </c>
      <c r="Z175" s="2" t="s">
        <v>315</v>
      </c>
      <c r="AA175" s="2" t="str">
        <f t="shared" si="35"/>
        <v>2027</v>
      </c>
      <c r="AB175" s="283">
        <v>46367</v>
      </c>
      <c r="AC175" s="283">
        <v>46367</v>
      </c>
      <c r="AD175" s="277">
        <v>46388</v>
      </c>
      <c r="AE175" s="283">
        <v>46409</v>
      </c>
      <c r="AF175" s="2" t="str">
        <f>IF(AD175="","",IF(ISNUMBER(AD175),IF(AND(AD175&gt;='2026 Calendar'!$C$4,AD175&lt;='2026 Calendar'!$E$107),LOOKUP(AD175,'2026 Calendar'!$C$4:$C$107,'2026 Calendar'!$A$4:$A$107),YEAR(AD175-WEEKDAY(AD175,2)+4)&amp;"/W"&amp;TEXT(WEEKNUM(AD175,21),"00")),IF(IFERROR(ISNUMBER(SEARCH("/W",AD175)),FALSE),IF(IFERROR(ISNUMBER(SEARCH("-",AD175)),FALSE),LEFT(AD175,SEARCH("-",AD175)-1),AD175),AD175)))</f>
        <v>2027/W01</v>
      </c>
      <c r="AG175" s="2" t="str">
        <f>IF(AE175="","",IF(ISNUMBER(AE175),IF(AND(AE175&gt;='2026 Calendar'!$C$4,AE175&lt;='2026 Calendar'!$E$107),LOOKUP(AE175,'2026 Calendar'!$C$4:$C$107,'2026 Calendar'!$A$4:$A$107),YEAR(AE175-WEEKDAY(AE175,2)+4)&amp;"/W"&amp;TEXT(WEEKNUM(AE175,21),"00")),IF(IFERROR(ISNUMBER(SEARCH("/W",AE175)),FALSE),IF(IFERROR(ISNUMBER(SEARCH("-",AE175)),FALSE),MID(AE175,SEARCH("-",AE175)+1,100),AE175),AE175)))</f>
        <v>2027/W04</v>
      </c>
      <c r="AH175" s="2" t="s">
        <v>304</v>
      </c>
      <c r="AI175" s="254">
        <v>46297</v>
      </c>
      <c r="AJ175" s="283"/>
      <c r="AK175" s="2" t="s">
        <v>304</v>
      </c>
      <c r="AL175" s="254">
        <v>46297</v>
      </c>
      <c r="AM175" s="283"/>
      <c r="AN175" s="2" t="s">
        <v>304</v>
      </c>
      <c r="AO175" s="254">
        <v>46297</v>
      </c>
      <c r="AP175" s="283"/>
      <c r="AQ175" s="2" t="s">
        <v>304</v>
      </c>
      <c r="AR175" s="254">
        <v>46297</v>
      </c>
      <c r="AS175" s="283"/>
      <c r="AT175" s="2" t="s">
        <v>304</v>
      </c>
      <c r="AU175" s="254">
        <v>46297</v>
      </c>
      <c r="AV175" s="283"/>
      <c r="AW175" s="2" t="s">
        <v>304</v>
      </c>
      <c r="AX175" s="254">
        <v>46297</v>
      </c>
      <c r="AY175" s="283"/>
      <c r="AZ175" s="2" t="s">
        <v>331</v>
      </c>
      <c r="BA175" s="254"/>
      <c r="BB175" s="283"/>
      <c r="BC175" s="2" t="str">
        <f t="shared" si="32"/>
        <v>Active</v>
      </c>
      <c r="BD175" s="2" t="s">
        <v>279</v>
      </c>
      <c r="BE175" s="119" t="str">
        <f t="shared" si="36"/>
        <v>NPI: In progress: Drawing, Veneer/Wood, Marble, Metal, Mirror, Electrical; Fabric is com pending; need approval by 2-Oct-26 for SW04</v>
      </c>
    </row>
    <row r="176" spans="1:58" x14ac:dyDescent="0.35">
      <c r="A176" s="2" t="str">
        <f>IFERROR(VLOOKUP(E176,'Customer '!$A$4:$D$23,3,FALSE),"")</f>
        <v>NON RH</v>
      </c>
      <c r="B176" s="2" t="s">
        <v>268</v>
      </c>
      <c r="C176" s="2" t="s">
        <v>424</v>
      </c>
      <c r="D176" s="2" t="s">
        <v>394</v>
      </c>
      <c r="E176" s="2" t="s">
        <v>98</v>
      </c>
      <c r="F176" s="2" t="str">
        <f>IFERROR(VLOOKUP(E176,'Customer '!$A$4:$D$28,2,FALSE),"")</f>
        <v xml:space="preserve">FLEETWOOD </v>
      </c>
      <c r="G176" s="2" t="s">
        <v>460</v>
      </c>
      <c r="H17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2026-FLEETWOOD -MGM BELLAGIO</v>
      </c>
      <c r="I176" s="2">
        <f ca="1">IF(OR($H176="",$B176=""),0,--(COUNTIFS($H$3:$H176,$H176,$B$3:$B176,$B176)=1))</f>
        <v>1</v>
      </c>
      <c r="J176" s="2" t="s">
        <v>309</v>
      </c>
      <c r="K176" s="2" t="s">
        <v>273</v>
      </c>
      <c r="L176" s="2" t="s">
        <v>333</v>
      </c>
      <c r="M176" s="283">
        <v>46259</v>
      </c>
      <c r="N176" s="283">
        <v>46259</v>
      </c>
      <c r="O176" s="284" t="s">
        <v>461</v>
      </c>
      <c r="P176" s="2" t="s">
        <v>51</v>
      </c>
      <c r="Q176" s="2" t="s">
        <v>462</v>
      </c>
      <c r="R176" s="2">
        <v>1</v>
      </c>
      <c r="S176" s="2">
        <v>1</v>
      </c>
      <c r="T176" s="2">
        <v>1</v>
      </c>
      <c r="V176" s="276">
        <v>1</v>
      </c>
      <c r="W176" s="276">
        <v>1</v>
      </c>
      <c r="X176" s="280">
        <v>3202</v>
      </c>
      <c r="Y176" s="280">
        <v>3202</v>
      </c>
      <c r="Z176" s="2" t="s">
        <v>330</v>
      </c>
      <c r="AA176" s="2" t="str">
        <f t="shared" si="35"/>
        <v>2026</v>
      </c>
      <c r="AB176" s="283">
        <v>46372</v>
      </c>
      <c r="AC176" s="283">
        <v>46372</v>
      </c>
      <c r="AD176" s="277">
        <v>46360</v>
      </c>
      <c r="AE176" s="283">
        <v>46360</v>
      </c>
      <c r="AF176" s="2" t="str">
        <f>IF(AD176="","",IF(ISNUMBER(AD176),IF(AND(AD176&gt;='2026 Calendar'!$C$4,AD176&lt;='2026 Calendar'!$E$107),LOOKUP(AD176,'2026 Calendar'!$C$4:$C$107,'2026 Calendar'!$A$4:$A$107),YEAR(AD176-WEEKDAY(AD176,2)+4)&amp;"/W"&amp;TEXT(WEEKNUM(AD176,21),"00")),IF(IFERROR(ISNUMBER(SEARCH("/W",AD176)),FALSE),IF(IFERROR(ISNUMBER(SEARCH("-",AD176)),FALSE),LEFT(AD176,SEARCH("-",AD176)-1),AD176),AD176)))</f>
        <v>2026/W49</v>
      </c>
      <c r="AG176" s="2" t="str">
        <f>IF(AE176="","",IF(ISNUMBER(AE176),IF(AND(AE176&gt;='2026 Calendar'!$C$4,AE176&lt;='2026 Calendar'!$E$107),LOOKUP(AE176,'2026 Calendar'!$C$4:$C$107,'2026 Calendar'!$A$4:$A$107),YEAR(AE176-WEEKDAY(AE176,2)+4)&amp;"/W"&amp;TEXT(WEEKNUM(AE176,21),"00")),IF(IFERROR(ISNUMBER(SEARCH("/W",AE176)),FALSE),IF(IFERROR(ISNUMBER(SEARCH("-",AE176)),FALSE),MID(AE176,SEARCH("-",AE176)+1,100),AE176),AE176)))</f>
        <v>2026/W49</v>
      </c>
      <c r="AH176" s="2" t="s">
        <v>56</v>
      </c>
      <c r="AI176" s="283"/>
      <c r="AJ176" s="283">
        <v>46272</v>
      </c>
      <c r="AK176" s="2" t="s">
        <v>56</v>
      </c>
      <c r="AL176" s="278"/>
      <c r="AM176" s="283">
        <v>46276</v>
      </c>
      <c r="AN176" s="2" t="s">
        <v>56</v>
      </c>
      <c r="AO176" s="278"/>
      <c r="AP176" s="283">
        <v>46276</v>
      </c>
      <c r="AQ176" s="2" t="s">
        <v>56</v>
      </c>
      <c r="AR176" s="278"/>
      <c r="AS176" s="283">
        <v>46279</v>
      </c>
      <c r="AT176" s="2" t="s">
        <v>73</v>
      </c>
      <c r="AU176" s="278"/>
      <c r="AV176" s="283"/>
      <c r="AW176" s="2" t="s">
        <v>73</v>
      </c>
      <c r="AX176" s="278"/>
      <c r="AY176" s="283"/>
      <c r="AZ176" s="2" t="s">
        <v>73</v>
      </c>
      <c r="BA176" s="278"/>
      <c r="BB176" s="283"/>
      <c r="BC176" s="2" t="str">
        <f t="shared" si="32"/>
        <v>Active</v>
      </c>
      <c r="BE176" s="119" t="str">
        <f t="shared" si="36"/>
        <v>NPI: All development items approved/closed for SW49</v>
      </c>
      <c r="BF176" s="2" t="s">
        <v>1570</v>
      </c>
    </row>
    <row r="177" spans="1:58" x14ac:dyDescent="0.35">
      <c r="A177" s="2" t="str">
        <f>IFERROR(VLOOKUP(E177,'Customer '!$A$4:$D$23,3,FALSE),"")</f>
        <v>RH</v>
      </c>
      <c r="B177" s="2" t="s">
        <v>323</v>
      </c>
      <c r="C177" s="2" t="s">
        <v>324</v>
      </c>
      <c r="D177" s="2" t="s">
        <v>312</v>
      </c>
      <c r="E177" s="2" t="s">
        <v>61</v>
      </c>
      <c r="F177" s="2" t="str">
        <f>IFERROR(VLOOKUP(E177,'Customer '!$A$4:$D$28,2,FALSE),"")</f>
        <v>RH</v>
      </c>
      <c r="G177" s="2" t="s">
        <v>463</v>
      </c>
      <c r="H17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2026-RH-FOUR SEASON DUBROVNIK</v>
      </c>
      <c r="I177" s="2">
        <f ca="1">IF(OR($H177="",$B177=""),0,--(COUNTIFS($H$3:$H177,$H177,$B$3:$B177,$B177)=1))</f>
        <v>1</v>
      </c>
      <c r="J177" s="2" t="s">
        <v>396</v>
      </c>
      <c r="K177" s="2" t="s">
        <v>273</v>
      </c>
      <c r="L177" s="2" t="s">
        <v>285</v>
      </c>
      <c r="M177" s="283"/>
      <c r="N177" s="283"/>
      <c r="O177" s="284"/>
      <c r="P177" s="2" t="s">
        <v>436</v>
      </c>
      <c r="V177" s="276">
        <v>32</v>
      </c>
      <c r="W177" s="276">
        <v>33</v>
      </c>
      <c r="X177" s="280">
        <v>13804.520000000004</v>
      </c>
      <c r="Y177" s="280">
        <v>13804.520000000004</v>
      </c>
      <c r="Z177" s="2" t="s">
        <v>330</v>
      </c>
      <c r="AA177" s="2" t="str">
        <f t="shared" ref="AA177" si="37">IF(Z177="","",IF(OR(Z177="TBC",Z177="Removed"),Z177,LEFT(Z177,4)))</f>
        <v>2026</v>
      </c>
      <c r="AB177" s="283"/>
      <c r="AC177" s="283"/>
      <c r="AD177" s="277">
        <v>46367</v>
      </c>
      <c r="AE177" s="283">
        <v>46381</v>
      </c>
      <c r="AF177" s="2" t="str">
        <f>IF(AD177="","",IF(ISNUMBER(AD177),IF(AND(AD177&gt;='2026 Calendar'!$C$4,AD177&lt;='2026 Calendar'!$E$107),LOOKUP(AD177,'2026 Calendar'!$C$4:$C$107,'2026 Calendar'!$A$4:$A$107),YEAR(AD177-WEEKDAY(AD177,2)+4)&amp;"/W"&amp;TEXT(WEEKNUM(AD177,21),"00")),IF(IFERROR(ISNUMBER(SEARCH("/W",AD177)),FALSE),IF(IFERROR(ISNUMBER(SEARCH("-",AD177)),FALSE),LEFT(AD177,SEARCH("-",AD177)-1),AD177),AD177)))</f>
        <v>2026/W50</v>
      </c>
      <c r="AG177" s="2" t="str">
        <f>IF(AE177="","",IF(ISNUMBER(AE177),IF(AND(AE177&gt;='2026 Calendar'!$C$4,AE177&lt;='2026 Calendar'!$E$107),LOOKUP(AE177,'2026 Calendar'!$C$4:$C$107,'2026 Calendar'!$A$4:$A$107),YEAR(AE177-WEEKDAY(AE177,2)+4)&amp;"/W"&amp;TEXT(WEEKNUM(AE177,21),"00")),IF(IFERROR(ISNUMBER(SEARCH("/W",AE177)),FALSE),IF(IFERROR(ISNUMBER(SEARCH("-",AE177)),FALSE),MID(AE177,SEARCH("-",AE177)+1,100),AE177),AE177)))</f>
        <v>2026/W52</v>
      </c>
      <c r="AH177" s="2" t="s">
        <v>304</v>
      </c>
      <c r="AI177" s="254"/>
      <c r="AJ177" s="283"/>
      <c r="AL177" s="254"/>
      <c r="AM177" s="283"/>
      <c r="AO177" s="254"/>
      <c r="AP177" s="283"/>
      <c r="AR177" s="254"/>
      <c r="AS177" s="283"/>
      <c r="AU177" s="254"/>
      <c r="AV177" s="283"/>
      <c r="AX177" s="254"/>
      <c r="AY177" s="283"/>
      <c r="BA177" s="254"/>
      <c r="BB177" s="283"/>
      <c r="BC177" s="2" t="str">
        <f t="shared" si="32"/>
        <v>Complete</v>
      </c>
      <c r="BE177" s="119" t="str">
        <f t="shared" si="36"/>
        <v>NPD: In progress: Drawing for SW52</v>
      </c>
    </row>
    <row r="178" spans="1:58" x14ac:dyDescent="0.35">
      <c r="A178" s="2" t="str">
        <f>IFERROR(VLOOKUP(E178,'Customer '!$A$4:$D$23,3,FALSE),"")</f>
        <v>RH</v>
      </c>
      <c r="B178" s="2" t="s">
        <v>268</v>
      </c>
      <c r="C178" s="2" t="s">
        <v>324</v>
      </c>
      <c r="D178" s="2" t="s">
        <v>312</v>
      </c>
      <c r="E178" s="2" t="s">
        <v>61</v>
      </c>
      <c r="F178" s="2" t="str">
        <f>IFERROR(VLOOKUP(E178,'Customer '!$A$4:$D$28,2,FALSE),"")</f>
        <v>RH</v>
      </c>
      <c r="G178" s="2" t="s">
        <v>463</v>
      </c>
      <c r="H17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2026-RH-FOUR SEASON DUBROVNIK</v>
      </c>
      <c r="I178" s="2">
        <f ca="1">IF(OR($H178="",$B178=""),0,--(COUNTIFS($H$3:$H178,$H178,$B$3:$B178,$B178)=1))</f>
        <v>1</v>
      </c>
      <c r="J178" s="2" t="s">
        <v>396</v>
      </c>
      <c r="K178" s="2" t="s">
        <v>273</v>
      </c>
      <c r="L178" s="2" t="s">
        <v>285</v>
      </c>
      <c r="M178" s="283"/>
      <c r="N178" s="283"/>
      <c r="O178" s="284"/>
      <c r="P178" s="2" t="s">
        <v>436</v>
      </c>
      <c r="R178" s="2">
        <v>0</v>
      </c>
      <c r="S178" s="2">
        <v>0</v>
      </c>
      <c r="V178" s="276">
        <v>32</v>
      </c>
      <c r="X178" s="280">
        <v>1474339</v>
      </c>
      <c r="Y178" s="280">
        <f>DetailTracker[[#This Row],[PROJECT VALUE $]]/2</f>
        <v>737169.5</v>
      </c>
      <c r="Z178" s="2" t="s">
        <v>355</v>
      </c>
      <c r="AA178" s="2" t="str">
        <f t="shared" si="35"/>
        <v>2027</v>
      </c>
      <c r="AB178" s="283"/>
      <c r="AC178" s="283"/>
      <c r="AE178" s="283"/>
      <c r="AF178" s="2" t="str">
        <f>IF(AD178="","",IF(ISNUMBER(AD178),IF(AND(AD178&gt;='2026 Calendar'!$C$4,AD178&lt;='2026 Calendar'!$E$107),LOOKUP(AD178,'2026 Calendar'!$C$4:$C$107,'2026 Calendar'!$A$4:$A$107),YEAR(AD178-WEEKDAY(AD178,2)+4)&amp;"/W"&amp;TEXT(WEEKNUM(AD178,21),"00")),IF(IFERROR(ISNUMBER(SEARCH("/W",AD178)),FALSE),IF(IFERROR(ISNUMBER(SEARCH("-",AD178)),FALSE),LEFT(AD178,SEARCH("-",AD178)-1),AD178),AD178)))</f>
        <v/>
      </c>
      <c r="AG178" s="2" t="str">
        <f>IF(AE178="","",IF(ISNUMBER(AE178),IF(AND(AE178&gt;='2026 Calendar'!$C$4,AE178&lt;='2026 Calendar'!$E$107),LOOKUP(AE178,'2026 Calendar'!$C$4:$C$107,'2026 Calendar'!$A$4:$A$107),YEAR(AE178-WEEKDAY(AE178,2)+4)&amp;"/W"&amp;TEXT(WEEKNUM(AE178,21),"00")),IF(IFERROR(ISNUMBER(SEARCH("/W",AE178)),FALSE),IF(IFERROR(ISNUMBER(SEARCH("-",AE178)),FALSE),MID(AE178,SEARCH("-",AE178)+1,100),AE178),AE178)))</f>
        <v/>
      </c>
      <c r="AH178" s="2" t="s">
        <v>304</v>
      </c>
      <c r="AI178" s="254"/>
      <c r="AJ178" s="283"/>
      <c r="AL178" s="254"/>
      <c r="AM178" s="283"/>
      <c r="AO178" s="254"/>
      <c r="AP178" s="283"/>
      <c r="AR178" s="254"/>
      <c r="AS178" s="283"/>
      <c r="AU178" s="254"/>
      <c r="AV178" s="283"/>
      <c r="AX178" s="254"/>
      <c r="AY178" s="283"/>
      <c r="BA178" s="254"/>
      <c r="BB178" s="283"/>
      <c r="BC178" s="2" t="str">
        <f t="shared" si="32"/>
        <v>Complete</v>
      </c>
      <c r="BE178" s="119" t="str">
        <f t="shared" si="36"/>
        <v>NPI: In progress: Drawing</v>
      </c>
    </row>
    <row r="179" spans="1:58" x14ac:dyDescent="0.35">
      <c r="A179" s="2" t="str">
        <f>IFERROR(VLOOKUP(E179,'Customer '!$A$4:$D$23,3,FALSE),"")</f>
        <v>RH</v>
      </c>
      <c r="B179" s="2" t="s">
        <v>268</v>
      </c>
      <c r="C179" s="2" t="s">
        <v>324</v>
      </c>
      <c r="D179" s="2" t="s">
        <v>312</v>
      </c>
      <c r="E179" s="2" t="s">
        <v>61</v>
      </c>
      <c r="F179" s="2" t="str">
        <f>IFERROR(VLOOKUP(E179,'Customer '!$A$4:$D$28,2,FALSE),"")</f>
        <v>RH</v>
      </c>
      <c r="G179" s="2" t="s">
        <v>463</v>
      </c>
      <c r="H17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2026-RH-FOUR SEASON DUBROVNIK</v>
      </c>
      <c r="I179" s="2">
        <f ca="1">IF(OR($H179="",$B179=""),0,--(COUNTIFS($H$3:$H179,$H179,$B$3:$B179,$B179)=1))</f>
        <v>0</v>
      </c>
      <c r="J179" s="2" t="s">
        <v>396</v>
      </c>
      <c r="K179" s="2" t="s">
        <v>273</v>
      </c>
      <c r="L179" s="2" t="s">
        <v>285</v>
      </c>
      <c r="M179" s="283"/>
      <c r="N179" s="283"/>
      <c r="O179" s="284"/>
      <c r="P179" s="2" t="s">
        <v>436</v>
      </c>
      <c r="R179" s="2">
        <v>0</v>
      </c>
      <c r="S179" s="2">
        <v>0</v>
      </c>
      <c r="V179" s="276">
        <v>32</v>
      </c>
      <c r="X179" s="280">
        <v>1474339</v>
      </c>
      <c r="Y179" s="280">
        <v>737169.5</v>
      </c>
      <c r="Z179" s="2" t="s">
        <v>356</v>
      </c>
      <c r="AA179" s="2" t="str">
        <f t="shared" si="35"/>
        <v>2027</v>
      </c>
      <c r="AB179" s="283"/>
      <c r="AC179" s="283"/>
      <c r="AE179" s="283"/>
      <c r="AF179" s="2" t="str">
        <f>IF(AD179="","",IF(ISNUMBER(AD179),IF(AND(AD179&gt;='2026 Calendar'!$C$4,AD179&lt;='2026 Calendar'!$E$107),LOOKUP(AD179,'2026 Calendar'!$C$4:$C$107,'2026 Calendar'!$A$4:$A$107),YEAR(AD179-WEEKDAY(AD179,2)+4)&amp;"/W"&amp;TEXT(WEEKNUM(AD179,21),"00")),IF(IFERROR(ISNUMBER(SEARCH("/W",AD179)),FALSE),IF(IFERROR(ISNUMBER(SEARCH("-",AD179)),FALSE),LEFT(AD179,SEARCH("-",AD179)-1),AD179),AD179)))</f>
        <v/>
      </c>
      <c r="AG179" s="2" t="str">
        <f>IF(AE179="","",IF(ISNUMBER(AE179),IF(AND(AE179&gt;='2026 Calendar'!$C$4,AE179&lt;='2026 Calendar'!$E$107),LOOKUP(AE179,'2026 Calendar'!$C$4:$C$107,'2026 Calendar'!$A$4:$A$107),YEAR(AE179-WEEKDAY(AE179,2)+4)&amp;"/W"&amp;TEXT(WEEKNUM(AE179,21),"00")),IF(IFERROR(ISNUMBER(SEARCH("/W",AE179)),FALSE),IF(IFERROR(ISNUMBER(SEARCH("-",AE179)),FALSE),MID(AE179,SEARCH("-",AE179)+1,100),AE179),AE179)))</f>
        <v/>
      </c>
      <c r="AH179" s="2" t="s">
        <v>304</v>
      </c>
      <c r="AI179" s="254"/>
      <c r="AJ179" s="283"/>
      <c r="AL179" s="254"/>
      <c r="AM179" s="283"/>
      <c r="AO179" s="254"/>
      <c r="AP179" s="283"/>
      <c r="AR179" s="254"/>
      <c r="AS179" s="283"/>
      <c r="AU179" s="254"/>
      <c r="AV179" s="283"/>
      <c r="AX179" s="254"/>
      <c r="AY179" s="283"/>
      <c r="BA179" s="254"/>
      <c r="BB179" s="283"/>
      <c r="BC179" s="2" t="str">
        <f t="shared" si="32"/>
        <v>Complete</v>
      </c>
      <c r="BE179" s="119" t="str">
        <f t="shared" si="36"/>
        <v>NPI: In progress: Drawing</v>
      </c>
    </row>
    <row r="180" spans="1:58" ht="29" x14ac:dyDescent="0.35">
      <c r="A180" s="2" t="str">
        <f>IFERROR(VLOOKUP(E180,'Customer '!$A$4:$D$23,3,FALSE),"")</f>
        <v>NON RH</v>
      </c>
      <c r="B180" s="2" t="s">
        <v>323</v>
      </c>
      <c r="C180" s="2" t="s">
        <v>424</v>
      </c>
      <c r="E180" s="2" t="s">
        <v>427</v>
      </c>
      <c r="F180" s="2" t="str">
        <f>IFERROR(VLOOKUP(E180,'Customer '!$A$4:$D$28,2,FALSE),"")</f>
        <v>BISCAYNE</v>
      </c>
      <c r="G180" s="2" t="s">
        <v>464</v>
      </c>
      <c r="H18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2026-BISCAYNE-AGV MODEL ROOM</v>
      </c>
      <c r="I180" s="2">
        <f ca="1">IF(OR($H180="",$B180=""),0,--(COUNTIFS($H$3:$H180,$H180,$B$3:$B180,$B180)=1))</f>
        <v>1</v>
      </c>
      <c r="J180" s="2" t="s">
        <v>309</v>
      </c>
      <c r="K180" s="2" t="s">
        <v>273</v>
      </c>
      <c r="L180" s="2" t="s">
        <v>317</v>
      </c>
      <c r="M180" s="283">
        <v>46263</v>
      </c>
      <c r="N180" s="283">
        <v>46263</v>
      </c>
      <c r="O180" s="284">
        <v>46290</v>
      </c>
      <c r="P180" s="2" t="s">
        <v>51</v>
      </c>
      <c r="Q180" s="2" t="s">
        <v>51</v>
      </c>
      <c r="R180" s="2">
        <v>0</v>
      </c>
      <c r="S180" s="2">
        <v>0</v>
      </c>
      <c r="V180" s="276">
        <v>15</v>
      </c>
      <c r="W180" s="276">
        <v>22</v>
      </c>
      <c r="X180" s="280">
        <v>17279</v>
      </c>
      <c r="Y180" s="280">
        <v>17279</v>
      </c>
      <c r="Z180" s="2" t="s">
        <v>315</v>
      </c>
      <c r="AA180" s="2" t="str">
        <f>IF(Z180="","",IF(OR(Z180="TBC",Z180="Removed"),Z180,LEFT(Z180,4)))</f>
        <v>2027</v>
      </c>
      <c r="AB180" s="283">
        <v>46381</v>
      </c>
      <c r="AC180" s="283">
        <v>46381</v>
      </c>
      <c r="AD180" s="277">
        <v>46402</v>
      </c>
      <c r="AE180" s="283">
        <v>46402</v>
      </c>
      <c r="AF180" s="2" t="str">
        <f>IF(AD180="","",IF(ISNUMBER(AD180),IF(AND(AD180&gt;='2026 Calendar'!$C$4,AD180&lt;='2026 Calendar'!$E$107),LOOKUP(AD180,'2026 Calendar'!$C$4:$C$107,'2026 Calendar'!$A$4:$A$107),YEAR(AD180-WEEKDAY(AD180,2)+4)&amp;"/W"&amp;TEXT(WEEKNUM(AD180,21),"00")),IF(IFERROR(ISNUMBER(SEARCH("/W",AD180)),FALSE),IF(IFERROR(ISNUMBER(SEARCH("-",AD180)),FALSE),LEFT(AD180,SEARCH("-",AD180)-1),AD180),AD180)))</f>
        <v>2027/W03</v>
      </c>
      <c r="AG180" s="2" t="str">
        <f>IF(AE180="","",IF(ISNUMBER(AE180),IF(AND(AE180&gt;='2026 Calendar'!$C$4,AE180&lt;='2026 Calendar'!$E$107),LOOKUP(AE180,'2026 Calendar'!$C$4:$C$107,'2026 Calendar'!$A$4:$A$107),YEAR(AE180-WEEKDAY(AE180,2)+4)&amp;"/W"&amp;TEXT(WEEKNUM(AE180,21),"00")),IF(IFERROR(ISNUMBER(SEARCH("/W",AE180)),FALSE),IF(IFERROR(ISNUMBER(SEARCH("-",AE180)),FALSE),MID(AE180,SEARCH("-",AE180)+1,100),AE180),AE180)))</f>
        <v>2027/W03</v>
      </c>
      <c r="AH180" s="2" t="s">
        <v>304</v>
      </c>
      <c r="AI180" s="254">
        <v>46297</v>
      </c>
      <c r="AJ180" s="283"/>
      <c r="AK180" s="2" t="s">
        <v>304</v>
      </c>
      <c r="AL180" s="254">
        <v>46297</v>
      </c>
      <c r="AM180" s="283"/>
      <c r="AN180" s="2" t="s">
        <v>304</v>
      </c>
      <c r="AO180" s="254">
        <v>46297</v>
      </c>
      <c r="AP180" s="283"/>
      <c r="AQ180" s="2" t="s">
        <v>304</v>
      </c>
      <c r="AR180" s="254">
        <v>46297</v>
      </c>
      <c r="AS180" s="283"/>
      <c r="AT180" s="2" t="s">
        <v>73</v>
      </c>
      <c r="AU180" s="254"/>
      <c r="AV180" s="283"/>
      <c r="AW180" s="2" t="s">
        <v>304</v>
      </c>
      <c r="AX180" s="254"/>
      <c r="AY180" s="283"/>
      <c r="AZ180" s="2" t="s">
        <v>331</v>
      </c>
      <c r="BA180" s="254"/>
      <c r="BB180" s="283"/>
      <c r="BC180" s="2" t="str">
        <f t="shared" si="32"/>
        <v>Active</v>
      </c>
      <c r="BD180" s="2" t="s">
        <v>279</v>
      </c>
      <c r="BE180" s="119" t="str">
        <f t="shared" si="36"/>
        <v>NPD: In progress: Drawing, Veneer/Wood, Marble, Metal, Electrical; Fabric is com pending; need approval by 2-Oct-26 for SW03</v>
      </c>
    </row>
    <row r="181" spans="1:58" ht="29" x14ac:dyDescent="0.35">
      <c r="A181" s="2" t="str">
        <f>IFERROR(VLOOKUP(E181,'Customer '!$A$4:$D$23,3,FALSE),"")</f>
        <v>NON RH</v>
      </c>
      <c r="B181" s="2" t="s">
        <v>323</v>
      </c>
      <c r="C181" s="2" t="s">
        <v>424</v>
      </c>
      <c r="E181" s="2" t="s">
        <v>427</v>
      </c>
      <c r="F181" s="2" t="str">
        <f>IFERROR(VLOOKUP(E181,'Customer '!$A$4:$D$28,2,FALSE),"")</f>
        <v>BISCAYNE</v>
      </c>
      <c r="G181" s="2" t="s">
        <v>465</v>
      </c>
      <c r="H18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2026-BISCAYNE-AGV MODEL ROOM-EXTRA</v>
      </c>
      <c r="I181" s="2">
        <f ca="1">IF(OR($H181="",$B181=""),0,--(COUNTIFS($H$3:$H181,$H181,$B$3:$B181,$B181)=1))</f>
        <v>1</v>
      </c>
      <c r="J181" s="2" t="s">
        <v>466</v>
      </c>
      <c r="K181" s="2" t="s">
        <v>273</v>
      </c>
      <c r="L181" s="2" t="s">
        <v>317</v>
      </c>
      <c r="M181" s="283">
        <v>46263</v>
      </c>
      <c r="N181" s="283">
        <v>46263</v>
      </c>
      <c r="O181" s="284">
        <v>46290</v>
      </c>
      <c r="P181" s="2" t="s">
        <v>51</v>
      </c>
      <c r="Q181" s="2" t="s">
        <v>51</v>
      </c>
      <c r="R181" s="2">
        <v>0</v>
      </c>
      <c r="S181" s="2">
        <v>0</v>
      </c>
      <c r="V181" s="276">
        <v>7</v>
      </c>
      <c r="W181" s="276">
        <v>15</v>
      </c>
      <c r="X181" s="280">
        <v>7473</v>
      </c>
      <c r="Y181" s="280">
        <v>7473</v>
      </c>
      <c r="Z181" s="2" t="s">
        <v>315</v>
      </c>
      <c r="AA181" s="2" t="str">
        <f>IF(Z181="","",IF(OR(Z181="TBC",Z181="Removed"),Z181,LEFT(Z181,4)))</f>
        <v>2027</v>
      </c>
      <c r="AB181" s="283">
        <v>46381</v>
      </c>
      <c r="AC181" s="283">
        <v>46381</v>
      </c>
      <c r="AD181" s="277">
        <v>46388</v>
      </c>
      <c r="AE181" s="283">
        <v>46395</v>
      </c>
      <c r="AF181" s="2" t="str">
        <f>IF(AD181="","",IF(ISNUMBER(AD181),IF(AND(AD181&gt;='2026 Calendar'!$C$4,AD181&lt;='2026 Calendar'!$E$107),LOOKUP(AD181,'2026 Calendar'!$C$4:$C$107,'2026 Calendar'!$A$4:$A$107),YEAR(AD181-WEEKDAY(AD181,2)+4)&amp;"/W"&amp;TEXT(WEEKNUM(AD181,21),"00")),IF(IFERROR(ISNUMBER(SEARCH("/W",AD181)),FALSE),IF(IFERROR(ISNUMBER(SEARCH("-",AD181)),FALSE),LEFT(AD181,SEARCH("-",AD181)-1),AD181),AD181)))</f>
        <v>2027/W01</v>
      </c>
      <c r="AG181" s="2" t="str">
        <f>IF(AE181="","",IF(ISNUMBER(AE181),IF(AND(AE181&gt;='2026 Calendar'!$C$4,AE181&lt;='2026 Calendar'!$E$107),LOOKUP(AE181,'2026 Calendar'!$C$4:$C$107,'2026 Calendar'!$A$4:$A$107),YEAR(AE181-WEEKDAY(AE181,2)+4)&amp;"/W"&amp;TEXT(WEEKNUM(AE181,21),"00")),IF(IFERROR(ISNUMBER(SEARCH("/W",AE181)),FALSE),IF(IFERROR(ISNUMBER(SEARCH("-",AE181)),FALSE),MID(AE181,SEARCH("-",AE181)+1,100),AE181),AE181)))</f>
        <v>2027/W02</v>
      </c>
      <c r="AH181" s="2" t="s">
        <v>304</v>
      </c>
      <c r="AI181" s="254">
        <v>46297</v>
      </c>
      <c r="AJ181" s="283"/>
      <c r="AK181" s="2" t="s">
        <v>304</v>
      </c>
      <c r="AL181" s="254">
        <v>46297</v>
      </c>
      <c r="AM181" s="283"/>
      <c r="AN181" s="2" t="s">
        <v>304</v>
      </c>
      <c r="AO181" s="254">
        <v>46297</v>
      </c>
      <c r="AP181" s="283"/>
      <c r="AQ181" s="2" t="s">
        <v>304</v>
      </c>
      <c r="AR181" s="254">
        <v>46297</v>
      </c>
      <c r="AS181" s="283"/>
      <c r="AT181" s="2" t="s">
        <v>73</v>
      </c>
      <c r="AU181" s="254"/>
      <c r="AV181" s="283"/>
      <c r="AW181" s="2" t="s">
        <v>304</v>
      </c>
      <c r="AX181" s="254"/>
      <c r="AY181" s="283"/>
      <c r="AZ181" s="2" t="s">
        <v>331</v>
      </c>
      <c r="BA181" s="254"/>
      <c r="BB181" s="283"/>
      <c r="BC181" s="2" t="str">
        <f t="shared" si="32"/>
        <v>Complete</v>
      </c>
      <c r="BD181" s="2" t="s">
        <v>279</v>
      </c>
      <c r="BE181" s="119" t="str">
        <f t="shared" si="36"/>
        <v>NPD: In progress: Drawing, Veneer/Wood, Marble, Metal, Electrical; Fabric is com pending; need approval by 2-Oct-26 for SW02</v>
      </c>
    </row>
    <row r="182" spans="1:58" ht="29" x14ac:dyDescent="0.35">
      <c r="A182" s="2" t="str">
        <f>IFERROR(VLOOKUP(E182,'Customer '!$A$4:$D$23,3,FALSE),"")</f>
        <v>NON RH</v>
      </c>
      <c r="B182" s="2" t="s">
        <v>323</v>
      </c>
      <c r="C182" s="2" t="s">
        <v>424</v>
      </c>
      <c r="E182" s="2" t="s">
        <v>427</v>
      </c>
      <c r="F182" s="2" t="str">
        <f>IFERROR(VLOOKUP(E182,'Customer '!$A$4:$D$28,2,FALSE),"")</f>
        <v>BISCAYNE</v>
      </c>
      <c r="G182" s="2" t="s">
        <v>467</v>
      </c>
      <c r="H18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2026-BISCAYNE-AGSR - ARIZONA GRAND SUITES - MODEL ROOM</v>
      </c>
      <c r="I182" s="2">
        <f ca="1">IF(OR($H182="",$B182=""),0,--(COUNTIFS($H$3:$H182,$H182,$B$3:$B182,$B182)=1))</f>
        <v>1</v>
      </c>
      <c r="J182" s="2" t="s">
        <v>309</v>
      </c>
      <c r="K182" s="2" t="s">
        <v>273</v>
      </c>
      <c r="L182" s="2" t="s">
        <v>317</v>
      </c>
      <c r="M182" s="283">
        <v>46263</v>
      </c>
      <c r="N182" s="283">
        <v>46263</v>
      </c>
      <c r="O182" s="284">
        <v>46290</v>
      </c>
      <c r="P182" s="2" t="s">
        <v>51</v>
      </c>
      <c r="Q182" s="2" t="s">
        <v>51</v>
      </c>
      <c r="R182" s="2">
        <v>0</v>
      </c>
      <c r="S182" s="2">
        <v>0</v>
      </c>
      <c r="V182" s="276">
        <v>16</v>
      </c>
      <c r="W182" s="276">
        <v>26</v>
      </c>
      <c r="X182" s="280">
        <v>11993</v>
      </c>
      <c r="Y182" s="280">
        <v>11993</v>
      </c>
      <c r="Z182" s="2" t="s">
        <v>315</v>
      </c>
      <c r="AA182" s="2" t="str">
        <f>IF(Z182="","",IF(OR(Z182="TBC",Z182="Removed"),Z182,LEFT(Z182,4)))</f>
        <v>2027</v>
      </c>
      <c r="AB182" s="283">
        <v>46381</v>
      </c>
      <c r="AC182" s="283">
        <v>46381</v>
      </c>
      <c r="AD182" s="277">
        <v>46402</v>
      </c>
      <c r="AE182" s="283">
        <v>46402</v>
      </c>
      <c r="AF182" s="2" t="str">
        <f>IF(AD182="","",IF(ISNUMBER(AD182),IF(AND(AD182&gt;='2026 Calendar'!$C$4,AD182&lt;='2026 Calendar'!$E$107),LOOKUP(AD182,'2026 Calendar'!$C$4:$C$107,'2026 Calendar'!$A$4:$A$107),YEAR(AD182-WEEKDAY(AD182,2)+4)&amp;"/W"&amp;TEXT(WEEKNUM(AD182,21),"00")),IF(IFERROR(ISNUMBER(SEARCH("/W",AD182)),FALSE),IF(IFERROR(ISNUMBER(SEARCH("-",AD182)),FALSE),LEFT(AD182,SEARCH("-",AD182)-1),AD182),AD182)))</f>
        <v>2027/W03</v>
      </c>
      <c r="AG182" s="2" t="str">
        <f>IF(AE182="","",IF(ISNUMBER(AE182),IF(AND(AE182&gt;='2026 Calendar'!$C$4,AE182&lt;='2026 Calendar'!$E$107),LOOKUP(AE182,'2026 Calendar'!$C$4:$C$107,'2026 Calendar'!$A$4:$A$107),YEAR(AE182-WEEKDAY(AE182,2)+4)&amp;"/W"&amp;TEXT(WEEKNUM(AE182,21),"00")),IF(IFERROR(ISNUMBER(SEARCH("/W",AE182)),FALSE),IF(IFERROR(ISNUMBER(SEARCH("-",AE182)),FALSE),MID(AE182,SEARCH("-",AE182)+1,100),AE182),AE182)))</f>
        <v>2027/W03</v>
      </c>
      <c r="AH182" s="2" t="s">
        <v>304</v>
      </c>
      <c r="AI182" s="254">
        <v>46297</v>
      </c>
      <c r="AJ182" s="283"/>
      <c r="AK182" s="2" t="s">
        <v>304</v>
      </c>
      <c r="AL182" s="254">
        <v>46297</v>
      </c>
      <c r="AM182" s="283"/>
      <c r="AN182" s="2" t="s">
        <v>304</v>
      </c>
      <c r="AO182" s="254">
        <v>46297</v>
      </c>
      <c r="AP182" s="283"/>
      <c r="AQ182" s="2" t="s">
        <v>304</v>
      </c>
      <c r="AR182" s="254">
        <v>46297</v>
      </c>
      <c r="AS182" s="283"/>
      <c r="AT182" s="2" t="s">
        <v>73</v>
      </c>
      <c r="AU182" s="254"/>
      <c r="AV182" s="283"/>
      <c r="AW182" s="2" t="s">
        <v>304</v>
      </c>
      <c r="AX182" s="254"/>
      <c r="AY182" s="283"/>
      <c r="AZ182" s="2" t="s">
        <v>331</v>
      </c>
      <c r="BA182" s="254"/>
      <c r="BB182" s="283"/>
      <c r="BC182" s="2" t="str">
        <f t="shared" si="32"/>
        <v>Active</v>
      </c>
      <c r="BD182" s="2" t="s">
        <v>279</v>
      </c>
      <c r="BE182" s="119" t="str">
        <f t="shared" si="36"/>
        <v>NPD: In progress: Drawing, Veneer/Wood, Marble, Metal, Electrical; Fabric is com pending; need approval by 2-Oct-26 for SW03</v>
      </c>
    </row>
    <row r="183" spans="1:58" ht="29" x14ac:dyDescent="0.35">
      <c r="A183" s="2" t="str">
        <f>IFERROR(VLOOKUP(E183,'Customer '!$A$4:$D$23,3,FALSE),"")</f>
        <v>NON RH</v>
      </c>
      <c r="B183" s="2" t="s">
        <v>323</v>
      </c>
      <c r="C183" s="2" t="s">
        <v>424</v>
      </c>
      <c r="E183" s="2" t="s">
        <v>427</v>
      </c>
      <c r="F183" s="2" t="str">
        <f>IFERROR(VLOOKUP(E183,'Customer '!$A$4:$D$28,2,FALSE),"")</f>
        <v>BISCAYNE</v>
      </c>
      <c r="G183" s="2" t="s">
        <v>468</v>
      </c>
      <c r="H18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2026-BISCAYNE-AGSR - ARIZONA GRAND SUITES - EXTRA</v>
      </c>
      <c r="I183" s="2">
        <f ca="1">IF(OR($H183="",$B183=""),0,--(COUNTIFS($H$3:$H183,$H183,$B$3:$B183,$B183)=1))</f>
        <v>1</v>
      </c>
      <c r="J183" s="2" t="s">
        <v>309</v>
      </c>
      <c r="K183" s="2" t="s">
        <v>273</v>
      </c>
      <c r="L183" s="2" t="s">
        <v>317</v>
      </c>
      <c r="M183" s="283">
        <v>46263</v>
      </c>
      <c r="N183" s="283">
        <v>46263</v>
      </c>
      <c r="O183" s="284">
        <v>46290</v>
      </c>
      <c r="P183" s="2" t="s">
        <v>51</v>
      </c>
      <c r="Q183" s="2" t="s">
        <v>51</v>
      </c>
      <c r="R183" s="2">
        <v>0</v>
      </c>
      <c r="S183" s="2">
        <v>0</v>
      </c>
      <c r="V183" s="276">
        <v>6</v>
      </c>
      <c r="W183" s="276">
        <v>8</v>
      </c>
      <c r="X183" s="280">
        <v>4270.1200000000008</v>
      </c>
      <c r="Y183" s="280">
        <v>4270.1200000000008</v>
      </c>
      <c r="Z183" s="2" t="s">
        <v>315</v>
      </c>
      <c r="AA183" s="2" t="str">
        <f>IF(Z183="","",IF(OR(Z183="TBC",Z183="Removed"),Z183,LEFT(Z183,4)))</f>
        <v>2027</v>
      </c>
      <c r="AB183" s="283">
        <v>46381</v>
      </c>
      <c r="AC183" s="283">
        <v>46381</v>
      </c>
      <c r="AD183" s="277">
        <v>46402</v>
      </c>
      <c r="AE183" s="283">
        <v>46402</v>
      </c>
      <c r="AF183" s="2" t="str">
        <f>IF(AD183="","",IF(ISNUMBER(AD183),IF(AND(AD183&gt;='2026 Calendar'!$C$4,AD183&lt;='2026 Calendar'!$E$107),LOOKUP(AD183,'2026 Calendar'!$C$4:$C$107,'2026 Calendar'!$A$4:$A$107),YEAR(AD183-WEEKDAY(AD183,2)+4)&amp;"/W"&amp;TEXT(WEEKNUM(AD183,21),"00")),IF(IFERROR(ISNUMBER(SEARCH("/W",AD183)),FALSE),IF(IFERROR(ISNUMBER(SEARCH("-",AD183)),FALSE),LEFT(AD183,SEARCH("-",AD183)-1),AD183),AD183)))</f>
        <v>2027/W03</v>
      </c>
      <c r="AG183" s="2" t="str">
        <f>IF(AE183="","",IF(ISNUMBER(AE183),IF(AND(AE183&gt;='2026 Calendar'!$C$4,AE183&lt;='2026 Calendar'!$E$107),LOOKUP(AE183,'2026 Calendar'!$C$4:$C$107,'2026 Calendar'!$A$4:$A$107),YEAR(AE183-WEEKDAY(AE183,2)+4)&amp;"/W"&amp;TEXT(WEEKNUM(AE183,21),"00")),IF(IFERROR(ISNUMBER(SEARCH("/W",AE183)),FALSE),IF(IFERROR(ISNUMBER(SEARCH("-",AE183)),FALSE),MID(AE183,SEARCH("-",AE183)+1,100),AE183),AE183)))</f>
        <v>2027/W03</v>
      </c>
      <c r="AH183" s="2" t="s">
        <v>304</v>
      </c>
      <c r="AI183" s="254">
        <v>46297</v>
      </c>
      <c r="AJ183" s="283"/>
      <c r="AK183" s="2" t="s">
        <v>304</v>
      </c>
      <c r="AL183" s="254">
        <v>46297</v>
      </c>
      <c r="AM183" s="283"/>
      <c r="AN183" s="2" t="s">
        <v>304</v>
      </c>
      <c r="AO183" s="254">
        <v>46297</v>
      </c>
      <c r="AP183" s="283"/>
      <c r="AQ183" s="2" t="s">
        <v>304</v>
      </c>
      <c r="AR183" s="254">
        <v>46297</v>
      </c>
      <c r="AS183" s="283"/>
      <c r="AT183" s="2" t="s">
        <v>73</v>
      </c>
      <c r="AU183" s="254"/>
      <c r="AV183" s="283"/>
      <c r="AW183" s="2" t="s">
        <v>304</v>
      </c>
      <c r="AX183" s="254"/>
      <c r="AY183" s="283"/>
      <c r="AZ183" s="2" t="s">
        <v>331</v>
      </c>
      <c r="BA183" s="254"/>
      <c r="BB183" s="283"/>
      <c r="BC183" s="2" t="str">
        <f t="shared" si="32"/>
        <v>Active</v>
      </c>
      <c r="BD183" s="2" t="s">
        <v>279</v>
      </c>
      <c r="BE183" s="119" t="str">
        <f t="shared" si="36"/>
        <v>NPD: In progress: Drawing, Veneer/Wood, Marble, Metal, Electrical; Fabric is com pending; need approval by 2-Oct-26 for SW03</v>
      </c>
    </row>
    <row r="184" spans="1:58" x14ac:dyDescent="0.35">
      <c r="A184" s="2" t="str">
        <f>IFERROR(VLOOKUP(E184,'Customer '!$A$4:$D$23,3,FALSE),"")</f>
        <v>NON RH</v>
      </c>
      <c r="B184" s="2" t="s">
        <v>268</v>
      </c>
      <c r="C184" s="2" t="s">
        <v>424</v>
      </c>
      <c r="E184" s="2" t="s">
        <v>427</v>
      </c>
      <c r="F184" s="2" t="str">
        <f>IFERROR(VLOOKUP(E184,'Customer '!$A$4:$D$28,2,FALSE),"")</f>
        <v>BISCAYNE</v>
      </c>
      <c r="G184" s="2" t="s">
        <v>467</v>
      </c>
      <c r="H18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2026-BISCAYNE-AGSR - ARIZONA GRAND SUITES - MODEL ROOM</v>
      </c>
      <c r="I184" s="2">
        <f ca="1">IF(OR($H184="",$B184=""),0,--(COUNTIFS($H$3:$H184,$H184,$B$3:$B184,$B184)=1))</f>
        <v>1</v>
      </c>
      <c r="J184" s="2" t="s">
        <v>284</v>
      </c>
      <c r="K184" s="2" t="s">
        <v>273</v>
      </c>
      <c r="L184" s="2" t="s">
        <v>285</v>
      </c>
      <c r="M184" s="283"/>
      <c r="N184" s="283"/>
      <c r="O184" s="284"/>
      <c r="P184" s="2" t="s">
        <v>51</v>
      </c>
      <c r="Q184" s="2" t="s">
        <v>51</v>
      </c>
      <c r="R184" s="2">
        <v>0</v>
      </c>
      <c r="S184" s="2">
        <v>0</v>
      </c>
      <c r="X184" s="280">
        <v>3000000</v>
      </c>
      <c r="Y184" s="280">
        <v>1000000</v>
      </c>
      <c r="Z184" s="2" t="s">
        <v>328</v>
      </c>
      <c r="AA184" s="2" t="str">
        <f>IF(Z184="","",IF(OR(Z184="TBC",Z184="Removed"),Z184,LEFT(Z184,4)))</f>
        <v>2027</v>
      </c>
      <c r="AB184" s="283"/>
      <c r="AC184" s="283"/>
      <c r="AD184" s="277" t="s">
        <v>149</v>
      </c>
      <c r="AE184" s="278" t="s">
        <v>149</v>
      </c>
      <c r="AF184" s="2" t="str">
        <f>IF(AD184="","",IF(ISNUMBER(AD184),IF(AND(AD184&gt;='2026 Calendar'!$C$4,AD184&lt;='2026 Calendar'!$E$107),LOOKUP(AD184,'2026 Calendar'!$C$4:$C$107,'2026 Calendar'!$A$4:$A$107),YEAR(AD184-WEEKDAY(AD184,2)+4)&amp;"/W"&amp;TEXT(WEEKNUM(AD184,21),"00")),IF(IFERROR(ISNUMBER(SEARCH("/W",AD184)),FALSE),IF(IFERROR(ISNUMBER(SEARCH("-",AD184)),FALSE),LEFT(AD184,SEARCH("-",AD184)-1),AD184),AD184)))</f>
        <v>TBC</v>
      </c>
      <c r="AG184" s="2" t="str">
        <f>IF(AE184="","",IF(ISNUMBER(AE184),IF(AND(AE184&gt;='2026 Calendar'!$C$4,AE184&lt;='2026 Calendar'!$E$107),LOOKUP(AE184,'2026 Calendar'!$C$4:$C$107,'2026 Calendar'!$A$4:$A$107),YEAR(AE184-WEEKDAY(AE184,2)+4)&amp;"/W"&amp;TEXT(WEEKNUM(AE184,21),"00")),IF(IFERROR(ISNUMBER(SEARCH("/W",AE184)),FALSE),IF(IFERROR(ISNUMBER(SEARCH("-",AE184)),FALSE),MID(AE184,SEARCH("-",AE184)+1,100),AE184),AE184)))</f>
        <v>TBC</v>
      </c>
      <c r="AH184" s="2" t="s">
        <v>287</v>
      </c>
      <c r="AI184" s="254"/>
      <c r="AJ184" s="283"/>
      <c r="AK184" s="2" t="s">
        <v>287</v>
      </c>
      <c r="AL184" s="254"/>
      <c r="AM184" s="283"/>
      <c r="AN184" s="2" t="s">
        <v>287</v>
      </c>
      <c r="AO184" s="254"/>
      <c r="AP184" s="283"/>
      <c r="AQ184" s="2" t="s">
        <v>342</v>
      </c>
      <c r="AR184" s="254"/>
      <c r="AS184" s="283"/>
      <c r="AT184" s="2" t="s">
        <v>342</v>
      </c>
      <c r="AU184" s="254"/>
      <c r="AV184" s="283"/>
      <c r="AW184" s="2" t="s">
        <v>342</v>
      </c>
      <c r="AX184" s="254"/>
      <c r="AY184" s="283"/>
      <c r="AZ184" s="2" t="s">
        <v>342</v>
      </c>
      <c r="BA184" s="254"/>
      <c r="BB184" s="283"/>
      <c r="BC184" s="2" t="str">
        <f t="shared" si="32"/>
        <v>Active</v>
      </c>
      <c r="BD184" s="2" t="s">
        <v>279</v>
      </c>
      <c r="BE184" s="119" t="str">
        <f t="shared" si="36"/>
        <v>NPI: Not started: Drawing, Veneer/Wood, Marble for SW TBC</v>
      </c>
    </row>
    <row r="185" spans="1:58" x14ac:dyDescent="0.35">
      <c r="A185" s="2" t="str">
        <f>IFERROR(VLOOKUP(E185,'Customer '!$A$4:$D$23,3,FALSE),"")</f>
        <v>NON RH</v>
      </c>
      <c r="B185" s="2" t="s">
        <v>268</v>
      </c>
      <c r="C185" s="2" t="s">
        <v>424</v>
      </c>
      <c r="E185" s="2" t="s">
        <v>427</v>
      </c>
      <c r="F185" s="2" t="str">
        <f>IFERROR(VLOOKUP(E185,'Customer '!$A$4:$D$28,2,FALSE),"")</f>
        <v>BISCAYNE</v>
      </c>
      <c r="G185" s="2" t="s">
        <v>467</v>
      </c>
      <c r="H18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2026-BISCAYNE-AGSR - ARIZONA GRAND SUITES - MODEL ROOM</v>
      </c>
      <c r="I185" s="2">
        <f ca="1">IF(OR($H185="",$B185=""),0,--(COUNTIFS($H$3:$H185,$H185,$B$3:$B185,$B185)=1))</f>
        <v>0</v>
      </c>
      <c r="J185" s="2" t="s">
        <v>284</v>
      </c>
      <c r="K185" s="2" t="s">
        <v>273</v>
      </c>
      <c r="L185" s="2" t="s">
        <v>285</v>
      </c>
      <c r="M185" s="283"/>
      <c r="N185" s="283"/>
      <c r="O185" s="284"/>
      <c r="P185" s="2" t="s">
        <v>51</v>
      </c>
      <c r="Q185" s="2" t="s">
        <v>51</v>
      </c>
      <c r="R185" s="2">
        <v>0</v>
      </c>
      <c r="S185" s="2">
        <v>0</v>
      </c>
      <c r="X185" s="280">
        <v>3000000</v>
      </c>
      <c r="Y185" s="280">
        <v>1000000</v>
      </c>
      <c r="Z185" s="2" t="s">
        <v>286</v>
      </c>
      <c r="AA185" s="2" t="str">
        <f t="shared" ref="AA185:AA186" si="38">IF(Z185="","",IF(OR(Z185="TBC",Z185="Removed"),Z185,LEFT(Z185,4)))</f>
        <v>2027</v>
      </c>
      <c r="AB185" s="283"/>
      <c r="AC185" s="283"/>
      <c r="AD185" s="277" t="s">
        <v>149</v>
      </c>
      <c r="AE185" s="278" t="s">
        <v>149</v>
      </c>
      <c r="AF185" s="2" t="str">
        <f>IF(AD185="","",IF(ISNUMBER(AD185),IF(AND(AD185&gt;='2026 Calendar'!$C$4,AD185&lt;='2026 Calendar'!$E$107),LOOKUP(AD185,'2026 Calendar'!$C$4:$C$107,'2026 Calendar'!$A$4:$A$107),YEAR(AD185-WEEKDAY(AD185,2)+4)&amp;"/W"&amp;TEXT(WEEKNUM(AD185,21),"00")),IF(IFERROR(ISNUMBER(SEARCH("/W",AD185)),FALSE),IF(IFERROR(ISNUMBER(SEARCH("-",AD185)),FALSE),LEFT(AD185,SEARCH("-",AD185)-1),AD185),AD185)))</f>
        <v>TBC</v>
      </c>
      <c r="AG185" s="2" t="str">
        <f>IF(AE185="","",IF(ISNUMBER(AE185),IF(AND(AE185&gt;='2026 Calendar'!$C$4,AE185&lt;='2026 Calendar'!$E$107),LOOKUP(AE185,'2026 Calendar'!$C$4:$C$107,'2026 Calendar'!$A$4:$A$107),YEAR(AE185-WEEKDAY(AE185,2)+4)&amp;"/W"&amp;TEXT(WEEKNUM(AE185,21),"00")),IF(IFERROR(ISNUMBER(SEARCH("/W",AE185)),FALSE),IF(IFERROR(ISNUMBER(SEARCH("-",AE185)),FALSE),MID(AE185,SEARCH("-",AE185)+1,100),AE185),AE185)))</f>
        <v>TBC</v>
      </c>
      <c r="AH185" s="2" t="s">
        <v>287</v>
      </c>
      <c r="AI185" s="254"/>
      <c r="AJ185" s="283"/>
      <c r="AK185" s="2" t="s">
        <v>287</v>
      </c>
      <c r="AL185" s="254"/>
      <c r="AM185" s="283"/>
      <c r="AN185" s="2" t="s">
        <v>287</v>
      </c>
      <c r="AO185" s="254"/>
      <c r="AP185" s="283"/>
      <c r="AQ185" s="2" t="s">
        <v>342</v>
      </c>
      <c r="AR185" s="254"/>
      <c r="AS185" s="283"/>
      <c r="AT185" s="2" t="s">
        <v>342</v>
      </c>
      <c r="AU185" s="254"/>
      <c r="AV185" s="283"/>
      <c r="AW185" s="2" t="s">
        <v>342</v>
      </c>
      <c r="AX185" s="254"/>
      <c r="AY185" s="283"/>
      <c r="AZ185" s="2" t="s">
        <v>342</v>
      </c>
      <c r="BA185" s="254"/>
      <c r="BB185" s="283"/>
      <c r="BC185" s="2" t="str">
        <f t="shared" si="32"/>
        <v>Active</v>
      </c>
      <c r="BD185" s="2" t="s">
        <v>279</v>
      </c>
      <c r="BE185" s="119" t="str">
        <f t="shared" si="36"/>
        <v>NPI: Not started: Drawing, Veneer/Wood, Marble for SW TBC</v>
      </c>
    </row>
    <row r="186" spans="1:58" x14ac:dyDescent="0.35">
      <c r="A186" s="2" t="str">
        <f>IFERROR(VLOOKUP(E186,'Customer '!$A$4:$D$23,3,FALSE),"")</f>
        <v>NON RH</v>
      </c>
      <c r="B186" s="2" t="s">
        <v>268</v>
      </c>
      <c r="C186" s="2" t="s">
        <v>424</v>
      </c>
      <c r="E186" s="2" t="s">
        <v>427</v>
      </c>
      <c r="F186" s="2" t="str">
        <f>IFERROR(VLOOKUP(E186,'Customer '!$A$4:$D$28,2,FALSE),"")</f>
        <v>BISCAYNE</v>
      </c>
      <c r="G186" s="2" t="s">
        <v>467</v>
      </c>
      <c r="H18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2026-BISCAYNE-AGSR - ARIZONA GRAND SUITES - MODEL ROOM</v>
      </c>
      <c r="I186" s="2">
        <f ca="1">IF(OR($H186="",$B186=""),0,--(COUNTIFS($H$3:$H186,$H186,$B$3:$B186,$B186)=1))</f>
        <v>0</v>
      </c>
      <c r="J186" s="2" t="s">
        <v>284</v>
      </c>
      <c r="K186" s="2" t="s">
        <v>273</v>
      </c>
      <c r="L186" s="2" t="s">
        <v>285</v>
      </c>
      <c r="M186" s="283"/>
      <c r="N186" s="283"/>
      <c r="O186" s="284"/>
      <c r="P186" s="2" t="s">
        <v>51</v>
      </c>
      <c r="Q186" s="2" t="s">
        <v>51</v>
      </c>
      <c r="R186" s="2">
        <v>0</v>
      </c>
      <c r="S186" s="2">
        <v>0</v>
      </c>
      <c r="X186" s="280">
        <v>3000000</v>
      </c>
      <c r="Y186" s="280">
        <v>1000000</v>
      </c>
      <c r="Z186" s="2" t="s">
        <v>288</v>
      </c>
      <c r="AA186" s="2" t="str">
        <f t="shared" si="38"/>
        <v>2027</v>
      </c>
      <c r="AB186" s="283"/>
      <c r="AC186" s="283"/>
      <c r="AD186" s="277" t="s">
        <v>149</v>
      </c>
      <c r="AE186" s="278" t="s">
        <v>149</v>
      </c>
      <c r="AF186" s="2" t="str">
        <f>IF(AD186="","",IF(ISNUMBER(AD186),IF(AND(AD186&gt;='2026 Calendar'!$C$4,AD186&lt;='2026 Calendar'!$E$107),LOOKUP(AD186,'2026 Calendar'!$C$4:$C$107,'2026 Calendar'!$A$4:$A$107),YEAR(AD186-WEEKDAY(AD186,2)+4)&amp;"/W"&amp;TEXT(WEEKNUM(AD186,21),"00")),IF(IFERROR(ISNUMBER(SEARCH("/W",AD186)),FALSE),IF(IFERROR(ISNUMBER(SEARCH("-",AD186)),FALSE),LEFT(AD186,SEARCH("-",AD186)-1),AD186),AD186)))</f>
        <v>TBC</v>
      </c>
      <c r="AG186" s="2" t="str">
        <f>IF(AE186="","",IF(ISNUMBER(AE186),IF(AND(AE186&gt;='2026 Calendar'!$C$4,AE186&lt;='2026 Calendar'!$E$107),LOOKUP(AE186,'2026 Calendar'!$C$4:$C$107,'2026 Calendar'!$A$4:$A$107),YEAR(AE186-WEEKDAY(AE186,2)+4)&amp;"/W"&amp;TEXT(WEEKNUM(AE186,21),"00")),IF(IFERROR(ISNUMBER(SEARCH("/W",AE186)),FALSE),IF(IFERROR(ISNUMBER(SEARCH("-",AE186)),FALSE),MID(AE186,SEARCH("-",AE186)+1,100),AE186),AE186)))</f>
        <v>TBC</v>
      </c>
      <c r="AH186" s="2" t="s">
        <v>287</v>
      </c>
      <c r="AI186" s="254"/>
      <c r="AJ186" s="283"/>
      <c r="AK186" s="2" t="s">
        <v>287</v>
      </c>
      <c r="AL186" s="254"/>
      <c r="AM186" s="283"/>
      <c r="AN186" s="2" t="s">
        <v>287</v>
      </c>
      <c r="AO186" s="254"/>
      <c r="AP186" s="283"/>
      <c r="AQ186" s="2" t="s">
        <v>342</v>
      </c>
      <c r="AR186" s="254"/>
      <c r="AS186" s="283"/>
      <c r="AT186" s="2" t="s">
        <v>342</v>
      </c>
      <c r="AU186" s="254"/>
      <c r="AV186" s="283"/>
      <c r="AW186" s="2" t="s">
        <v>342</v>
      </c>
      <c r="AX186" s="254"/>
      <c r="AY186" s="283"/>
      <c r="AZ186" s="2" t="s">
        <v>342</v>
      </c>
      <c r="BA186" s="254"/>
      <c r="BB186" s="283"/>
      <c r="BC186" s="2" t="str">
        <f t="shared" ref="BC186:BC204" si="39">IF(J186="","",IF(OR(J186="OB",J186="NOR",J186="FC",J186="PIPELINE"),"Active","Complete"))</f>
        <v>Active</v>
      </c>
      <c r="BD186" s="2" t="s">
        <v>279</v>
      </c>
      <c r="BE186" s="119" t="str">
        <f t="shared" si="36"/>
        <v>NPI: Not started: Drawing, Veneer/Wood, Marble for SW TBC</v>
      </c>
    </row>
    <row r="187" spans="1:58" ht="29" x14ac:dyDescent="0.35">
      <c r="A187" s="2" t="str">
        <f>IFERROR(VLOOKUP(E187,'Customer '!$A$4:$D$23,3,FALSE),"")</f>
        <v>NON RH</v>
      </c>
      <c r="B187" s="2" t="s">
        <v>323</v>
      </c>
      <c r="C187" s="2" t="s">
        <v>424</v>
      </c>
      <c r="E187" s="2" t="s">
        <v>427</v>
      </c>
      <c r="F187" s="2" t="str">
        <f>IFERROR(VLOOKUP(E187,'Customer '!$A$4:$D$28,2,FALSE),"")</f>
        <v>BISCAYNE</v>
      </c>
      <c r="G187" s="2" t="s">
        <v>469</v>
      </c>
      <c r="H18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2026-BISCAYNE-SPA</v>
      </c>
      <c r="I187" s="2">
        <f ca="1">IF(OR($H187="",$B187=""),0,--(COUNTIFS($H$3:$H187,$H187,$B$3:$B187,$B187)=1))</f>
        <v>1</v>
      </c>
      <c r="J187" s="2" t="s">
        <v>309</v>
      </c>
      <c r="K187" s="2" t="s">
        <v>273</v>
      </c>
      <c r="L187" s="2" t="s">
        <v>317</v>
      </c>
      <c r="M187" s="283">
        <v>46267</v>
      </c>
      <c r="N187" s="283">
        <v>46265</v>
      </c>
      <c r="O187" s="284">
        <v>46290</v>
      </c>
      <c r="P187" s="2" t="s">
        <v>51</v>
      </c>
      <c r="Q187" s="2" t="s">
        <v>51</v>
      </c>
      <c r="R187" s="2">
        <v>0</v>
      </c>
      <c r="S187" s="2">
        <v>0</v>
      </c>
      <c r="V187" s="276">
        <v>5</v>
      </c>
      <c r="W187" s="276">
        <v>11</v>
      </c>
      <c r="X187" s="280">
        <v>8153.75</v>
      </c>
      <c r="Y187" s="280">
        <v>8153.75</v>
      </c>
      <c r="Z187" s="2" t="s">
        <v>315</v>
      </c>
      <c r="AA187" s="2" t="str">
        <f t="shared" ref="AA187:AA193" si="40">IF(Z187="","",IF(OR(Z187="TBC",Z187="Removed"),Z187,LEFT(Z187,4)))</f>
        <v>2027</v>
      </c>
      <c r="AB187" s="283"/>
      <c r="AC187" s="283"/>
      <c r="AD187" s="283">
        <v>46409</v>
      </c>
      <c r="AE187" s="283">
        <v>46409</v>
      </c>
      <c r="AF187" s="2" t="str">
        <f>IF(AD187="","",IF(ISNUMBER(AD187),IF(AND(AD187&gt;='2026 Calendar'!$C$4,AD187&lt;='2026 Calendar'!$E$107),LOOKUP(AD187,'2026 Calendar'!$C$4:$C$107,'2026 Calendar'!$A$4:$A$107),YEAR(AD187-WEEKDAY(AD187,2)+4)&amp;"/W"&amp;TEXT(WEEKNUM(AD187,21),"00")),IF(IFERROR(ISNUMBER(SEARCH("/W",AD187)),FALSE),IF(IFERROR(ISNUMBER(SEARCH("-",AD187)),FALSE),LEFT(AD187,SEARCH("-",AD187)-1),AD187),AD187)))</f>
        <v>2027/W04</v>
      </c>
      <c r="AG187" s="2" t="str">
        <f>IF(AE187="","",IF(ISNUMBER(AE187),IF(AND(AE187&gt;='2026 Calendar'!$C$4,AE187&lt;='2026 Calendar'!$E$107),LOOKUP(AE187,'2026 Calendar'!$C$4:$C$107,'2026 Calendar'!$A$4:$A$107),YEAR(AE187-WEEKDAY(AE187,2)+4)&amp;"/W"&amp;TEXT(WEEKNUM(AE187,21),"00")),IF(IFERROR(ISNUMBER(SEARCH("/W",AE187)),FALSE),IF(IFERROR(ISNUMBER(SEARCH("-",AE187)),FALSE),MID(AE187,SEARCH("-",AE187)+1,100),AE187),AE187)))</f>
        <v>2027/W04</v>
      </c>
      <c r="AH187" s="2" t="s">
        <v>304</v>
      </c>
      <c r="AI187" s="254">
        <v>46297</v>
      </c>
      <c r="AJ187" s="283"/>
      <c r="AK187" s="2" t="s">
        <v>304</v>
      </c>
      <c r="AL187" s="254">
        <v>46297</v>
      </c>
      <c r="AM187" s="283"/>
      <c r="AN187" s="2" t="s">
        <v>304</v>
      </c>
      <c r="AO187" s="254">
        <v>46297</v>
      </c>
      <c r="AP187" s="283"/>
      <c r="AQ187" s="2" t="s">
        <v>304</v>
      </c>
      <c r="AR187" s="254">
        <v>46297</v>
      </c>
      <c r="AS187" s="283"/>
      <c r="AT187" s="2" t="s">
        <v>73</v>
      </c>
      <c r="AU187" s="254"/>
      <c r="AV187" s="283"/>
      <c r="AW187" s="2" t="s">
        <v>304</v>
      </c>
      <c r="AX187" s="254"/>
      <c r="AY187" s="283"/>
      <c r="AZ187" s="2" t="s">
        <v>331</v>
      </c>
      <c r="BA187" s="254"/>
      <c r="BB187" s="283"/>
      <c r="BC187" s="2" t="str">
        <f t="shared" si="39"/>
        <v>Active</v>
      </c>
      <c r="BD187" s="2" t="s">
        <v>279</v>
      </c>
      <c r="BE187" s="119" t="str">
        <f t="shared" si="36"/>
        <v>NPD: In progress: Drawing, Veneer/Wood, Marble, Metal, Electrical; Fabric is com pending; need approval by 2-Oct-26 for SW04</v>
      </c>
      <c r="BF187" s="2" t="s">
        <v>470</v>
      </c>
    </row>
    <row r="188" spans="1:58" x14ac:dyDescent="0.35">
      <c r="A188" s="2" t="str">
        <f>IFERROR(VLOOKUP(E188,'Customer '!$A$4:$D$23,3,FALSE),"")</f>
        <v>NON RH</v>
      </c>
      <c r="B188" s="2" t="s">
        <v>268</v>
      </c>
      <c r="C188" s="2" t="s">
        <v>424</v>
      </c>
      <c r="E188" s="2" t="s">
        <v>427</v>
      </c>
      <c r="F188" s="2" t="str">
        <f>IFERROR(VLOOKUP(E188,'Customer '!$A$4:$D$28,2,FALSE),"")</f>
        <v>BISCAYNE</v>
      </c>
      <c r="G188" s="2" t="s">
        <v>471</v>
      </c>
      <c r="H18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2026-BISCAYNE-OLY PA</v>
      </c>
      <c r="I188" s="2">
        <f ca="1">IF(OR($H188="",$B188=""),0,--(COUNTIFS($H$3:$H188,$H188,$B$3:$B188,$B188)=1))</f>
        <v>1</v>
      </c>
      <c r="J188" s="2" t="s">
        <v>477</v>
      </c>
      <c r="K188" s="2" t="s">
        <v>273</v>
      </c>
      <c r="L188" s="2" t="s">
        <v>317</v>
      </c>
      <c r="M188" s="283"/>
      <c r="N188" s="283">
        <v>46213</v>
      </c>
      <c r="O188" s="284"/>
      <c r="P188" s="2" t="s">
        <v>51</v>
      </c>
      <c r="Q188" s="2" t="s">
        <v>1609</v>
      </c>
      <c r="R188" s="276"/>
      <c r="S188" s="276"/>
      <c r="T188" s="276"/>
      <c r="U188" s="276"/>
      <c r="V188" s="276">
        <v>1</v>
      </c>
      <c r="W188" s="276">
        <v>3</v>
      </c>
      <c r="X188" s="280">
        <v>2908</v>
      </c>
      <c r="Y188" s="280">
        <v>2908</v>
      </c>
      <c r="Z188" s="2" t="s">
        <v>345</v>
      </c>
      <c r="AA188" s="2" t="str">
        <f t="shared" si="40"/>
        <v>2027</v>
      </c>
      <c r="AB188" s="283"/>
      <c r="AC188" s="283"/>
      <c r="AD188" s="277">
        <v>46451</v>
      </c>
      <c r="AE188" s="283">
        <v>46451</v>
      </c>
      <c r="AF188" s="2" t="str">
        <f>IF(AD188="","",IF(ISNUMBER(AD188),IF(AND(AD188&gt;='2026 Calendar'!$C$4,AD188&lt;='2026 Calendar'!$E$107),LOOKUP(AD188,'2026 Calendar'!$C$4:$C$107,'2026 Calendar'!$A$4:$A$107),YEAR(AD188-WEEKDAY(AD188,2)+4)&amp;"/W"&amp;TEXT(WEEKNUM(AD188,21),"00")),IF(IFERROR(ISNUMBER(SEARCH("/W",AD188)),FALSE),IF(IFERROR(ISNUMBER(SEARCH("-",AD188)),FALSE),LEFT(AD188,SEARCH("-",AD188)-1),AD188),AD188)))</f>
        <v>2027/W10</v>
      </c>
      <c r="AG188" s="2" t="str">
        <f>IF(AE188="","",IF(ISNUMBER(AE188),IF(AND(AE188&gt;='2026 Calendar'!$C$4,AE188&lt;='2026 Calendar'!$E$107),LOOKUP(AE188,'2026 Calendar'!$C$4:$C$107,'2026 Calendar'!$A$4:$A$107),YEAR(AE188-WEEKDAY(AE188,2)+4)&amp;"/W"&amp;TEXT(WEEKNUM(AE188,21),"00")),IF(IFERROR(ISNUMBER(SEARCH("/W",AE188)),FALSE),IF(IFERROR(ISNUMBER(SEARCH("-",AE188)),FALSE),MID(AE188,SEARCH("-",AE188)+1,100),AE188),AE188)))</f>
        <v>2027/W10</v>
      </c>
      <c r="AH188" s="2" t="s">
        <v>304</v>
      </c>
      <c r="AI188" s="254">
        <v>46682</v>
      </c>
      <c r="AJ188" s="283"/>
      <c r="AL188" s="254"/>
      <c r="AM188" s="283"/>
      <c r="AO188" s="254"/>
      <c r="AP188" s="283"/>
      <c r="AR188" s="254"/>
      <c r="AS188" s="283"/>
      <c r="AU188" s="254"/>
      <c r="AV188" s="283"/>
      <c r="AX188" s="254"/>
      <c r="AY188" s="283"/>
      <c r="BA188" s="254"/>
      <c r="BB188" s="283"/>
      <c r="BC188" s="2" t="str">
        <f t="shared" si="39"/>
        <v>Active</v>
      </c>
      <c r="BD188" s="2" t="s">
        <v>279</v>
      </c>
      <c r="BE188" s="119" t="str">
        <f t="shared" si="36"/>
        <v>NPI: In progress: Drawing; need approval by 22-Oct-27 for SW10</v>
      </c>
    </row>
    <row r="189" spans="1:58" x14ac:dyDescent="0.35">
      <c r="A189" s="2" t="str">
        <f>IFERROR(VLOOKUP(E189,'Customer '!$A$4:$D$27,3,FALSE),"")</f>
        <v>NON RH</v>
      </c>
      <c r="B189" s="2" t="s">
        <v>268</v>
      </c>
      <c r="C189" s="2" t="s">
        <v>414</v>
      </c>
      <c r="E189" s="2" t="s">
        <v>472</v>
      </c>
      <c r="F189" s="2" t="str">
        <f>IFERROR(VLOOKUP(E189,'Customer '!$A$4:$D$28,2,FALSE),"")</f>
        <v>MJM</v>
      </c>
      <c r="G189" s="2" t="s">
        <v>473</v>
      </c>
      <c r="H18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2026-MJM-CABIN PROJECT</v>
      </c>
      <c r="I189" s="2">
        <f ca="1">IF(OR($H189="",$B189=""),0,--(COUNTIFS($H$3:$H189,$H189,$B$3:$B189,$B189)=1))</f>
        <v>1</v>
      </c>
      <c r="J189" s="2" t="s">
        <v>135</v>
      </c>
      <c r="K189" s="2" t="s">
        <v>273</v>
      </c>
      <c r="L189" s="2" t="s">
        <v>317</v>
      </c>
      <c r="M189" s="283"/>
      <c r="N189" s="283"/>
      <c r="O189" s="284"/>
      <c r="P189" s="2" t="s">
        <v>51</v>
      </c>
      <c r="R189" s="276">
        <v>0</v>
      </c>
      <c r="S189" s="276">
        <v>0</v>
      </c>
      <c r="T189" s="276"/>
      <c r="U189" s="276"/>
      <c r="V189" s="276">
        <v>3</v>
      </c>
      <c r="W189" s="276">
        <f>3*240</f>
        <v>720</v>
      </c>
      <c r="X189" s="280">
        <v>371000</v>
      </c>
      <c r="Y189" s="280">
        <v>185500</v>
      </c>
      <c r="Z189" s="2" t="s">
        <v>315</v>
      </c>
      <c r="AA189" s="2" t="str">
        <f t="shared" si="40"/>
        <v>2027</v>
      </c>
      <c r="AB189" s="283"/>
      <c r="AC189" s="283"/>
      <c r="AD189" s="277">
        <v>46409</v>
      </c>
      <c r="AE189" s="283">
        <v>46409</v>
      </c>
      <c r="AF189" s="2" t="str">
        <f>IF(AD189="","",IF(ISNUMBER(AD189),IF(AND(AD189&gt;='2026 Calendar'!$C$4,AD189&lt;='2026 Calendar'!$E$107),LOOKUP(AD189,'2026 Calendar'!$C$4:$C$107,'2026 Calendar'!$A$4:$A$107),YEAR(AD189-WEEKDAY(AD189,2)+4)&amp;"/W"&amp;TEXT(WEEKNUM(AD189,21),"00")),IF(IFERROR(ISNUMBER(SEARCH("/W",AD189)),FALSE),IF(IFERROR(ISNUMBER(SEARCH("-",AD189)),FALSE),LEFT(AD189,SEARCH("-",AD189)-1),AD189),AD189)))</f>
        <v>2027/W04</v>
      </c>
      <c r="AG189" s="2" t="str">
        <f>IF(AE189="","",IF(ISNUMBER(AE189),IF(AND(AE189&gt;='2026 Calendar'!$C$4,AE189&lt;='2026 Calendar'!$E$107),LOOKUP(AE189,'2026 Calendar'!$C$4:$C$107,'2026 Calendar'!$A$4:$A$107),YEAR(AE189-WEEKDAY(AE189,2)+4)&amp;"/W"&amp;TEXT(WEEKNUM(AE189,21),"00")),IF(IFERROR(ISNUMBER(SEARCH("/W",AE189)),FALSE),IF(IFERROR(ISNUMBER(SEARCH("-",AE189)),FALSE),MID(AE189,SEARCH("-",AE189)+1,100),AE189),AE189)))</f>
        <v>2027/W04</v>
      </c>
      <c r="AH189" s="2" t="s">
        <v>304</v>
      </c>
      <c r="AI189" s="254"/>
      <c r="AJ189" s="283"/>
      <c r="AL189" s="254"/>
      <c r="AM189" s="283"/>
      <c r="AO189" s="254"/>
      <c r="AP189" s="283"/>
      <c r="AR189" s="254"/>
      <c r="AS189" s="283"/>
      <c r="AU189" s="254"/>
      <c r="AV189" s="283"/>
      <c r="AX189" s="254"/>
      <c r="AY189" s="283"/>
      <c r="BA189" s="254"/>
      <c r="BB189" s="283"/>
      <c r="BC189" s="2" t="str">
        <f t="shared" si="39"/>
        <v>Complete</v>
      </c>
      <c r="BE189" s="119" t="str">
        <f t="shared" si="36"/>
        <v>NPI: In progress: Drawing for SW04</v>
      </c>
    </row>
    <row r="190" spans="1:58" x14ac:dyDescent="0.35">
      <c r="A190" s="2" t="str">
        <f>IFERROR(VLOOKUP(E190,'Customer '!$A$4:$D$27,3,FALSE),"")</f>
        <v>NON RH</v>
      </c>
      <c r="B190" s="2" t="s">
        <v>268</v>
      </c>
      <c r="C190" s="2" t="s">
        <v>414</v>
      </c>
      <c r="E190" s="2" t="s">
        <v>472</v>
      </c>
      <c r="F190" s="2" t="str">
        <f>IFERROR(VLOOKUP(E190,'Customer '!$A$4:$D$28,2,FALSE),"")</f>
        <v>MJM</v>
      </c>
      <c r="G190" s="2" t="s">
        <v>473</v>
      </c>
      <c r="H19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2026-MJM-CABIN PROJECT</v>
      </c>
      <c r="I190" s="2">
        <f ca="1">IF(OR($H190="",$B190=""),0,--(COUNTIFS($H$3:$H190,$H190,$B$3:$B190,$B190)=1))</f>
        <v>0</v>
      </c>
      <c r="J190" s="2" t="s">
        <v>135</v>
      </c>
      <c r="K190" s="2" t="s">
        <v>273</v>
      </c>
      <c r="L190" s="2" t="s">
        <v>317</v>
      </c>
      <c r="M190" s="283"/>
      <c r="N190" s="283"/>
      <c r="O190" s="284"/>
      <c r="P190" s="2" t="s">
        <v>51</v>
      </c>
      <c r="R190" s="276">
        <v>0</v>
      </c>
      <c r="S190" s="276">
        <v>0</v>
      </c>
      <c r="T190" s="276"/>
      <c r="U190" s="276"/>
      <c r="V190" s="276">
        <v>3</v>
      </c>
      <c r="W190" s="276">
        <f>3*240</f>
        <v>720</v>
      </c>
      <c r="X190" s="280">
        <v>371000</v>
      </c>
      <c r="Y190" s="280">
        <v>185500</v>
      </c>
      <c r="Z190" s="2" t="s">
        <v>345</v>
      </c>
      <c r="AA190" s="2" t="str">
        <f t="shared" ref="AA190" si="41">IF(Z190="","",IF(OR(Z190="TBC",Z190="Removed"),Z190,LEFT(Z190,4)))</f>
        <v>2027</v>
      </c>
      <c r="AB190" s="283"/>
      <c r="AC190" s="283"/>
      <c r="AD190" s="277">
        <v>46395</v>
      </c>
      <c r="AE190" s="283">
        <v>46444</v>
      </c>
      <c r="AF190" s="2" t="str">
        <f>IF(AD190="","",IF(ISNUMBER(AD190),IF(AND(AD190&gt;='2026 Calendar'!$C$4,AD190&lt;='2026 Calendar'!$E$107),LOOKUP(AD190,'2026 Calendar'!$C$4:$C$107,'2026 Calendar'!$A$4:$A$107),YEAR(AD190-WEEKDAY(AD190,2)+4)&amp;"/W"&amp;TEXT(WEEKNUM(AD190,21),"00")),IF(IFERROR(ISNUMBER(SEARCH("/W",AD190)),FALSE),IF(IFERROR(ISNUMBER(SEARCH("-",AD190)),FALSE),LEFT(AD190,SEARCH("-",AD190)-1),AD190),AD190)))</f>
        <v>2027/W02</v>
      </c>
      <c r="AG190" s="2" t="str">
        <f>IF(AE190="","",IF(ISNUMBER(AE190),IF(AND(AE190&gt;='2026 Calendar'!$C$4,AE190&lt;='2026 Calendar'!$E$107),LOOKUP(AE190,'2026 Calendar'!$C$4:$C$107,'2026 Calendar'!$A$4:$A$107),YEAR(AE190-WEEKDAY(AE190,2)+4)&amp;"/W"&amp;TEXT(WEEKNUM(AE190,21),"00")),IF(IFERROR(ISNUMBER(SEARCH("/W",AE190)),FALSE),IF(IFERROR(ISNUMBER(SEARCH("-",AE190)),FALSE),MID(AE190,SEARCH("-",AE190)+1,100),AE190),AE190)))</f>
        <v>2027/W09</v>
      </c>
      <c r="AH190" s="2" t="s">
        <v>304</v>
      </c>
      <c r="AI190" s="254"/>
      <c r="AJ190" s="283"/>
      <c r="AL190" s="254"/>
      <c r="AM190" s="283"/>
      <c r="AO190" s="254"/>
      <c r="AP190" s="283"/>
      <c r="AR190" s="254"/>
      <c r="AS190" s="283"/>
      <c r="AU190" s="254"/>
      <c r="AV190" s="283"/>
      <c r="AX190" s="254"/>
      <c r="AY190" s="283"/>
      <c r="BA190" s="254"/>
      <c r="BB190" s="283"/>
      <c r="BC190" s="2" t="str">
        <f t="shared" si="39"/>
        <v>Complete</v>
      </c>
      <c r="BE190" s="119" t="str">
        <f t="shared" si="36"/>
        <v>NPI: In progress: Drawing for SW09</v>
      </c>
    </row>
    <row r="191" spans="1:58" x14ac:dyDescent="0.35">
      <c r="A191" s="2" t="str">
        <f>IFERROR(VLOOKUP(E191,'Customer '!$A$4:$D$23,3,FALSE),"")</f>
        <v>RH</v>
      </c>
      <c r="B191" s="2" t="s">
        <v>323</v>
      </c>
      <c r="C191" s="2" t="s">
        <v>308</v>
      </c>
      <c r="D191" s="2" t="s">
        <v>312</v>
      </c>
      <c r="E191" s="2" t="s">
        <v>61</v>
      </c>
      <c r="F191" s="2" t="str">
        <f>IFERROR(VLOOKUP(E191,'Customer '!$A$4:$D$28,2,FALSE),"")</f>
        <v>RH</v>
      </c>
      <c r="G191" s="2" t="s">
        <v>474</v>
      </c>
      <c r="H19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2026-RH-OPS-0069737 TRIBECA CONDOS - VANITIES</v>
      </c>
      <c r="I191" s="2">
        <f ca="1">IF(OR($H191="",$B191=""),0,--(COUNTIFS($H$3:$H191,$H191,$B$3:$B191,$B191)=1))</f>
        <v>1</v>
      </c>
      <c r="J191" s="2" t="s">
        <v>396</v>
      </c>
      <c r="K191" s="2" t="s">
        <v>273</v>
      </c>
      <c r="L191" s="2" t="s">
        <v>285</v>
      </c>
      <c r="M191" s="283">
        <v>46269</v>
      </c>
      <c r="N191" s="283"/>
      <c r="O191" s="284"/>
      <c r="P191" s="2" t="s">
        <v>51</v>
      </c>
      <c r="Q191" s="2" t="s">
        <v>325</v>
      </c>
      <c r="R191" s="2">
        <v>0</v>
      </c>
      <c r="S191" s="2">
        <v>0</v>
      </c>
      <c r="V191" s="276">
        <v>2</v>
      </c>
      <c r="W191" s="276">
        <v>2</v>
      </c>
      <c r="X191" s="280">
        <v>4632.5600000000004</v>
      </c>
      <c r="Y191" s="280">
        <v>4632.5600000000004</v>
      </c>
      <c r="Z191" s="2" t="s">
        <v>330</v>
      </c>
      <c r="AA191" s="2" t="str">
        <f t="shared" si="40"/>
        <v>2026</v>
      </c>
      <c r="AB191" s="283"/>
      <c r="AC191" s="283"/>
      <c r="AD191" s="277">
        <v>46367</v>
      </c>
      <c r="AE191" s="283">
        <v>46367</v>
      </c>
      <c r="AF191" s="2" t="str">
        <f>IF(AD191="","",IF(ISNUMBER(AD191),IF(AND(AD191&gt;='2026 Calendar'!$C$4,AD191&lt;='2026 Calendar'!$E$107),LOOKUP(AD191,'2026 Calendar'!$C$4:$C$107,'2026 Calendar'!$A$4:$A$107),YEAR(AD191-WEEKDAY(AD191,2)+4)&amp;"/W"&amp;TEXT(WEEKNUM(AD191,21),"00")),IF(IFERROR(ISNUMBER(SEARCH("/W",AD191)),FALSE),IF(IFERROR(ISNUMBER(SEARCH("-",AD191)),FALSE),LEFT(AD191,SEARCH("-",AD191)-1),AD191),AD191)))</f>
        <v>2026/W50</v>
      </c>
      <c r="AG191" s="2" t="str">
        <f>IF(AE191="","",IF(ISNUMBER(AE191),IF(AND(AE191&gt;='2026 Calendar'!$C$4,AE191&lt;='2026 Calendar'!$E$107),LOOKUP(AE191,'2026 Calendar'!$C$4:$C$107,'2026 Calendar'!$A$4:$A$107),YEAR(AE191-WEEKDAY(AE191,2)+4)&amp;"/W"&amp;TEXT(WEEKNUM(AE191,21),"00")),IF(IFERROR(ISNUMBER(SEARCH("/W",AE191)),FALSE),IF(IFERROR(ISNUMBER(SEARCH("-",AE191)),FALSE),MID(AE191,SEARCH("-",AE191)+1,100),AE191),AE191)))</f>
        <v>2026/W50</v>
      </c>
      <c r="AH191" s="2" t="s">
        <v>304</v>
      </c>
      <c r="AI191" s="254"/>
      <c r="AJ191" s="283"/>
      <c r="AK191" s="2" t="s">
        <v>287</v>
      </c>
      <c r="AL191" s="254"/>
      <c r="AM191" s="283"/>
      <c r="AN191" s="2" t="s">
        <v>287</v>
      </c>
      <c r="AO191" s="254"/>
      <c r="AP191" s="283"/>
      <c r="AQ191" s="2" t="s">
        <v>304</v>
      </c>
      <c r="AR191" s="254"/>
      <c r="AS191" s="283"/>
      <c r="AT191" s="2" t="s">
        <v>73</v>
      </c>
      <c r="AU191" s="254"/>
      <c r="AV191" s="283"/>
      <c r="AW191" s="2" t="s">
        <v>73</v>
      </c>
      <c r="AX191" s="254"/>
      <c r="AY191" s="283"/>
      <c r="AZ191" s="2" t="s">
        <v>73</v>
      </c>
      <c r="BA191" s="254"/>
      <c r="BB191" s="283"/>
      <c r="BC191" s="2" t="str">
        <f t="shared" si="39"/>
        <v>Complete</v>
      </c>
      <c r="BE191" s="119" t="e">
        <f>IF(UPPER(TRIM(J191))="SHIPPED","READY",_xlfn.LET(_xlpm.stage,IF(B191="","",B191&amp;": "),_xlpm.ip,_xlfn.TEXTJOIN(", ",TRUE,IF(LOWER(AH191)="in progress","Drawing",""),IF(LOWER(AK191)="in progress","Veneer/Wood",""),IF(LOWER(#REF!)="in progress","Marble",""),IF(LOWER(AQ191)="in progress","Metal",""),IF(LOWER(AT191)="in progress","Mirror",""),IF(LOWER(AW191)="in progress","Electrical",""),IF(LOWER(AZ191)="in progress","Fabric","")),_xlpm.pa,_xlfn.TEXTJOIN(", ",TRUE,IF(LOWER(AH191)="pending approval","Drawing",""),IF(LOWER(AK191)="pending approval","Veneer/Wood",""),IF(LOWER(#REF!)="pending approval","Marble",""),IF(LOWER(AQ191)="pending approval","Metal",""),IF(LOWER(AT191)="pending approval","Mirror",""),IF(LOWER(AW191)="pending approval","Electrical",""),IF(LOWER(AZ191)="pending approval","Fabric","")),_xlpm.ns,_xlfn.TEXTJOIN(", ",TRUE,IF(LOWER(AH191)="not started","Drawing",""),IF(LOWER(AK191)="not started","Veneer/Wood",""),IF(LOWER(#REF!)="not started","Marble",""),IF(LOWER(AQ191)="not started","Metal",""),IF(LOWER(AT191)="not started","Mirror",""),IF(LOWER(AW191)="not started","Electrical",""),IF(LOWER(AZ191)="not started","Fabric","")),_xlpm.fab,IF(OR(LOWER(AZ191)="com",LOWER(AZ191)="com pending",LOWER(AZ191)="com received"),"Fabric is "&amp;LOWER(AZ191),""),_xlpm.parts,_xlfn.TEXTJOIN("; ",TRUE,IF(_xlpm.ip&lt;&gt;"","In progress: "&amp;_xlpm.ip,""),IF(_xlpm.pa&lt;&gt;"","Pending approval: "&amp;_xlpm.pa,""),IF(_xlpm.ns&lt;&gt;"","Not started: "&amp;_xlpm.ns,""),_xlpm.fab),_xlpm.deadline,MIN(IF(AND(AH191&lt;&gt;"",LOWER(AH191)&lt;&gt;"approved",LOWER(AH191)&lt;&gt;"n/a",ISNUMBER(AI191)),AI191,1E+99),IF(AND(AK191&lt;&gt;"",LOWER(AK191)&lt;&gt;"approved",LOWER(AK191)&lt;&gt;"n/a",ISNUMBER(AL191)),AL191,1E+99),IF(AND(#REF!&lt;&gt;"",LOWER(#REF!)&lt;&gt;"approved",LOWER(#REF!)&lt;&gt;"n/a",ISNUMBER(AO191)),AO191,1E+99),IF(AND(AQ191&lt;&gt;"",LOWER(AQ191)&lt;&gt;"approved",LOWER(AQ191)&lt;&gt;"n/a",ISNUMBER(AR191)),AR191,1E+99),IF(AND(AT191&lt;&gt;"",LOWER(AT191)&lt;&gt;"approved",LOWER(AT191)&lt;&gt;"n/a",ISNUMBER(AU191)),AU191,1E+99),IF(AND(AW191&lt;&gt;"",LOWER(AW191)&lt;&gt;"approved",LOWER(AW191)&lt;&gt;"n/a",ISNUMBER(AX191)),AX191,1E+99),IF(AND(AZ191&lt;&gt;"",LOWER(AZ191)&lt;&gt;"approved",LOWER(AZ191)&lt;&gt;"n/a",ISNUMBER(BA191)),BA191,1E+99)),_xlpm.sw,IF(AG191="","",IFERROR("SW"&amp;MID(AG191,FIND("/W",AG191)+2,99),"SW "&amp;AG191)),_xlpm.stage&amp;IF(_xlpm.parts="","All development items approved/closed",_xlpm.parts)&amp;IF(AND(_xlpm.parts&lt;&gt;"",_xlpm.deadline&lt;1E+99),"; need approval by "&amp;TEXT(_xlpm.deadline,"d-mmm-yy"),"")&amp;IF(_xlpm.sw&lt;&gt;""," for "&amp;_xlpm.sw,"")))</f>
        <v>#REF!</v>
      </c>
    </row>
    <row r="192" spans="1:58" ht="29" x14ac:dyDescent="0.35">
      <c r="A192" s="2" t="str">
        <f>IFERROR(VLOOKUP(E192,'Customer '!$A$4:$D$23,3,FALSE),"")</f>
        <v>RH</v>
      </c>
      <c r="B192" s="2" t="s">
        <v>268</v>
      </c>
      <c r="C192" s="2" t="s">
        <v>308</v>
      </c>
      <c r="D192" s="2" t="s">
        <v>312</v>
      </c>
      <c r="E192" s="2" t="s">
        <v>61</v>
      </c>
      <c r="F192" s="2" t="str">
        <f>IFERROR(VLOOKUP(E192,'Customer '!$A$4:$D$28,2,FALSE),"")</f>
        <v>RH</v>
      </c>
      <c r="G192" s="2" t="s">
        <v>474</v>
      </c>
      <c r="H19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2026-RH-OPS-0069737 TRIBECA CONDOS - VANITIES</v>
      </c>
      <c r="I192" s="2">
        <f ca="1">IF(OR($H192="",$B192=""),0,--(COUNTIFS($H$3:$H192,$H192,$B$3:$B192,$B192)=1))</f>
        <v>1</v>
      </c>
      <c r="J192" s="2" t="s">
        <v>396</v>
      </c>
      <c r="K192" s="2" t="s">
        <v>273</v>
      </c>
      <c r="L192" s="2" t="s">
        <v>285</v>
      </c>
      <c r="M192" s="283">
        <v>46266</v>
      </c>
      <c r="N192" s="283"/>
      <c r="O192" s="284"/>
      <c r="P192" s="2" t="s">
        <v>51</v>
      </c>
      <c r="Q192" s="2" t="s">
        <v>325</v>
      </c>
      <c r="R192" s="276">
        <v>0</v>
      </c>
      <c r="S192" s="276">
        <v>0</v>
      </c>
      <c r="T192" s="276"/>
      <c r="U192" s="276"/>
      <c r="V192" s="276">
        <v>4</v>
      </c>
      <c r="W192" s="276">
        <v>34</v>
      </c>
      <c r="X192" s="280">
        <v>38099.789999999994</v>
      </c>
      <c r="Y192" s="280">
        <v>38099.789999999994</v>
      </c>
      <c r="Z192" s="2" t="s">
        <v>149</v>
      </c>
      <c r="AA192" s="2" t="str">
        <f t="shared" si="40"/>
        <v>TBC</v>
      </c>
      <c r="AB192" s="283"/>
      <c r="AC192" s="283"/>
      <c r="AD192" s="277" t="s">
        <v>149</v>
      </c>
      <c r="AE192" s="278" t="s">
        <v>149</v>
      </c>
      <c r="AF192" s="2" t="str">
        <f>IF(AD192="","",IF(ISNUMBER(AD192),IF(AND(AD192&gt;='2026 Calendar'!$C$4,AD192&lt;='2026 Calendar'!$E$107),LOOKUP(AD192,'2026 Calendar'!$C$4:$C$107,'2026 Calendar'!$A$4:$A$107),YEAR(AD192-WEEKDAY(AD192,2)+4)&amp;"/W"&amp;TEXT(WEEKNUM(AD192,21),"00")),IF(IFERROR(ISNUMBER(SEARCH("/W",AD192)),FALSE),IF(IFERROR(ISNUMBER(SEARCH("-",AD192)),FALSE),LEFT(AD192,SEARCH("-",AD192)-1),AD192),AD192)))</f>
        <v>TBC</v>
      </c>
      <c r="AG192" s="2" t="str">
        <f>IF(AE192="","",IF(ISNUMBER(AE192),IF(AND(AE192&gt;='2026 Calendar'!$C$4,AE192&lt;='2026 Calendar'!$E$107),LOOKUP(AE192,'2026 Calendar'!$C$4:$C$107,'2026 Calendar'!$A$4:$A$107),YEAR(AE192-WEEKDAY(AE192,2)+4)&amp;"/W"&amp;TEXT(WEEKNUM(AE192,21),"00")),IF(IFERROR(ISNUMBER(SEARCH("/W",AE192)),FALSE),IF(IFERROR(ISNUMBER(SEARCH("-",AE192)),FALSE),MID(AE192,SEARCH("-",AE192)+1,100),AE192),AE192)))</f>
        <v>TBC</v>
      </c>
      <c r="AH192" s="2" t="s">
        <v>304</v>
      </c>
      <c r="AI192" s="254"/>
      <c r="AJ192" s="283"/>
      <c r="AK192" s="2" t="s">
        <v>287</v>
      </c>
      <c r="AL192" s="254"/>
      <c r="AM192" s="283"/>
      <c r="AN192" s="2" t="s">
        <v>287</v>
      </c>
      <c r="AO192" s="254"/>
      <c r="AP192" s="283"/>
      <c r="AQ192" s="2" t="s">
        <v>304</v>
      </c>
      <c r="AR192" s="254"/>
      <c r="AS192" s="283"/>
      <c r="AT192" s="2" t="s">
        <v>73</v>
      </c>
      <c r="AU192" s="254"/>
      <c r="AV192" s="283"/>
      <c r="AW192" s="2" t="s">
        <v>73</v>
      </c>
      <c r="AX192" s="254"/>
      <c r="AY192" s="283"/>
      <c r="AZ192" s="2" t="s">
        <v>73</v>
      </c>
      <c r="BA192" s="254"/>
      <c r="BB192" s="283"/>
      <c r="BC192" s="2" t="str">
        <f t="shared" si="39"/>
        <v>Complete</v>
      </c>
      <c r="BE192" s="119" t="str">
        <f t="shared" ref="BE192:BE204" si="42">IF(UPPER(TRIM(J192))="SHIPPED","READY",_xlfn.LET(_xlpm.stage,IF(B192="","",B192&amp;": "),_xlpm.ip,_xlfn.TEXTJOIN(", ",TRUE,IF(LOWER(AH192)="in progress","Drawing",""),IF(LOWER(AK192)="in progress","Veneer/Wood",""),IF(LOWER(AN192)="in progress","Marble",""),IF(LOWER(AQ192)="in progress","Metal",""),IF(LOWER(AT192)="in progress","Mirror",""),IF(LOWER(AW192)="in progress","Electrical",""),IF(LOWER(AZ192)="in progress","Fabric","")),_xlpm.pa,_xlfn.TEXTJOIN(", ",TRUE,IF(LOWER(AH192)="pending approval","Drawing",""),IF(LOWER(AK192)="pending approval","Veneer/Wood",""),IF(LOWER(AN192)="pending approval","Marble",""),IF(LOWER(AQ192)="pending approval","Metal",""),IF(LOWER(AT192)="pending approval","Mirror",""),IF(LOWER(AW192)="pending approval","Electrical",""),IF(LOWER(AZ192)="pending approval","Fabric","")),_xlpm.ns,_xlfn.TEXTJOIN(", ",TRUE,IF(LOWER(AH192)="not started","Drawing",""),IF(LOWER(AK192)="not started","Veneer/Wood",""),IF(LOWER(AN192)="not started","Marble",""),IF(LOWER(AQ192)="not started","Metal",""),IF(LOWER(AT192)="not started","Mirror",""),IF(LOWER(AW192)="not started","Electrical",""),IF(LOWER(AZ192)="not started","Fabric","")),_xlpm.fab,IF(OR(LOWER(AZ192)="com",LOWER(AZ192)="com pending",LOWER(AZ192)="com received"),"Fabric is "&amp;LOWER(AZ192),""),_xlpm.parts,_xlfn.TEXTJOIN("; ",TRUE,IF(_xlpm.ip&lt;&gt;"","In progress: "&amp;_xlpm.ip,""),IF(_xlpm.pa&lt;&gt;"","Pending approval: "&amp;_xlpm.pa,""),IF(_xlpm.ns&lt;&gt;"","Not started: "&amp;_xlpm.ns,""),_xlpm.fab),_xlpm.deadline,MIN(IF(AND(AH192&lt;&gt;"",LOWER(AH192)&lt;&gt;"approved",LOWER(AH192)&lt;&gt;"n/a",ISNUMBER(AI192)),AI192,1E+99),IF(AND(AK192&lt;&gt;"",LOWER(AK192)&lt;&gt;"approved",LOWER(AK192)&lt;&gt;"n/a",ISNUMBER(AL192)),AL192,1E+99),IF(AND(AN192&lt;&gt;"",LOWER(AN192)&lt;&gt;"approved",LOWER(AN192)&lt;&gt;"n/a",ISNUMBER(AO192)),AO192,1E+99),IF(AND(AQ192&lt;&gt;"",LOWER(AQ192)&lt;&gt;"approved",LOWER(AQ192)&lt;&gt;"n/a",ISNUMBER(AR192)),AR192,1E+99),IF(AND(AT192&lt;&gt;"",LOWER(AT192)&lt;&gt;"approved",LOWER(AT192)&lt;&gt;"n/a",ISNUMBER(AU192)),AU192,1E+99),IF(AND(AW192&lt;&gt;"",LOWER(AW192)&lt;&gt;"approved",LOWER(AW192)&lt;&gt;"n/a",ISNUMBER(AX192)),AX192,1E+99),IF(AND(AZ192&lt;&gt;"",LOWER(AZ192)&lt;&gt;"approved",LOWER(AZ192)&lt;&gt;"n/a",ISNUMBER(BA192)),BA192,1E+99)),_xlpm.sw,IF(AG192="","",IFERROR("SW"&amp;MID(AG192,FIND("/W",AG192)+2,99),"SW "&amp;AG192)),_xlpm.stage&amp;IF(_xlpm.parts="","All development items approved/closed",_xlpm.parts)&amp;IF(AND(_xlpm.parts&lt;&gt;"",_xlpm.deadline&lt;1E+99),"; need approval by "&amp;TEXT(_xlpm.deadline,"d-mmm-yy"),"")&amp;IF(_xlpm.sw&lt;&gt;""," for "&amp;_xlpm.sw,"")))</f>
        <v>NPI: In progress: Drawing, Metal; Not started: Veneer/Wood, Marble for SW TBC</v>
      </c>
    </row>
    <row r="193" spans="1:57" ht="29" x14ac:dyDescent="0.35">
      <c r="A193" s="2" t="str">
        <f>IFERROR(VLOOKUP(E193,'Customer '!$A$4:$D$28,3,FALSE),"")</f>
        <v>NON RH</v>
      </c>
      <c r="B193" s="2" t="s">
        <v>268</v>
      </c>
      <c r="C193" s="2" t="s">
        <v>298</v>
      </c>
      <c r="E193" s="2" t="s">
        <v>475</v>
      </c>
      <c r="F193" s="2" t="str">
        <f>IFERROR(VLOOKUP(E193,'Customer '!$A$4:$D$28,2,FALSE),"")</f>
        <v>MV</v>
      </c>
      <c r="G193" s="2" t="s">
        <v>476</v>
      </c>
      <c r="H19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2026-MV-CLEVELAND CLINIC</v>
      </c>
      <c r="I193" s="2">
        <f ca="1">IF(OR($H193="",$B193=""),0,--(COUNTIFS($H$3:$H193,$H193,$B$3:$B193,$B193)=1))</f>
        <v>1</v>
      </c>
      <c r="J193" s="2" t="s">
        <v>477</v>
      </c>
      <c r="K193" s="2" t="s">
        <v>273</v>
      </c>
      <c r="L193" s="2" t="s">
        <v>285</v>
      </c>
      <c r="M193" s="283">
        <v>46275</v>
      </c>
      <c r="N193" s="283">
        <v>46304</v>
      </c>
      <c r="O193" s="284" t="s">
        <v>1604</v>
      </c>
      <c r="P193" s="2" t="s">
        <v>51</v>
      </c>
      <c r="R193" s="276">
        <v>23</v>
      </c>
      <c r="S193" s="276">
        <v>27</v>
      </c>
      <c r="T193" s="276"/>
      <c r="U193" s="276"/>
      <c r="V193" s="276">
        <v>27</v>
      </c>
      <c r="W193" s="276">
        <v>86</v>
      </c>
      <c r="X193" s="280">
        <v>77770.73</v>
      </c>
      <c r="Y193" s="280">
        <v>27000</v>
      </c>
      <c r="Z193" s="2" t="s">
        <v>315</v>
      </c>
      <c r="AA193" s="2" t="str">
        <f t="shared" si="40"/>
        <v>2027</v>
      </c>
      <c r="AB193" s="283">
        <v>46402</v>
      </c>
      <c r="AC193" s="283">
        <v>46402</v>
      </c>
      <c r="AD193" s="277">
        <v>46416</v>
      </c>
      <c r="AE193" s="283">
        <v>46416</v>
      </c>
      <c r="AF193" s="2" t="str">
        <f>IF(AD193="","",IF(ISNUMBER(AD193),IF(AND(AD193&gt;='2026 Calendar'!$C$4,AD193&lt;='2026 Calendar'!$E$107),LOOKUP(AD193,'2026 Calendar'!$C$4:$C$107,'2026 Calendar'!$A$4:$A$107),YEAR(AD193-WEEKDAY(AD193,2)+4)&amp;"/W"&amp;TEXT(WEEKNUM(AD193,21),"00")),IF(IFERROR(ISNUMBER(SEARCH("/W",AD193)),FALSE),IF(IFERROR(ISNUMBER(SEARCH("-",AD193)),FALSE),LEFT(AD193,SEARCH("-",AD193)-1),AD193),AD193)))</f>
        <v>2027/W05</v>
      </c>
      <c r="AG193" s="2" t="str">
        <f>IF(AE193="","",IF(ISNUMBER(AE193),IF(AND(AE193&gt;='2026 Calendar'!$C$4,AE193&lt;='2026 Calendar'!$E$107),LOOKUP(AE193,'2026 Calendar'!$C$4:$C$107,'2026 Calendar'!$A$4:$A$107),YEAR(AE193-WEEKDAY(AE193,2)+4)&amp;"/W"&amp;TEXT(WEEKNUM(AE193,21),"00")),IF(IFERROR(ISNUMBER(SEARCH("/W",AE193)),FALSE),IF(IFERROR(ISNUMBER(SEARCH("-",AE193)),FALSE),MID(AE193,SEARCH("-",AE193)+1,100),AE193),AE193)))</f>
        <v>2027/W05</v>
      </c>
      <c r="AH193" s="2" t="s">
        <v>304</v>
      </c>
      <c r="AI193" s="254">
        <v>46318</v>
      </c>
      <c r="AJ193" s="283"/>
      <c r="AK193" s="2" t="s">
        <v>287</v>
      </c>
      <c r="AL193" s="254"/>
      <c r="AM193" s="283"/>
      <c r="AO193" s="254"/>
      <c r="AP193" s="283"/>
      <c r="AR193" s="254"/>
      <c r="AS193" s="283"/>
      <c r="AU193" s="254"/>
      <c r="AV193" s="283"/>
      <c r="AX193" s="254"/>
      <c r="AY193" s="283"/>
      <c r="BA193" s="254"/>
      <c r="BB193" s="283"/>
      <c r="BC193" s="2" t="str">
        <f t="shared" si="39"/>
        <v>Active</v>
      </c>
      <c r="BE193" s="119" t="str">
        <f t="shared" si="42"/>
        <v>NPI: In progress: Drawing; Not started: Veneer/Wood; need approval by 23-Oct-26 for SW05</v>
      </c>
    </row>
    <row r="194" spans="1:57" ht="29" x14ac:dyDescent="0.35">
      <c r="A194" s="2" t="str">
        <f>IFERROR(VLOOKUP(E194,'Customer '!$A$4:$D$28,3,FALSE),"")</f>
        <v>NON RH</v>
      </c>
      <c r="B194" s="2" t="s">
        <v>268</v>
      </c>
      <c r="C194" s="2" t="s">
        <v>298</v>
      </c>
      <c r="E194" s="2" t="s">
        <v>475</v>
      </c>
      <c r="F194" s="2" t="str">
        <f>IFERROR(VLOOKUP(E194,'Customer '!$A$4:$D$28,2,FALSE),"")</f>
        <v>MV</v>
      </c>
      <c r="G194" s="2" t="s">
        <v>476</v>
      </c>
      <c r="H194"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2026-MV-CLEVELAND CLINIC</v>
      </c>
      <c r="I194" s="2">
        <f ca="1">IF(OR($H194="",$B194=""),0,--(COUNTIFS($H$3:$H194,$H194,$B$3:$B194,$B194)=1))</f>
        <v>0</v>
      </c>
      <c r="J194" s="2" t="s">
        <v>477</v>
      </c>
      <c r="K194" s="2" t="s">
        <v>273</v>
      </c>
      <c r="L194" s="2" t="s">
        <v>285</v>
      </c>
      <c r="M194" s="283">
        <v>46275</v>
      </c>
      <c r="N194" s="283">
        <v>46304</v>
      </c>
      <c r="O194" s="284" t="s">
        <v>1604</v>
      </c>
      <c r="P194" s="2" t="s">
        <v>51</v>
      </c>
      <c r="R194" s="276">
        <v>23</v>
      </c>
      <c r="S194" s="276">
        <v>27</v>
      </c>
      <c r="T194" s="276"/>
      <c r="U194" s="276"/>
      <c r="V194" s="276">
        <v>27</v>
      </c>
      <c r="W194" s="276">
        <v>86</v>
      </c>
      <c r="X194" s="280">
        <v>77770.73</v>
      </c>
      <c r="Y194" s="280">
        <f>X193-Y193</f>
        <v>50770.729999999996</v>
      </c>
      <c r="Z194" s="2" t="s">
        <v>345</v>
      </c>
      <c r="AA194" s="2" t="str">
        <f t="shared" ref="AA194" si="43">IF(Z194="","",IF(OR(Z194="TBC",Z194="Removed"),Z194,LEFT(Z194,4)))</f>
        <v>2027</v>
      </c>
      <c r="AB194" s="283">
        <v>46402</v>
      </c>
      <c r="AC194" s="283">
        <v>46402</v>
      </c>
      <c r="AD194" s="277">
        <v>46444</v>
      </c>
      <c r="AE194" s="283">
        <v>46465</v>
      </c>
      <c r="AF194" s="2" t="str">
        <f>IF(AD194="","",IF(ISNUMBER(AD194),IF(AND(AD194&gt;='2026 Calendar'!$C$4,AD194&lt;='2026 Calendar'!$E$107),LOOKUP(AD194,'2026 Calendar'!$C$4:$C$107,'2026 Calendar'!$A$4:$A$107),YEAR(AD194-WEEKDAY(AD194,2)+4)&amp;"/W"&amp;TEXT(WEEKNUM(AD194,21),"00")),IF(IFERROR(ISNUMBER(SEARCH("/W",AD194)),FALSE),IF(IFERROR(ISNUMBER(SEARCH("-",AD194)),FALSE),LEFT(AD194,SEARCH("-",AD194)-1),AD194),AD194)))</f>
        <v>2027/W09</v>
      </c>
      <c r="AG194" s="2" t="str">
        <f>IF(AE194="","",IF(ISNUMBER(AE194),IF(AND(AE194&gt;='2026 Calendar'!$C$4,AE194&lt;='2026 Calendar'!$E$107),LOOKUP(AE194,'2026 Calendar'!$C$4:$C$107,'2026 Calendar'!$A$4:$A$107),YEAR(AE194-WEEKDAY(AE194,2)+4)&amp;"/W"&amp;TEXT(WEEKNUM(AE194,21),"00")),IF(IFERROR(ISNUMBER(SEARCH("/W",AE194)),FALSE),IF(IFERROR(ISNUMBER(SEARCH("-",AE194)),FALSE),MID(AE194,SEARCH("-",AE194)+1,100),AE194),AE194)))</f>
        <v>2027/W12</v>
      </c>
      <c r="AH194" s="2" t="s">
        <v>304</v>
      </c>
      <c r="AI194" s="254">
        <v>46318</v>
      </c>
      <c r="AJ194" s="283"/>
      <c r="AK194" s="2" t="s">
        <v>287</v>
      </c>
      <c r="AL194" s="254"/>
      <c r="AM194" s="283"/>
      <c r="AO194" s="254"/>
      <c r="AP194" s="283"/>
      <c r="AR194" s="254"/>
      <c r="AS194" s="283"/>
      <c r="AU194" s="254"/>
      <c r="AV194" s="283"/>
      <c r="AX194" s="254"/>
      <c r="AY194" s="283"/>
      <c r="BA194" s="254"/>
      <c r="BB194" s="283"/>
      <c r="BC194" s="2" t="str">
        <f t="shared" si="39"/>
        <v>Active</v>
      </c>
      <c r="BE194" s="119" t="str">
        <f t="shared" si="42"/>
        <v>NPI: In progress: Drawing; Not started: Veneer/Wood; need approval by 23-Oct-26 for SW12</v>
      </c>
    </row>
    <row r="195" spans="1:57" x14ac:dyDescent="0.35">
      <c r="A195" s="2" t="str">
        <f>IFERROR(VLOOKUP(E195,'Customer '!$A$4:$D$23,3,FALSE),"")</f>
        <v>RH</v>
      </c>
      <c r="B195" s="2" t="s">
        <v>268</v>
      </c>
      <c r="C195" s="2" t="s">
        <v>308</v>
      </c>
      <c r="D195" s="2" t="s">
        <v>270</v>
      </c>
      <c r="E195" s="2" t="s">
        <v>61</v>
      </c>
      <c r="F195" s="2" t="str">
        <f>IFERROR(VLOOKUP(E195,'Customer '!$A$4:$D$28,2,FALSE),"")</f>
        <v>RH</v>
      </c>
      <c r="G195" s="2" t="s">
        <v>478</v>
      </c>
      <c r="H195"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2026-RH-MONTAGE PENDRY BARBADOS</v>
      </c>
      <c r="I195" s="2">
        <f ca="1">IF(OR($H195="",$B195=""),0,--(COUNTIFS($H$3:$H195,$H195,$B$3:$B195,$B195)=1))</f>
        <v>1</v>
      </c>
      <c r="J195" s="2" t="s">
        <v>309</v>
      </c>
      <c r="K195" s="2" t="s">
        <v>273</v>
      </c>
      <c r="L195" s="2" t="s">
        <v>310</v>
      </c>
      <c r="M195" s="283">
        <v>46181</v>
      </c>
      <c r="N195" s="283">
        <v>46266</v>
      </c>
      <c r="O195" s="284"/>
      <c r="P195" s="2" t="s">
        <v>51</v>
      </c>
      <c r="Q195" s="2" t="s">
        <v>51</v>
      </c>
      <c r="R195" s="276">
        <v>0</v>
      </c>
      <c r="S195" s="276">
        <v>0</v>
      </c>
      <c r="T195" s="276"/>
      <c r="U195" s="276"/>
      <c r="V195" s="276">
        <v>1</v>
      </c>
      <c r="W195" s="276">
        <v>12</v>
      </c>
      <c r="X195" s="280">
        <v>5839.5599999999995</v>
      </c>
      <c r="Y195" s="280">
        <v>5839.5599999999995</v>
      </c>
      <c r="Z195" s="2" t="s">
        <v>311</v>
      </c>
      <c r="AA195" s="2" t="str">
        <f t="shared" ref="AA195:AA203" si="44">IF(Z195="","",IF(OR(Z195="TBC",Z195="Removed"),Z195,LEFT(Z195,4)))</f>
        <v>2026</v>
      </c>
      <c r="AB195" s="283"/>
      <c r="AC195" s="283"/>
      <c r="AD195" s="277">
        <v>46346</v>
      </c>
      <c r="AE195" s="283">
        <v>46346</v>
      </c>
      <c r="AF195" s="2" t="str">
        <f>IF(AD195="","",IF(ISNUMBER(AD195),IF(AND(AD195&gt;='2026 Calendar'!$C$4,AD195&lt;='2026 Calendar'!$E$107),LOOKUP(AD195,'2026 Calendar'!$C$4:$C$107,'2026 Calendar'!$A$4:$A$107),YEAR(AD195-WEEKDAY(AD195,2)+4)&amp;"/W"&amp;TEXT(WEEKNUM(AD195,21),"00")),IF(IFERROR(ISNUMBER(SEARCH("/W",AD195)),FALSE),IF(IFERROR(ISNUMBER(SEARCH("-",AD195)),FALSE),LEFT(AD195,SEARCH("-",AD195)-1),AD195),AD195)))</f>
        <v>2026/W47</v>
      </c>
      <c r="AG195" s="2" t="str">
        <f>IF(AE195="","",IF(ISNUMBER(AE195),IF(AND(AE195&gt;='2026 Calendar'!$C$4,AE195&lt;='2026 Calendar'!$E$107),LOOKUP(AE195,'2026 Calendar'!$C$4:$C$107,'2026 Calendar'!$A$4:$A$107),YEAR(AE195-WEEKDAY(AE195,2)+4)&amp;"/W"&amp;TEXT(WEEKNUM(AE195,21),"00")),IF(IFERROR(ISNUMBER(SEARCH("/W",AE195)),FALSE),IF(IFERROR(ISNUMBER(SEARCH("-",AE195)),FALSE),MID(AE195,SEARCH("-",AE195)+1,100),AE195),AE195)))</f>
        <v>2026/W47</v>
      </c>
      <c r="AH195" s="2" t="s">
        <v>56</v>
      </c>
      <c r="AI195" s="283"/>
      <c r="AJ195" s="283">
        <v>46254</v>
      </c>
      <c r="AK195" s="2" t="s">
        <v>56</v>
      </c>
      <c r="AL195" s="283"/>
      <c r="AM195" s="283">
        <v>46254</v>
      </c>
      <c r="AN195" s="2" t="s">
        <v>73</v>
      </c>
      <c r="AO195" s="283"/>
      <c r="AP195" s="283"/>
      <c r="AQ195" s="2" t="s">
        <v>73</v>
      </c>
      <c r="AR195" s="283"/>
      <c r="AS195" s="283"/>
      <c r="AT195" s="2" t="s">
        <v>73</v>
      </c>
      <c r="AU195" s="283"/>
      <c r="AV195" s="283"/>
      <c r="AW195" s="2" t="s">
        <v>73</v>
      </c>
      <c r="AX195" s="283"/>
      <c r="AY195" s="283"/>
      <c r="AZ195" s="2" t="s">
        <v>73</v>
      </c>
      <c r="BA195" s="283"/>
      <c r="BB195" s="283"/>
      <c r="BC195" s="2" t="str">
        <f t="shared" si="39"/>
        <v>Active</v>
      </c>
      <c r="BE195" s="119" t="str">
        <f t="shared" si="42"/>
        <v>NPI: All development items approved/closed for SW47</v>
      </c>
    </row>
    <row r="196" spans="1:57" ht="29" x14ac:dyDescent="0.35">
      <c r="A196" s="2" t="str">
        <f>IFERROR(VLOOKUP(E196,'Customer '!$A$4:$D$23,3,FALSE),"")</f>
        <v>NON RH</v>
      </c>
      <c r="B196" s="2" t="s">
        <v>323</v>
      </c>
      <c r="C196" s="2" t="s">
        <v>414</v>
      </c>
      <c r="E196" s="2" t="s">
        <v>176</v>
      </c>
      <c r="F196" s="2" t="str">
        <f>IFERROR(VLOOKUP(E196,'Customer '!$A$4:$D$28,2,FALSE),"")</f>
        <v>SPECTRUM</v>
      </c>
      <c r="G196" s="2" t="s">
        <v>479</v>
      </c>
      <c r="H196"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2026-SPECTRUM-PROJECT 550 POCKET DOORS</v>
      </c>
      <c r="I196" s="2">
        <f ca="1">IF(OR($H196="",$B196=""),0,--(COUNTIFS($H$3:$H196,$H196,$B$3:$B196,$B196)=1))</f>
        <v>1</v>
      </c>
      <c r="J196" s="2" t="s">
        <v>477</v>
      </c>
      <c r="K196" s="2" t="s">
        <v>273</v>
      </c>
      <c r="L196" s="2" t="s">
        <v>285</v>
      </c>
      <c r="M196" s="283">
        <v>46090</v>
      </c>
      <c r="N196" s="283">
        <v>46306</v>
      </c>
      <c r="O196" s="284" t="s">
        <v>1604</v>
      </c>
      <c r="P196" s="2" t="s">
        <v>51</v>
      </c>
      <c r="R196" s="276">
        <v>0</v>
      </c>
      <c r="S196" s="276">
        <v>0</v>
      </c>
      <c r="T196" s="276"/>
      <c r="U196" s="276"/>
      <c r="V196" s="276">
        <v>1</v>
      </c>
      <c r="W196" s="276">
        <v>1</v>
      </c>
      <c r="X196" s="280">
        <v>730.3</v>
      </c>
      <c r="Y196" s="280">
        <v>730.3</v>
      </c>
      <c r="Z196" s="2" t="s">
        <v>311</v>
      </c>
      <c r="AA196" s="2" t="str">
        <f t="shared" si="44"/>
        <v>2026</v>
      </c>
      <c r="AB196" s="283"/>
      <c r="AC196" s="283"/>
      <c r="AD196" s="277">
        <v>46353</v>
      </c>
      <c r="AE196" s="283">
        <v>46353</v>
      </c>
      <c r="AF196" s="2" t="str">
        <f>IF(AD196="","",IF(ISNUMBER(AD196),IF(AND(AD196&gt;='2026 Calendar'!$C$4,AD196&lt;='2026 Calendar'!$E$107),LOOKUP(AD196,'2026 Calendar'!$C$4:$C$107,'2026 Calendar'!$A$4:$A$107),YEAR(AD196-WEEKDAY(AD196,2)+4)&amp;"/W"&amp;TEXT(WEEKNUM(AD196,21),"00")),IF(IFERROR(ISNUMBER(SEARCH("/W",AD196)),FALSE),IF(IFERROR(ISNUMBER(SEARCH("-",AD196)),FALSE),LEFT(AD196,SEARCH("-",AD196)-1),AD196),AD196)))</f>
        <v>2026/W48</v>
      </c>
      <c r="AG196" s="2" t="str">
        <f>IF(AE196="","",IF(ISNUMBER(AE196),IF(AND(AE196&gt;='2026 Calendar'!$C$4,AE196&lt;='2026 Calendar'!$E$107),LOOKUP(AE196,'2026 Calendar'!$C$4:$C$107,'2026 Calendar'!$A$4:$A$107),YEAR(AE196-WEEKDAY(AE196,2)+4)&amp;"/W"&amp;TEXT(WEEKNUM(AE196,21),"00")),IF(IFERROR(ISNUMBER(SEARCH("/W",AE196)),FALSE),IF(IFERROR(ISNUMBER(SEARCH("-",AE196)),FALSE),MID(AE196,SEARCH("-",AE196)+1,100),AE196),AE196)))</f>
        <v>2026/W48</v>
      </c>
      <c r="AH196" s="2" t="s">
        <v>304</v>
      </c>
      <c r="AI196" s="254">
        <v>46675</v>
      </c>
      <c r="AJ196" s="283"/>
      <c r="AK196" s="2" t="s">
        <v>304</v>
      </c>
      <c r="AL196" s="254"/>
      <c r="AM196" s="283"/>
      <c r="AO196" s="254"/>
      <c r="AP196" s="283"/>
      <c r="AR196" s="254"/>
      <c r="AS196" s="283"/>
      <c r="AU196" s="254"/>
      <c r="AV196" s="283"/>
      <c r="AX196" s="254"/>
      <c r="AY196" s="283"/>
      <c r="BA196" s="254"/>
      <c r="BB196" s="283"/>
      <c r="BC196" s="2" t="str">
        <f t="shared" si="39"/>
        <v>Active</v>
      </c>
      <c r="BE196" s="119" t="str">
        <f t="shared" si="42"/>
        <v>NPD: In progress: Drawing, Veneer/Wood; need approval by 15-Oct-27 for SW48</v>
      </c>
    </row>
    <row r="197" spans="1:57" x14ac:dyDescent="0.35">
      <c r="A197" s="2" t="str">
        <f>IFERROR(VLOOKUP(E197,'Customer '!$A$4:$D$23,3,FALSE),"")</f>
        <v>NON RH</v>
      </c>
      <c r="B197" s="2" t="s">
        <v>268</v>
      </c>
      <c r="C197" s="2" t="s">
        <v>414</v>
      </c>
      <c r="E197" s="2" t="s">
        <v>176</v>
      </c>
      <c r="F197" s="2" t="str">
        <f>IFERROR(VLOOKUP(E197,'Customer '!$A$4:$D$28,2,FALSE),"")</f>
        <v>SPECTRUM</v>
      </c>
      <c r="G197" s="2" t="s">
        <v>479</v>
      </c>
      <c r="H197"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2026-SPECTRUM-PROJECT 550 POCKET DOORS</v>
      </c>
      <c r="I197" s="2">
        <f ca="1">IF(OR($H197="",$B197=""),0,--(COUNTIFS($H$3:$H197,$H197,$B$3:$B197,$B197)=1))</f>
        <v>1</v>
      </c>
      <c r="J197" s="2" t="s">
        <v>284</v>
      </c>
      <c r="K197" s="2" t="s">
        <v>273</v>
      </c>
      <c r="L197" s="2" t="s">
        <v>285</v>
      </c>
      <c r="M197" s="283"/>
      <c r="N197" s="283"/>
      <c r="O197" s="284"/>
      <c r="P197" s="2" t="s">
        <v>51</v>
      </c>
      <c r="R197" s="276">
        <v>0</v>
      </c>
      <c r="S197" s="276">
        <v>0</v>
      </c>
      <c r="T197" s="276"/>
      <c r="U197" s="276"/>
      <c r="V197" s="276">
        <v>2</v>
      </c>
      <c r="W197" s="276">
        <v>170</v>
      </c>
      <c r="X197" s="280">
        <v>41833</v>
      </c>
      <c r="Y197" s="280">
        <v>41833</v>
      </c>
      <c r="Z197" s="2" t="s">
        <v>336</v>
      </c>
      <c r="AA197" s="2" t="str">
        <f t="shared" si="44"/>
        <v>2027</v>
      </c>
      <c r="AB197" s="283"/>
      <c r="AC197" s="283"/>
      <c r="AD197" s="277" t="s">
        <v>149</v>
      </c>
      <c r="AE197" s="278" t="s">
        <v>149</v>
      </c>
      <c r="AF197" s="2" t="str">
        <f>IF(AD197="","",IF(ISNUMBER(AD197),IF(AND(AD197&gt;='2026 Calendar'!$C$4,AD197&lt;='2026 Calendar'!$E$107),LOOKUP(AD197,'2026 Calendar'!$C$4:$C$107,'2026 Calendar'!$A$4:$A$107),YEAR(AD197-WEEKDAY(AD197,2)+4)&amp;"/W"&amp;TEXT(WEEKNUM(AD197,21),"00")),IF(IFERROR(ISNUMBER(SEARCH("/W",AD197)),FALSE),IF(IFERROR(ISNUMBER(SEARCH("-",AD197)),FALSE),LEFT(AD197,SEARCH("-",AD197)-1),AD197),AD197)))</f>
        <v>TBC</v>
      </c>
      <c r="AG197" s="2" t="str">
        <f>IF(AE197="","",IF(ISNUMBER(AE197),IF(AND(AE197&gt;='2026 Calendar'!$C$4,AE197&lt;='2026 Calendar'!$E$107),LOOKUP(AE197,'2026 Calendar'!$C$4:$C$107,'2026 Calendar'!$A$4:$A$107),YEAR(AE197-WEEKDAY(AE197,2)+4)&amp;"/W"&amp;TEXT(WEEKNUM(AE197,21),"00")),IF(IFERROR(ISNUMBER(SEARCH("/W",AE197)),FALSE),IF(IFERROR(ISNUMBER(SEARCH("-",AE197)),FALSE),MID(AE197,SEARCH("-",AE197)+1,100),AE197),AE197)))</f>
        <v>TBC</v>
      </c>
      <c r="AH197" s="2" t="s">
        <v>287</v>
      </c>
      <c r="AI197" s="254"/>
      <c r="AJ197" s="283"/>
      <c r="AK197" s="2" t="s">
        <v>287</v>
      </c>
      <c r="AL197" s="254"/>
      <c r="AM197" s="283"/>
      <c r="AO197" s="254"/>
      <c r="AP197" s="283"/>
      <c r="AR197" s="254"/>
      <c r="AS197" s="283"/>
      <c r="AU197" s="254"/>
      <c r="AV197" s="283"/>
      <c r="AX197" s="254"/>
      <c r="AY197" s="283"/>
      <c r="BA197" s="254"/>
      <c r="BB197" s="283"/>
      <c r="BC197" s="2" t="str">
        <f t="shared" si="39"/>
        <v>Active</v>
      </c>
      <c r="BE197" s="119" t="str">
        <f t="shared" si="42"/>
        <v>NPI: Not started: Drawing, Veneer/Wood for SW TBC</v>
      </c>
    </row>
    <row r="198" spans="1:57" x14ac:dyDescent="0.35">
      <c r="A198" s="2" t="str">
        <f>IFERROR(VLOOKUP(E198,'Customer '!$A$4:$D$23,3,FALSE),"")</f>
        <v>RH</v>
      </c>
      <c r="B198" s="2" t="s">
        <v>268</v>
      </c>
      <c r="C198" s="2" t="s">
        <v>414</v>
      </c>
      <c r="E198" s="2" t="s">
        <v>61</v>
      </c>
      <c r="F198" s="2" t="str">
        <f>IFERROR(VLOOKUP(E198,'Customer '!$A$4:$D$28,2,FALSE),"")</f>
        <v>RH</v>
      </c>
      <c r="G198" s="2" t="s">
        <v>1572</v>
      </c>
      <c r="H198"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 FOUR SEASONS LAS VEGAS</v>
      </c>
      <c r="I198" s="2">
        <f ca="1">IF(OR($H198="",$B198=""),0,--(COUNTIFS($H$3:$H198,$H198,$B$3:$B198,$B198)=1))</f>
        <v>1</v>
      </c>
      <c r="J198" s="2" t="s">
        <v>284</v>
      </c>
      <c r="K198" s="2" t="s">
        <v>273</v>
      </c>
      <c r="L198" s="2" t="s">
        <v>285</v>
      </c>
      <c r="M198" s="283"/>
      <c r="N198" s="283"/>
      <c r="O198" s="284"/>
      <c r="P198" s="2" t="s">
        <v>51</v>
      </c>
      <c r="Q198" s="2" t="s">
        <v>1610</v>
      </c>
      <c r="R198" s="276"/>
      <c r="S198" s="276"/>
      <c r="T198" s="276">
        <f>DetailTracker[[#This Row],[PROJECT SKU]]-DetailTracker[[#This Row],[UPH QTY]]</f>
        <v>31</v>
      </c>
      <c r="U198" s="276">
        <v>19</v>
      </c>
      <c r="V198" s="276">
        <v>50</v>
      </c>
      <c r="W198" s="276">
        <v>551</v>
      </c>
      <c r="X198" s="280">
        <v>358530.94</v>
      </c>
      <c r="Y198" s="280">
        <v>358530.94</v>
      </c>
      <c r="Z198" s="2" t="s">
        <v>370</v>
      </c>
      <c r="AA198" s="2" t="str">
        <f t="shared" si="44"/>
        <v>2027</v>
      </c>
      <c r="AB198" s="283"/>
      <c r="AC198" s="283"/>
      <c r="AD198" s="277">
        <v>46633</v>
      </c>
      <c r="AE198" s="283">
        <v>46633</v>
      </c>
      <c r="AF198" s="2" t="str">
        <f>IF(AD198="","",IF(ISNUMBER(AD198),IF(AND(AD198&gt;='2026 Calendar'!$C$4,AD198&lt;='2026 Calendar'!$E$107),LOOKUP(AD198,'2026 Calendar'!$C$4:$C$107,'2026 Calendar'!$A$4:$A$107),YEAR(AD198-WEEKDAY(AD198,2)+4)&amp;"/W"&amp;TEXT(WEEKNUM(AD198,21),"00")),IF(IFERROR(ISNUMBER(SEARCH("/W",AD198)),FALSE),IF(IFERROR(ISNUMBER(SEARCH("-",AD198)),FALSE),LEFT(AD198,SEARCH("-",AD198)-1),AD198),AD198)))</f>
        <v>2027/W36</v>
      </c>
      <c r="AG198" s="2" t="str">
        <f>IF(AE198="","",IF(ISNUMBER(AE198),IF(AND(AE198&gt;='2026 Calendar'!$C$4,AE198&lt;='2026 Calendar'!$E$107),LOOKUP(AE198,'2026 Calendar'!$C$4:$C$107,'2026 Calendar'!$A$4:$A$107),YEAR(AE198-WEEKDAY(AE198,2)+4)&amp;"/W"&amp;TEXT(WEEKNUM(AE198,21),"00")),IF(IFERROR(ISNUMBER(SEARCH("/W",AE198)),FALSE),IF(IFERROR(ISNUMBER(SEARCH("-",AE198)),FALSE),MID(AE198,SEARCH("-",AE198)+1,100),AE198),AE198)))</f>
        <v>2027/W36</v>
      </c>
      <c r="AH198" s="2" t="s">
        <v>287</v>
      </c>
      <c r="AI198" s="254"/>
      <c r="AJ198" s="283"/>
      <c r="AK198" s="2" t="s">
        <v>287</v>
      </c>
      <c r="AL198" s="254"/>
      <c r="AM198" s="283"/>
      <c r="AN198" s="2" t="s">
        <v>73</v>
      </c>
      <c r="AO198" s="254"/>
      <c r="AP198" s="283"/>
      <c r="AQ198" s="2" t="s">
        <v>287</v>
      </c>
      <c r="AR198" s="254"/>
      <c r="AS198" s="283"/>
      <c r="AT198" s="2" t="s">
        <v>73</v>
      </c>
      <c r="AU198" s="254"/>
      <c r="AV198" s="283"/>
      <c r="AW198" s="2" t="s">
        <v>73</v>
      </c>
      <c r="AX198" s="254"/>
      <c r="AY198" s="283"/>
      <c r="AZ198" s="2" t="s">
        <v>287</v>
      </c>
      <c r="BA198" s="254"/>
      <c r="BB198" s="283"/>
      <c r="BC198" s="2" t="str">
        <f t="shared" si="39"/>
        <v>Active</v>
      </c>
      <c r="BE198" s="119" t="str">
        <f t="shared" si="42"/>
        <v>NPI: Not started: Drawing, Veneer/Wood, Metal, Fabric for SW36</v>
      </c>
    </row>
    <row r="199" spans="1:57" ht="29" x14ac:dyDescent="0.35">
      <c r="A199" s="2" t="str">
        <f>IFERROR(VLOOKUP(E199,'Customer '!$A$4:$D$23,3,FALSE),"")</f>
        <v>RH</v>
      </c>
      <c r="B199" s="2" t="s">
        <v>268</v>
      </c>
      <c r="C199" s="2" t="s">
        <v>298</v>
      </c>
      <c r="D199" s="2" t="s">
        <v>312</v>
      </c>
      <c r="E199" s="2" t="s">
        <v>61</v>
      </c>
      <c r="F199" s="2" t="str">
        <f>IFERROR(VLOOKUP(E199,'Customer '!$A$4:$D$28,2,FALSE),"")</f>
        <v>RH</v>
      </c>
      <c r="G199" s="2" t="s">
        <v>1573</v>
      </c>
      <c r="H199"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2026-RH-LAKE OCONEE TENTS</v>
      </c>
      <c r="I199" s="2">
        <f ca="1">IF(OR($H199="",$B199=""),0,--(COUNTIFS($H$3:$H199,$H199,$B$3:$B199,$B199)=1))</f>
        <v>1</v>
      </c>
      <c r="J199" s="2" t="s">
        <v>284</v>
      </c>
      <c r="K199" s="2" t="s">
        <v>273</v>
      </c>
      <c r="L199" s="2" t="s">
        <v>285</v>
      </c>
      <c r="M199" s="283"/>
      <c r="N199" s="278" t="s">
        <v>1557</v>
      </c>
      <c r="O199" s="284"/>
      <c r="P199" s="2" t="s">
        <v>51</v>
      </c>
      <c r="Q199" s="2" t="s">
        <v>1611</v>
      </c>
      <c r="R199" s="276">
        <v>5</v>
      </c>
      <c r="S199" s="276">
        <v>23</v>
      </c>
      <c r="T199" s="276"/>
      <c r="U199" s="276"/>
      <c r="V199" s="276">
        <v>7</v>
      </c>
      <c r="W199" s="276">
        <v>32</v>
      </c>
      <c r="X199" s="280">
        <v>38935.43</v>
      </c>
      <c r="Y199" s="280">
        <v>38935.43</v>
      </c>
      <c r="Z199" s="2" t="s">
        <v>336</v>
      </c>
      <c r="AA199" s="2" t="str">
        <f t="shared" si="44"/>
        <v>2027</v>
      </c>
      <c r="AB199" s="283"/>
      <c r="AC199" s="283"/>
      <c r="AD199" s="277" t="s">
        <v>149</v>
      </c>
      <c r="AE199" s="283" t="s">
        <v>149</v>
      </c>
      <c r="AF199" s="2" t="str">
        <f>IF(AD199="","",IF(ISNUMBER(AD199),IF(AND(AD199&gt;='2026 Calendar'!$C$4,AD199&lt;='2026 Calendar'!$E$107),LOOKUP(AD199,'2026 Calendar'!$C$4:$C$107,'2026 Calendar'!$A$4:$A$107),YEAR(AD199-WEEKDAY(AD199,2)+4)&amp;"/W"&amp;TEXT(WEEKNUM(AD199,21),"00")),IF(IFERROR(ISNUMBER(SEARCH("/W",AD199)),FALSE),IF(IFERROR(ISNUMBER(SEARCH("-",AD199)),FALSE),LEFT(AD199,SEARCH("-",AD199)-1),AD199),AD199)))</f>
        <v>TBC</v>
      </c>
      <c r="AG199" s="2" t="str">
        <f>IF(AE199="","",IF(ISNUMBER(AE199),IF(AND(AE199&gt;='2026 Calendar'!$C$4,AE199&lt;='2026 Calendar'!$E$107),LOOKUP(AE199,'2026 Calendar'!$C$4:$C$107,'2026 Calendar'!$A$4:$A$107),YEAR(AE199-WEEKDAY(AE199,2)+4)&amp;"/W"&amp;TEXT(WEEKNUM(AE199,21),"00")),IF(IFERROR(ISNUMBER(SEARCH("/W",AE199)),FALSE),IF(IFERROR(ISNUMBER(SEARCH("-",AE199)),FALSE),MID(AE199,SEARCH("-",AE199)+1,100),AE199),AE199)))</f>
        <v>TBC</v>
      </c>
      <c r="AH199" s="2" t="s">
        <v>287</v>
      </c>
      <c r="AI199" s="254"/>
      <c r="AJ199" s="283"/>
      <c r="AK199" s="2" t="s">
        <v>287</v>
      </c>
      <c r="AL199" s="254"/>
      <c r="AM199" s="283"/>
      <c r="AN199" s="2" t="s">
        <v>73</v>
      </c>
      <c r="AO199" s="254"/>
      <c r="AP199" s="283"/>
      <c r="AQ199" s="2" t="s">
        <v>287</v>
      </c>
      <c r="AR199" s="254"/>
      <c r="AS199" s="283"/>
      <c r="AT199" s="2" t="s">
        <v>73</v>
      </c>
      <c r="AU199" s="254"/>
      <c r="AV199" s="283"/>
      <c r="AW199" s="2" t="s">
        <v>287</v>
      </c>
      <c r="AX199" s="254"/>
      <c r="AY199" s="283"/>
      <c r="AZ199" s="2" t="s">
        <v>57</v>
      </c>
      <c r="BA199" s="254"/>
      <c r="BB199" s="283"/>
      <c r="BC199" s="2" t="str">
        <f t="shared" si="39"/>
        <v>Active</v>
      </c>
      <c r="BE199" s="119" t="str">
        <f t="shared" si="42"/>
        <v>NPI: Not started: Drawing, Veneer/Wood, Metal, Electrical; Fabric is com for SW TBC</v>
      </c>
    </row>
    <row r="200" spans="1:57" ht="29" x14ac:dyDescent="0.35">
      <c r="A200" s="2" t="str">
        <f>IFERROR(VLOOKUP(E200,'Customer '!$A$4:$D$23,3,FALSE),"")</f>
        <v>NON RH</v>
      </c>
      <c r="B200" s="2" t="s">
        <v>268</v>
      </c>
      <c r="C200" s="2" t="s">
        <v>424</v>
      </c>
      <c r="E200" s="2" t="s">
        <v>427</v>
      </c>
      <c r="F200" s="2" t="str">
        <f>IFERROR(VLOOKUP(E200,'Customer '!$A$4:$D$28,2,FALSE),"")</f>
        <v>BISCAYNE</v>
      </c>
      <c r="G200" s="2" t="s">
        <v>1590</v>
      </c>
      <c r="H200"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2026-BISCAYNE-MCO</v>
      </c>
      <c r="I200" s="2">
        <f ca="1">IF(OR($H200="",$B200=""),0,--(COUNTIFS($H$3:$H200,$H200,$B$3:$B200,$B200)=1))</f>
        <v>1</v>
      </c>
      <c r="J200" s="2" t="s">
        <v>477</v>
      </c>
      <c r="K200" s="2" t="s">
        <v>273</v>
      </c>
      <c r="L200" s="2" t="s">
        <v>285</v>
      </c>
      <c r="M200" s="283">
        <v>46302</v>
      </c>
      <c r="N200" s="283">
        <v>46300</v>
      </c>
      <c r="O200" s="284" t="s">
        <v>1604</v>
      </c>
      <c r="P200" s="2" t="s">
        <v>51</v>
      </c>
      <c r="Q200" s="2" t="s">
        <v>1612</v>
      </c>
      <c r="R200" s="276"/>
      <c r="S200" s="276"/>
      <c r="T200" s="276"/>
      <c r="U200" s="276"/>
      <c r="V200" s="276">
        <v>2</v>
      </c>
      <c r="W200" s="276">
        <v>920</v>
      </c>
      <c r="X200" s="280">
        <v>333776</v>
      </c>
      <c r="Y200" s="280">
        <v>333776</v>
      </c>
      <c r="Z200" s="2" t="s">
        <v>345</v>
      </c>
      <c r="AA200" s="2" t="str">
        <f t="shared" si="44"/>
        <v>2027</v>
      </c>
      <c r="AB200" s="283"/>
      <c r="AC200" s="283"/>
      <c r="AD200" s="277">
        <v>46451</v>
      </c>
      <c r="AE200" s="283">
        <v>46461</v>
      </c>
      <c r="AF200" s="2" t="str">
        <f>IF(AD200="","",IF(ISNUMBER(AD200),IF(AND(AD200&gt;='2026 Calendar'!$C$4,AD200&lt;='2026 Calendar'!$E$107),LOOKUP(AD200,'2026 Calendar'!$C$4:$C$107,'2026 Calendar'!$A$4:$A$107),YEAR(AD200-WEEKDAY(AD200,2)+4)&amp;"/W"&amp;TEXT(WEEKNUM(AD200,21),"00")),IF(IFERROR(ISNUMBER(SEARCH("/W",AD200)),FALSE),IF(IFERROR(ISNUMBER(SEARCH("-",AD200)),FALSE),LEFT(AD200,SEARCH("-",AD200)-1),AD200),AD200)))</f>
        <v>2027/W10</v>
      </c>
      <c r="AG200" s="2" t="str">
        <f>IF(AE200="","",IF(ISNUMBER(AE200),IF(AND(AE200&gt;='2026 Calendar'!$C$4,AE200&lt;='2026 Calendar'!$E$107),LOOKUP(AE200,'2026 Calendar'!$C$4:$C$107,'2026 Calendar'!$A$4:$A$107),YEAR(AE200-WEEKDAY(AE200,2)+4)&amp;"/W"&amp;TEXT(WEEKNUM(AE200,21),"00")),IF(IFERROR(ISNUMBER(SEARCH("/W",AE200)),FALSE),IF(IFERROR(ISNUMBER(SEARCH("-",AE200)),FALSE),MID(AE200,SEARCH("-",AE200)+1,100),AE200),AE200)))</f>
        <v>2027/W12</v>
      </c>
      <c r="AH200" s="2" t="s">
        <v>304</v>
      </c>
      <c r="AI200" s="254">
        <v>46682</v>
      </c>
      <c r="AJ200" s="283"/>
      <c r="AK200" s="2" t="s">
        <v>304</v>
      </c>
      <c r="AL200" s="254"/>
      <c r="AM200" s="283"/>
      <c r="AN200" s="2" t="s">
        <v>73</v>
      </c>
      <c r="AO200" s="254"/>
      <c r="AP200" s="283"/>
      <c r="AQ200" s="2" t="s">
        <v>304</v>
      </c>
      <c r="AR200" s="254"/>
      <c r="AS200" s="283"/>
      <c r="AT200" s="2" t="s">
        <v>73</v>
      </c>
      <c r="AU200" s="254"/>
      <c r="AV200" s="283"/>
      <c r="AW200" s="2" t="s">
        <v>73</v>
      </c>
      <c r="AX200" s="254"/>
      <c r="AY200" s="283"/>
      <c r="AZ200" s="2" t="s">
        <v>57</v>
      </c>
      <c r="BA200" s="254"/>
      <c r="BB200" s="283"/>
      <c r="BC200" s="2" t="str">
        <f t="shared" si="39"/>
        <v>Active</v>
      </c>
      <c r="BE200" s="119" t="str">
        <f t="shared" si="42"/>
        <v>NPI: In progress: Drawing, Veneer/Wood, Metal; Fabric is com; need approval by 22-Oct-27 for SW12</v>
      </c>
    </row>
    <row r="201" spans="1:57" x14ac:dyDescent="0.35">
      <c r="A201" s="2" t="str">
        <f>IFERROR(VLOOKUP(E201,'Customer '!$A$4:$D$29,3,FALSE),"")</f>
        <v>NON RH</v>
      </c>
      <c r="B201" s="2" t="s">
        <v>268</v>
      </c>
      <c r="C201" s="2" t="s">
        <v>329</v>
      </c>
      <c r="E201" s="2" t="s">
        <v>1592</v>
      </c>
      <c r="F201" s="2" t="str">
        <f>IFERROR(VLOOKUP(E201,'Customer '!$A$4:$D$29,2,FALSE),"")</f>
        <v>FAIRFIELD</v>
      </c>
      <c r="G201" s="2" t="s">
        <v>1591</v>
      </c>
      <c r="H201"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TBC-FAIRFIELD-WASHINGTON-DUKE</v>
      </c>
      <c r="I201" s="2">
        <f ca="1">IF(OR($H201="",$B201=""),0,--(COUNTIFS($H$3:$H201,$H201,$B$3:$B201,$B201)=1))</f>
        <v>1</v>
      </c>
      <c r="J201" s="2" t="s">
        <v>316</v>
      </c>
      <c r="K201" s="2" t="s">
        <v>273</v>
      </c>
      <c r="L201" s="2" t="s">
        <v>285</v>
      </c>
      <c r="M201" s="283"/>
      <c r="N201" s="283"/>
      <c r="O201" s="284"/>
      <c r="P201" s="2" t="s">
        <v>51</v>
      </c>
      <c r="Q201" s="2" t="s">
        <v>1613</v>
      </c>
      <c r="R201" s="276"/>
      <c r="S201" s="276"/>
      <c r="T201" s="276"/>
      <c r="U201" s="276"/>
      <c r="V201" s="276">
        <v>3</v>
      </c>
      <c r="W201" s="276">
        <v>328</v>
      </c>
      <c r="X201" s="280">
        <v>291481.96000000002</v>
      </c>
      <c r="Y201" s="280">
        <v>291481.96000000002</v>
      </c>
      <c r="Z201" s="2" t="s">
        <v>149</v>
      </c>
      <c r="AA201" s="2" t="str">
        <f t="shared" si="44"/>
        <v>TBC</v>
      </c>
      <c r="AB201" s="283"/>
      <c r="AC201" s="283"/>
      <c r="AD201" s="277" t="s">
        <v>149</v>
      </c>
      <c r="AE201" s="283" t="s">
        <v>149</v>
      </c>
      <c r="AF201" s="2" t="str">
        <f>IF(AD201="","",IF(ISNUMBER(AD201),IF(AND(AD201&gt;='2026 Calendar'!$C$4,AD201&lt;='2026 Calendar'!$E$107),LOOKUP(AD201,'2026 Calendar'!$C$4:$C$107,'2026 Calendar'!$A$4:$A$107),YEAR(AD201-WEEKDAY(AD201,2)+4)&amp;"/W"&amp;TEXT(WEEKNUM(AD201,21),"00")),IF(IFERROR(ISNUMBER(SEARCH("/W",AD201)),FALSE),IF(IFERROR(ISNUMBER(SEARCH("-",AD201)),FALSE),LEFT(AD201,SEARCH("-",AD201)-1),AD201),AD201)))</f>
        <v>TBC</v>
      </c>
      <c r="AG201" s="2" t="str">
        <f>IF(AE201="","",IF(ISNUMBER(AE201),IF(AND(AE201&gt;='2026 Calendar'!$C$4,AE201&lt;='2026 Calendar'!$E$107),LOOKUP(AE201,'2026 Calendar'!$C$4:$C$107,'2026 Calendar'!$A$4:$A$107),YEAR(AE201-WEEKDAY(AE201,2)+4)&amp;"/W"&amp;TEXT(WEEKNUM(AE201,21),"00")),IF(IFERROR(ISNUMBER(SEARCH("/W",AE201)),FALSE),IF(IFERROR(ISNUMBER(SEARCH("-",AE201)),FALSE),MID(AE201,SEARCH("-",AE201)+1,100),AE201),AE201)))</f>
        <v>TBC</v>
      </c>
      <c r="AH201" s="2" t="s">
        <v>304</v>
      </c>
      <c r="AI201" s="254"/>
      <c r="AJ201" s="283"/>
      <c r="AK201" s="2" t="s">
        <v>304</v>
      </c>
      <c r="AL201" s="254"/>
      <c r="AM201" s="283"/>
      <c r="AO201" s="254"/>
      <c r="AP201" s="283"/>
      <c r="AR201" s="254"/>
      <c r="AS201" s="283"/>
      <c r="AU201" s="254"/>
      <c r="AV201" s="283"/>
      <c r="AX201" s="254"/>
      <c r="AY201" s="283"/>
      <c r="BA201" s="254"/>
      <c r="BB201" s="283"/>
      <c r="BC201" s="2" t="str">
        <f t="shared" si="39"/>
        <v>Active</v>
      </c>
      <c r="BE201" s="119" t="str">
        <f t="shared" si="42"/>
        <v>NPI: In progress: Drawing, Veneer/Wood for SW TBC</v>
      </c>
    </row>
    <row r="202" spans="1:57" x14ac:dyDescent="0.35">
      <c r="A202" s="2" t="str">
        <f>IFERROR(VLOOKUP(E202,'Customer '!$A$4:$D$29,3,FALSE),"")</f>
        <v>NON RH</v>
      </c>
      <c r="B202" s="2" t="s">
        <v>323</v>
      </c>
      <c r="C202" s="2" t="s">
        <v>329</v>
      </c>
      <c r="E202" s="2" t="s">
        <v>1592</v>
      </c>
      <c r="F202" s="2" t="str">
        <f>IFERROR(VLOOKUP(E202,'Customer '!$A$4:$D$29,2,FALSE),"")</f>
        <v>FAIRFIELD</v>
      </c>
      <c r="G202" s="2" t="s">
        <v>1591</v>
      </c>
      <c r="H202"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2026-FAIRFIELD-WASHINGTON-DUKE</v>
      </c>
      <c r="I202" s="2">
        <f ca="1">IF(OR($H202="",$B202=""),0,--(COUNTIFS($H$3:$H202,$H202,$B$3:$B202,$B202)=1))</f>
        <v>1</v>
      </c>
      <c r="J202" s="2" t="s">
        <v>284</v>
      </c>
      <c r="K202" s="2" t="s">
        <v>273</v>
      </c>
      <c r="L202" s="2" t="s">
        <v>285</v>
      </c>
      <c r="M202" s="283"/>
      <c r="N202" s="283"/>
      <c r="O202" s="284"/>
      <c r="P202" s="2" t="s">
        <v>51</v>
      </c>
      <c r="Q202" s="2" t="s">
        <v>1613</v>
      </c>
      <c r="R202" s="276"/>
      <c r="S202" s="276"/>
      <c r="T202" s="276"/>
      <c r="U202" s="276"/>
      <c r="V202" s="276">
        <v>3</v>
      </c>
      <c r="X202" s="280"/>
      <c r="Y202" s="280"/>
      <c r="Z202" s="2" t="s">
        <v>315</v>
      </c>
      <c r="AA202" s="2" t="str">
        <f t="shared" ref="AA202" si="45">IF(Z202="","",IF(OR(Z202="TBC",Z202="Removed"),Z202,LEFT(Z202,4)))</f>
        <v>2027</v>
      </c>
      <c r="AB202" s="283"/>
      <c r="AC202" s="283"/>
      <c r="AD202" s="277" t="s">
        <v>149</v>
      </c>
      <c r="AE202" s="283" t="s">
        <v>149</v>
      </c>
      <c r="AF202" s="2" t="str">
        <f>IF(AD202="","",IF(ISNUMBER(AD202),IF(AND(AD202&gt;='2026 Calendar'!$C$4,AD202&lt;='2026 Calendar'!$E$107),LOOKUP(AD202,'2026 Calendar'!$C$4:$C$107,'2026 Calendar'!$A$4:$A$107),YEAR(AD202-WEEKDAY(AD202,2)+4)&amp;"/W"&amp;TEXT(WEEKNUM(AD202,21),"00")),IF(IFERROR(ISNUMBER(SEARCH("/W",AD202)),FALSE),IF(IFERROR(ISNUMBER(SEARCH("-",AD202)),FALSE),LEFT(AD202,SEARCH("-",AD202)-1),AD202),AD202)))</f>
        <v>TBC</v>
      </c>
      <c r="AG202" s="2" t="str">
        <f>IF(AE202="","",IF(ISNUMBER(AE202),IF(AND(AE202&gt;='2026 Calendar'!$C$4,AE202&lt;='2026 Calendar'!$E$107),LOOKUP(AE202,'2026 Calendar'!$C$4:$C$107,'2026 Calendar'!$A$4:$A$107),YEAR(AE202-WEEKDAY(AE202,2)+4)&amp;"/W"&amp;TEXT(WEEKNUM(AE202,21),"00")),IF(IFERROR(ISNUMBER(SEARCH("/W",AE202)),FALSE),IF(IFERROR(ISNUMBER(SEARCH("-",AE202)),FALSE),MID(AE202,SEARCH("-",AE202)+1,100),AE202),AE202)))</f>
        <v>TBC</v>
      </c>
      <c r="AH202" s="2" t="s">
        <v>304</v>
      </c>
      <c r="AI202" s="254"/>
      <c r="AJ202" s="283"/>
      <c r="AK202" s="2" t="s">
        <v>304</v>
      </c>
      <c r="AL202" s="254"/>
      <c r="AM202" s="283"/>
      <c r="AO202" s="254"/>
      <c r="AP202" s="283"/>
      <c r="AR202" s="254"/>
      <c r="AS202" s="283"/>
      <c r="AU202" s="254"/>
      <c r="AV202" s="283"/>
      <c r="AX202" s="254"/>
      <c r="AY202" s="283"/>
      <c r="BA202" s="254"/>
      <c r="BB202" s="283"/>
      <c r="BC202" s="2" t="str">
        <f t="shared" si="39"/>
        <v>Active</v>
      </c>
      <c r="BE202" s="119" t="str">
        <f t="shared" si="42"/>
        <v>NPD: In progress: Drawing, Veneer/Wood for SW TBC</v>
      </c>
    </row>
    <row r="203" spans="1:57" x14ac:dyDescent="0.35">
      <c r="A203" s="2" t="str">
        <f>IFERROR(VLOOKUP(E203,'Customer '!$A$4:$D$30,3,FALSE),"")</f>
        <v>NON RH</v>
      </c>
      <c r="B203" s="2" t="s">
        <v>323</v>
      </c>
      <c r="C203" s="2" t="s">
        <v>329</v>
      </c>
      <c r="E203" s="2" t="s">
        <v>1593</v>
      </c>
      <c r="F203" s="2" t="str">
        <f>IFERROR(VLOOKUP(E203,'Customer '!$A$4:$D$30,2,FALSE),"")</f>
        <v>MONDO</v>
      </c>
      <c r="G203" s="2" t="s">
        <v>1595</v>
      </c>
      <c r="H203" s="2" t="str">
        <f ca="1">IF(OR(DetailTracker[[#This Row],[PROJECT NAME (SHORT)]]="",DetailTracker[[#This Row],[CUSTOMER SHORTEN NAME]]=""),"",IF(ISNUMBER(DetailTracker[[#This Row],[BOQ DATE]]),YEAR(DetailTracker[[#This Row],[BOQ DATE]])&amp;"-"&amp;DetailTracker[[#This Row],[CUSTOMER SHORTEN NAME]]&amp;"-"&amp;DetailTracker[[#This Row],[PROJECT NAME (SHORT)]],IF(OR(DetailTracker[[#This Row],[SHIP MONTH FC]]="TBC",DetailTracker[[#This Row],[SHIP MONTH FC]]="Removed"),DetailTracker[[#This Row],[SHIP MONTH FC]]&amp;"-"&amp;DetailTracker[[#This Row],[CUSTOMER SHORTEN NAME]]&amp;"-"&amp;DetailTracker[[#This Row],[PROJECT NAME (SHORT)]],YEAR(TODAY())&amp;"-"&amp;DetailTracker[[#This Row],[CUSTOMER SHORTEN NAME]]&amp;"-"&amp;DetailTracker[[#This Row],[PROJECT NAME (SHORT)]])))</f>
        <v>2026-MONDO-LEXINGTON HOTEL</v>
      </c>
      <c r="I203" s="2">
        <f ca="1">IF(OR($H203="",$B203=""),0,--(COUNTIFS($H$3:$H203,$H203,$B$3:$B203,$B203)=1))</f>
        <v>1</v>
      </c>
      <c r="J203" s="2" t="s">
        <v>284</v>
      </c>
      <c r="K203" s="2" t="s">
        <v>273</v>
      </c>
      <c r="L203" s="2" t="s">
        <v>285</v>
      </c>
      <c r="M203" s="283"/>
      <c r="N203" s="283"/>
      <c r="O203" s="284"/>
      <c r="P203" s="2" t="s">
        <v>51</v>
      </c>
      <c r="Q203" s="2" t="s">
        <v>1614</v>
      </c>
      <c r="R203" s="276"/>
      <c r="S203" s="276"/>
      <c r="T203" s="276"/>
      <c r="U203" s="276"/>
      <c r="V203" s="276">
        <v>11</v>
      </c>
      <c r="X203" s="280">
        <v>14973.54</v>
      </c>
      <c r="Y203" s="280">
        <v>14973.54</v>
      </c>
      <c r="Z203" s="2" t="s">
        <v>315</v>
      </c>
      <c r="AA203" s="2" t="str">
        <f t="shared" si="44"/>
        <v>2027</v>
      </c>
      <c r="AB203" s="283"/>
      <c r="AC203" s="283"/>
      <c r="AD203" s="277" t="s">
        <v>149</v>
      </c>
      <c r="AE203" s="283" t="s">
        <v>149</v>
      </c>
      <c r="AF203" s="2" t="str">
        <f>IF(AD203="","",IF(ISNUMBER(AD203),IF(AND(AD203&gt;='2026 Calendar'!$C$4,AD203&lt;='2026 Calendar'!$E$107),LOOKUP(AD203,'2026 Calendar'!$C$4:$C$107,'2026 Calendar'!$A$4:$A$107),YEAR(AD203-WEEKDAY(AD203,2)+4)&amp;"/W"&amp;TEXT(WEEKNUM(AD203,21),"00")),IF(IFERROR(ISNUMBER(SEARCH("/W",AD203)),FALSE),IF(IFERROR(ISNUMBER(SEARCH("-",AD203)),FALSE),LEFT(AD203,SEARCH("-",AD203)-1),AD203),AD203)))</f>
        <v>TBC</v>
      </c>
      <c r="AG203" s="2" t="str">
        <f>IF(AE203="","",IF(ISNUMBER(AE203),IF(AND(AE203&gt;='2026 Calendar'!$C$4,AE203&lt;='2026 Calendar'!$E$107),LOOKUP(AE203,'2026 Calendar'!$C$4:$C$107,'2026 Calendar'!$A$4:$A$107),YEAR(AE203-WEEKDAY(AE203,2)+4)&amp;"/W"&amp;TEXT(WEEKNUM(AE203,21),"00")),IF(IFERROR(ISNUMBER(SEARCH("/W",AE203)),FALSE),IF(IFERROR(ISNUMBER(SEARCH("-",AE203)),FALSE),MID(AE203,SEARCH("-",AE203)+1,100),AE203),AE203)))</f>
        <v>TBC</v>
      </c>
      <c r="AH203" s="2" t="s">
        <v>304</v>
      </c>
      <c r="AI203" s="254"/>
      <c r="AJ203" s="283"/>
      <c r="AK203" s="2" t="s">
        <v>304</v>
      </c>
      <c r="AL203" s="254"/>
      <c r="AM203" s="283"/>
      <c r="AO203" s="254"/>
      <c r="AP203" s="283"/>
      <c r="AR203" s="254"/>
      <c r="AS203" s="283"/>
      <c r="AU203" s="254"/>
      <c r="AV203" s="283"/>
      <c r="AX203" s="254"/>
      <c r="AY203" s="283"/>
      <c r="BA203" s="254"/>
      <c r="BB203" s="283"/>
      <c r="BC203" s="2" t="str">
        <f t="shared" si="39"/>
        <v>Active</v>
      </c>
      <c r="BE203" s="119" t="str">
        <f t="shared" si="42"/>
        <v>NPD: In progress: Drawing, Veneer/Wood for SW TBC</v>
      </c>
    </row>
    <row r="204" spans="1:57" ht="16" x14ac:dyDescent="0.4">
      <c r="A204" s="2" t="str">
        <f>IFERROR(VLOOKUP(E204,'Customer '!$A$4:$D$23,3,FALSE),"")</f>
        <v/>
      </c>
      <c r="H204" s="306"/>
      <c r="I204" s="2">
        <f>IF(OR($H204="",$B204=""),0,--(COUNTIFS($H$3:$H204,$H204,$B$3:$B204,$B204)=1))</f>
        <v>0</v>
      </c>
      <c r="M204" s="283"/>
      <c r="N204" s="283"/>
      <c r="O204" s="284"/>
      <c r="X204" s="280"/>
      <c r="Y204" s="280"/>
      <c r="AA204" s="2" t="str">
        <f t="shared" si="31"/>
        <v/>
      </c>
      <c r="AB204" s="283"/>
      <c r="AC204" s="283"/>
      <c r="AE204" s="283"/>
      <c r="AF204" s="2" t="str">
        <f>IF(AD204="","",IF(ISNUMBER(AD204),IF(AND(AD204&gt;='2026 Calendar'!$C$4,AD204&lt;='2026 Calendar'!$E$107),LOOKUP(AD204,'2026 Calendar'!$C$4:$C$107,'2026 Calendar'!$A$4:$A$107),YEAR(AD204-WEEKDAY(AD204,2)+4)&amp;"/W"&amp;TEXT(WEEKNUM(AD204,21),"00")),IF(IFERROR(ISNUMBER(SEARCH("/W",AD204)),FALSE),IF(IFERROR(ISNUMBER(SEARCH("-",AD204)),FALSE),LEFT(AD204,SEARCH("-",AD204)-1),AD204),AD204)))</f>
        <v/>
      </c>
      <c r="AG204" s="2" t="str">
        <f>IF(AE204="","",IF(ISNUMBER(AE204),IF(AND(AE204&gt;='2026 Calendar'!$C$4,AE204&lt;='2026 Calendar'!$E$107),LOOKUP(AE204,'2026 Calendar'!$C$4:$C$107,'2026 Calendar'!$A$4:$A$107),YEAR(AE204-WEEKDAY(AE204,2)+4)&amp;"/W"&amp;TEXT(WEEKNUM(AE204,21),"00")),IF(IFERROR(ISNUMBER(SEARCH("/W",AE204)),FALSE),IF(IFERROR(ISNUMBER(SEARCH("-",AE204)),FALSE),MID(AE204,SEARCH("-",AE204)+1,100),AE204),AE204)))</f>
        <v/>
      </c>
      <c r="AI204" s="283"/>
      <c r="AJ204" s="283"/>
      <c r="AL204" s="283"/>
      <c r="AM204" s="283"/>
      <c r="AO204" s="283"/>
      <c r="AP204" s="283"/>
      <c r="AR204" s="283"/>
      <c r="AS204" s="283"/>
      <c r="AU204" s="283"/>
      <c r="AV204" s="283"/>
      <c r="AX204" s="283"/>
      <c r="AY204" s="283"/>
      <c r="BA204" s="283"/>
      <c r="BB204" s="283"/>
      <c r="BC204" s="2" t="str">
        <f t="shared" si="39"/>
        <v/>
      </c>
      <c r="BE204" s="119" t="str">
        <f t="shared" si="42"/>
        <v>All development items approved/closed</v>
      </c>
    </row>
    <row r="205" spans="1:57" x14ac:dyDescent="0.35">
      <c r="M205" s="278"/>
      <c r="N205" s="278"/>
      <c r="O205" s="279"/>
      <c r="X205" s="280"/>
      <c r="Y205" s="280"/>
      <c r="AB205" s="278"/>
      <c r="AC205" s="278"/>
      <c r="AE205" s="278"/>
      <c r="AF205" s="2" t="str">
        <f>IF(AD205="","",IF(ISNUMBER(AD205),IF(AND(AD205&gt;='2026 Calendar'!$C$4,AD205&lt;='2026 Calendar'!$E$107),LOOKUP(AD205,'2026 Calendar'!$C$4:$C$107,'2026 Calendar'!$A$4:$A$107),YEAR(AD205-WEEKDAY(AD205,2)+4)&amp;"/W"&amp;TEXT(WEEKNUM(AD205,21),"00")),IF(IFERROR(ISNUMBER(SEARCH("/W",AD205)),FALSE),IF(IFERROR(ISNUMBER(SEARCH("-",AD205)),FALSE),LEFT(AD205,SEARCH("-",AD205)-1),AD205),AD205)))</f>
        <v/>
      </c>
      <c r="AG205" s="2" t="str">
        <f>IF(AE205="","",IF(ISNUMBER(AE205),IF(AND(AE205&gt;='2026 Calendar'!$C$4,AE205&lt;='2026 Calendar'!$E$107),LOOKUP(AE205,'2026 Calendar'!$C$4:$C$107,'2026 Calendar'!$A$4:$A$107),YEAR(AE205-WEEKDAY(AE205,2)+4)&amp;"/W"&amp;TEXT(WEEKNUM(AE205,21),"00")),IF(IFERROR(ISNUMBER(SEARCH("/W",AE205)),FALSE),IF(IFERROR(ISNUMBER(SEARCH("-",AE205)),FALSE),MID(AE205,SEARCH("-",AE205)+1,100),AE205),AE205)))</f>
        <v/>
      </c>
      <c r="AI205" s="278"/>
      <c r="AJ205" s="278"/>
      <c r="AL205" s="278"/>
      <c r="AM205" s="278"/>
      <c r="AO205" s="278"/>
      <c r="AP205" s="278"/>
      <c r="AR205" s="278"/>
      <c r="AS205" s="278"/>
      <c r="AU205" s="278"/>
      <c r="AV205" s="278"/>
      <c r="AX205" s="278"/>
      <c r="AY205" s="278"/>
      <c r="BA205" s="278"/>
      <c r="BB205" s="278"/>
    </row>
    <row r="206" spans="1:57" x14ac:dyDescent="0.35">
      <c r="M206" s="278"/>
      <c r="N206" s="278"/>
      <c r="O206" s="279"/>
      <c r="X206" s="280"/>
      <c r="Y206" s="280"/>
      <c r="AB206" s="278"/>
      <c r="AC206" s="278"/>
      <c r="AE206" s="278"/>
      <c r="AK206" s="278"/>
      <c r="AM206" s="278"/>
      <c r="AO206" s="278"/>
      <c r="AQ206" s="278"/>
      <c r="AS206" s="278"/>
      <c r="AU206" s="278"/>
    </row>
    <row r="210" spans="7:25" x14ac:dyDescent="0.3">
      <c r="G210" s="285"/>
    </row>
    <row r="219" spans="7:25" x14ac:dyDescent="0.35">
      <c r="Y219" s="280"/>
    </row>
  </sheetData>
  <conditionalFormatting sqref="J3:J204">
    <cfRule type="containsText" dxfId="119" priority="1" operator="containsText" text="OB">
      <formula>NOT(ISERROR(SEARCH("OB",J3)))</formula>
    </cfRule>
    <cfRule type="containsText" dxfId="118" priority="2" operator="containsText" text="FC">
      <formula>NOT(ISERROR(SEARCH("FC",J3)))</formula>
    </cfRule>
    <cfRule type="containsText" dxfId="117" priority="3" operator="containsText" text="SHIPPED">
      <formula>NOT(ISERROR(SEARCH("SHIPPED",J3)))</formula>
    </cfRule>
    <cfRule type="containsText" dxfId="116" priority="4" operator="containsText" text="REMOVED">
      <formula>NOT(ISERROR(SEARCH("REMOVED",J3)))</formula>
    </cfRule>
    <cfRule type="containsText" dxfId="115" priority="5" operator="containsText" text="PIPELINE">
      <formula>NOT(ISERROR(SEARCH("PIPELINE",J3)))</formula>
    </cfRule>
  </conditionalFormatting>
  <conditionalFormatting sqref="BC3:BE204">
    <cfRule type="containsText" dxfId="114" priority="6" operator="containsText" text="Active">
      <formula>NOT(ISERROR(SEARCH("Active",BC3)))</formula>
    </cfRule>
    <cfRule type="containsText" dxfId="113" priority="7" operator="containsText" text="Complete">
      <formula>NOT(ISERROR(SEARCH("Complete",BC3)))</formula>
    </cfRule>
  </conditionalFormatting>
  <dataValidations count="4">
    <dataValidation type="list" allowBlank="1" showInputMessage="1" showErrorMessage="1" sqref="BB131 AV131 AY131 AV150:AW150 AP131 AW3:AW149 AV154:AV203 AW151:AW203 AZ3:AZ204 AQ3:AQ204 AH3:AH204 AN3:AN204 AT3:AT204 AK3:AK204" xr:uid="{2751AA3E-8EA4-4B43-A4C1-672BDEE64BD4}">
      <formula1>"Not Started,In Progress,Pending Approval,Approved,N/A,COM,COM Pending,COM Received"</formula1>
    </dataValidation>
    <dataValidation type="list" allowBlank="1" showInputMessage="1" showErrorMessage="1" sqref="B3:B204" xr:uid="{6CE4430B-6875-438C-908B-CF80F068FC45}">
      <formula1>"NPD,NPI,NPD to NPI"</formula1>
    </dataValidation>
    <dataValidation type="list" allowBlank="1" showInputMessage="1" showErrorMessage="1" sqref="K3:K204" xr:uid="{1DBA7A8C-AB88-4DFF-917E-7B6BDCE7EEBF}">
      <formula1>"NEW,REO"</formula1>
    </dataValidation>
    <dataValidation type="list" allowBlank="1" showInputMessage="1" showErrorMessage="1" sqref="J3:J204" xr:uid="{9FA7A4D6-BE1F-4E59-B02E-23E7EA8B30C6}">
      <formula1>"OB,FC,SHIPPED,REMOVED,PIPELINE,NOR,DROPPED,ON HOLD,REJECTED,CANCELLED"</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39357167-6D89-4488-94BD-EB8C1BB56C9E}">
          <x14:formula1>
            <xm:f>'Customer '!$A:$A</xm:f>
          </x14:formula1>
          <xm:sqref>E206:E1048576 E1:E204</xm:sqref>
        </x14:dataValidation>
        <x14:dataValidation type="list" allowBlank="1" showInputMessage="1" showErrorMessage="1" xr:uid="{81F8A60E-D493-44A3-9052-A1A4158E6AD6}">
          <x14:formula1>
            <xm:f>'Drop list'!$H:$H</xm:f>
          </x14:formula1>
          <xm:sqref>C206:D1048576 D1 C1:C203</xm:sqref>
        </x14:dataValidation>
        <x14:dataValidation type="list" allowBlank="1" showInputMessage="1" showErrorMessage="1" errorTitle="Invalid Input" error="Please select a valid NPD/NPI Stage from the drop-down list." xr:uid="{7BAA31BE-C7D9-443F-84CF-22161F0A4560}">
          <x14:formula1>
            <xm:f>'Drop list'!$F$2:$F$9</xm:f>
          </x14:formula1>
          <xm:sqref>L3:L204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CC7D-302F-45F8-8039-C7873AC56B50}">
  <sheetPr>
    <tabColor rgb="FF0000FF"/>
  </sheetPr>
  <dimension ref="A1:AE138"/>
  <sheetViews>
    <sheetView zoomScale="70" zoomScaleNormal="70" workbookViewId="0">
      <pane xSplit="6" ySplit="3" topLeftCell="G40" activePane="bottomRight" state="frozen"/>
      <selection pane="topRight" activeCell="G1" sqref="G1"/>
      <selection pane="bottomLeft" activeCell="A6" sqref="A6"/>
      <selection pane="bottomRight" activeCell="H71" sqref="H71"/>
    </sheetView>
  </sheetViews>
  <sheetFormatPr defaultRowHeight="14.5" x14ac:dyDescent="0.35"/>
  <cols>
    <col min="1" max="1" width="13.54296875" customWidth="1"/>
    <col min="2" max="2" width="18.453125" customWidth="1"/>
    <col min="3" max="3" width="51.54296875" bestFit="1" customWidth="1"/>
    <col min="4" max="4" width="10.453125" style="13" customWidth="1"/>
    <col min="5" max="5" width="18.453125" style="115" bestFit="1" customWidth="1"/>
    <col min="6" max="6" width="12.453125" bestFit="1" customWidth="1"/>
    <col min="7" max="7" width="11.54296875" style="113" bestFit="1" customWidth="1"/>
    <col min="8" max="8" width="11" style="113" bestFit="1" customWidth="1"/>
    <col min="9" max="9" width="11.54296875" style="114" bestFit="1" customWidth="1"/>
    <col min="10" max="10" width="12.453125" style="126" bestFit="1" customWidth="1"/>
    <col min="11" max="11" width="14" bestFit="1" customWidth="1"/>
    <col min="12" max="12" width="14.453125" bestFit="1" customWidth="1"/>
    <col min="13" max="13" width="14" bestFit="1" customWidth="1"/>
    <col min="14" max="14" width="11.54296875" bestFit="1" customWidth="1"/>
    <col min="15" max="16" width="12.453125" bestFit="1" customWidth="1"/>
    <col min="17" max="17" width="14" bestFit="1" customWidth="1"/>
    <col min="18" max="20" width="14.453125" bestFit="1" customWidth="1"/>
    <col min="21" max="21" width="13.54296875" bestFit="1" customWidth="1"/>
    <col min="22" max="22" width="14.453125" bestFit="1" customWidth="1"/>
    <col min="23" max="24" width="14" bestFit="1" customWidth="1"/>
    <col min="25" max="26" width="14.453125" bestFit="1" customWidth="1"/>
    <col min="27" max="27" width="13.54296875" bestFit="1" customWidth="1"/>
    <col min="29" max="29" width="14" bestFit="1" customWidth="1"/>
    <col min="31" max="31" width="15.453125" bestFit="1" customWidth="1"/>
  </cols>
  <sheetData>
    <row r="1" spans="1:31" x14ac:dyDescent="0.35">
      <c r="A1" s="9" t="s">
        <v>480</v>
      </c>
      <c r="D1"/>
      <c r="E1"/>
      <c r="F1" s="9" t="s">
        <v>481</v>
      </c>
      <c r="G1" s="9" t="s">
        <v>482</v>
      </c>
      <c r="H1"/>
      <c r="I1"/>
      <c r="J1"/>
    </row>
    <row r="2" spans="1:31" x14ac:dyDescent="0.35">
      <c r="D2"/>
      <c r="E2"/>
      <c r="F2" t="s">
        <v>483</v>
      </c>
      <c r="G2"/>
      <c r="H2"/>
      <c r="I2"/>
      <c r="J2"/>
      <c r="R2" s="167" t="s">
        <v>484</v>
      </c>
    </row>
    <row r="3" spans="1:31" s="167" customFormat="1" ht="15" customHeight="1" x14ac:dyDescent="0.35">
      <c r="A3" s="166" t="s">
        <v>218</v>
      </c>
      <c r="B3" s="166" t="s">
        <v>210</v>
      </c>
      <c r="C3" s="166" t="s">
        <v>216</v>
      </c>
      <c r="D3" s="166" t="s">
        <v>211</v>
      </c>
      <c r="E3" s="166" t="s">
        <v>231</v>
      </c>
      <c r="F3" t="s">
        <v>378</v>
      </c>
      <c r="G3" t="s">
        <v>400</v>
      </c>
      <c r="H3" t="s">
        <v>321</v>
      </c>
      <c r="I3" t="s">
        <v>294</v>
      </c>
      <c r="J3" t="s">
        <v>277</v>
      </c>
      <c r="K3" t="s">
        <v>280</v>
      </c>
      <c r="L3" t="s">
        <v>281</v>
      </c>
      <c r="M3" t="s">
        <v>282</v>
      </c>
      <c r="N3" t="s">
        <v>297</v>
      </c>
      <c r="O3" t="s">
        <v>303</v>
      </c>
      <c r="P3" t="s">
        <v>311</v>
      </c>
      <c r="Q3" t="s">
        <v>330</v>
      </c>
      <c r="S3"/>
      <c r="T3"/>
      <c r="U3"/>
      <c r="V3"/>
      <c r="W3"/>
      <c r="X3"/>
      <c r="Y3"/>
      <c r="Z3"/>
      <c r="AA3"/>
      <c r="AB3"/>
      <c r="AC3"/>
      <c r="AD3"/>
      <c r="AE3"/>
    </row>
    <row r="4" spans="1:31" x14ac:dyDescent="0.35">
      <c r="A4" t="s">
        <v>272</v>
      </c>
      <c r="B4" t="s">
        <v>59</v>
      </c>
      <c r="C4" t="s">
        <v>485</v>
      </c>
      <c r="D4" t="s">
        <v>268</v>
      </c>
      <c r="E4">
        <v>18</v>
      </c>
      <c r="F4" s="70"/>
      <c r="G4" s="70"/>
      <c r="H4" s="70"/>
      <c r="I4" s="70"/>
      <c r="J4" s="70"/>
      <c r="K4" s="70"/>
      <c r="L4" s="70">
        <v>110307</v>
      </c>
      <c r="M4" s="70">
        <v>53695.14</v>
      </c>
      <c r="N4" s="70"/>
      <c r="O4" s="70"/>
      <c r="P4" s="70"/>
      <c r="Q4" s="70"/>
      <c r="R4" s="70">
        <v>164002.14000000001</v>
      </c>
    </row>
    <row r="5" spans="1:31" x14ac:dyDescent="0.35">
      <c r="C5" t="s">
        <v>486</v>
      </c>
      <c r="D5" t="s">
        <v>268</v>
      </c>
      <c r="E5">
        <v>1</v>
      </c>
      <c r="F5" s="70"/>
      <c r="G5" s="70"/>
      <c r="H5" s="70"/>
      <c r="I5" s="70"/>
      <c r="J5" s="70"/>
      <c r="K5" s="70"/>
      <c r="L5" s="70">
        <v>1375.5</v>
      </c>
      <c r="M5" s="70"/>
      <c r="N5" s="70"/>
      <c r="O5" s="70"/>
      <c r="P5" s="70"/>
      <c r="Q5" s="70"/>
      <c r="R5" s="70">
        <v>1375.5</v>
      </c>
    </row>
    <row r="6" spans="1:31" x14ac:dyDescent="0.35">
      <c r="C6" t="s">
        <v>487</v>
      </c>
      <c r="D6" t="s">
        <v>268</v>
      </c>
      <c r="E6">
        <v>26</v>
      </c>
      <c r="F6" s="70">
        <v>71837</v>
      </c>
      <c r="G6" s="70"/>
      <c r="H6" s="70"/>
      <c r="I6" s="70">
        <v>30383.55</v>
      </c>
      <c r="J6" s="70"/>
      <c r="K6" s="70"/>
      <c r="L6" s="70"/>
      <c r="M6" s="70"/>
      <c r="N6" s="70"/>
      <c r="O6" s="70"/>
      <c r="P6" s="70"/>
      <c r="Q6" s="70"/>
      <c r="R6" s="70">
        <v>102220.55</v>
      </c>
    </row>
    <row r="7" spans="1:31" x14ac:dyDescent="0.35">
      <c r="C7" t="s">
        <v>488</v>
      </c>
      <c r="D7" t="s">
        <v>268</v>
      </c>
      <c r="E7">
        <v>9</v>
      </c>
      <c r="F7" s="70"/>
      <c r="G7" s="70"/>
      <c r="H7" s="70"/>
      <c r="I7" s="70">
        <v>54061.599999999999</v>
      </c>
      <c r="J7" s="70"/>
      <c r="K7" s="70"/>
      <c r="L7" s="70"/>
      <c r="M7" s="70"/>
      <c r="N7" s="70"/>
      <c r="O7" s="70"/>
      <c r="P7" s="70"/>
      <c r="Q7" s="70"/>
      <c r="R7" s="70">
        <v>54061.599999999999</v>
      </c>
    </row>
    <row r="8" spans="1:31" x14ac:dyDescent="0.35">
      <c r="C8" t="s">
        <v>489</v>
      </c>
      <c r="D8" t="s">
        <v>268</v>
      </c>
      <c r="E8">
        <v>50</v>
      </c>
      <c r="F8" s="70"/>
      <c r="G8" s="70"/>
      <c r="H8" s="70"/>
      <c r="I8" s="70"/>
      <c r="J8" s="70"/>
      <c r="K8" s="70"/>
      <c r="L8" s="70">
        <v>269518</v>
      </c>
      <c r="M8" s="70">
        <v>760037</v>
      </c>
      <c r="N8" s="70">
        <v>131612</v>
      </c>
      <c r="O8" s="70"/>
      <c r="P8" s="70"/>
      <c r="Q8" s="70"/>
      <c r="R8" s="70">
        <v>1161167</v>
      </c>
    </row>
    <row r="9" spans="1:31" x14ac:dyDescent="0.35">
      <c r="C9" t="s">
        <v>522</v>
      </c>
      <c r="D9" t="s">
        <v>268</v>
      </c>
      <c r="E9">
        <v>1</v>
      </c>
      <c r="F9" s="70"/>
      <c r="G9" s="70"/>
      <c r="H9" s="70"/>
      <c r="I9" s="70"/>
      <c r="J9" s="70"/>
      <c r="K9" s="70"/>
      <c r="L9" s="70"/>
      <c r="M9" s="70"/>
      <c r="N9" s="70">
        <v>13398</v>
      </c>
      <c r="O9" s="70"/>
      <c r="P9" s="70"/>
      <c r="Q9" s="70"/>
      <c r="R9" s="70">
        <v>13398</v>
      </c>
    </row>
    <row r="10" spans="1:31" x14ac:dyDescent="0.35">
      <c r="C10" t="s">
        <v>490</v>
      </c>
      <c r="D10" t="s">
        <v>268</v>
      </c>
      <c r="E10">
        <v>1</v>
      </c>
      <c r="F10" s="70"/>
      <c r="G10" s="70"/>
      <c r="H10" s="70"/>
      <c r="I10" s="70"/>
      <c r="J10" s="70"/>
      <c r="K10" s="70"/>
      <c r="L10" s="70">
        <v>499.5</v>
      </c>
      <c r="M10" s="70"/>
      <c r="N10" s="70"/>
      <c r="O10" s="70"/>
      <c r="P10" s="70"/>
      <c r="Q10" s="70"/>
      <c r="R10" s="70">
        <v>499.5</v>
      </c>
    </row>
    <row r="11" spans="1:31" x14ac:dyDescent="0.35">
      <c r="C11" t="s">
        <v>491</v>
      </c>
      <c r="D11" t="s">
        <v>268</v>
      </c>
      <c r="E11">
        <v>1</v>
      </c>
      <c r="F11" s="70"/>
      <c r="G11" s="70"/>
      <c r="H11" s="70"/>
      <c r="I11" s="70"/>
      <c r="J11" s="70"/>
      <c r="K11" s="70"/>
      <c r="L11" s="70">
        <v>1466</v>
      </c>
      <c r="M11" s="70"/>
      <c r="N11" s="70"/>
      <c r="O11" s="70"/>
      <c r="P11" s="70"/>
      <c r="Q11" s="70"/>
      <c r="R11" s="70">
        <v>1466</v>
      </c>
    </row>
    <row r="12" spans="1:31" x14ac:dyDescent="0.35">
      <c r="C12" t="s">
        <v>492</v>
      </c>
      <c r="D12" t="s">
        <v>268</v>
      </c>
      <c r="E12">
        <v>26</v>
      </c>
      <c r="F12" s="70"/>
      <c r="G12" s="70"/>
      <c r="H12" s="70"/>
      <c r="I12" s="70"/>
      <c r="J12" s="70"/>
      <c r="K12" s="70">
        <v>1004676</v>
      </c>
      <c r="L12" s="70">
        <v>969712.83000000007</v>
      </c>
      <c r="M12" s="70">
        <v>326460</v>
      </c>
      <c r="N12" s="70"/>
      <c r="O12" s="70"/>
      <c r="P12" s="70"/>
      <c r="Q12" s="70"/>
      <c r="R12" s="70">
        <v>2300848.83</v>
      </c>
    </row>
    <row r="13" spans="1:31" x14ac:dyDescent="0.35">
      <c r="C13" t="s">
        <v>493</v>
      </c>
      <c r="D13" t="s">
        <v>268</v>
      </c>
      <c r="E13">
        <v>26</v>
      </c>
      <c r="F13" s="70"/>
      <c r="G13" s="70"/>
      <c r="H13" s="70"/>
      <c r="I13" s="70"/>
      <c r="J13" s="70">
        <v>153379</v>
      </c>
      <c r="K13" s="70"/>
      <c r="L13" s="70"/>
      <c r="M13" s="70"/>
      <c r="N13" s="70"/>
      <c r="O13" s="70"/>
      <c r="P13" s="70"/>
      <c r="Q13" s="70"/>
      <c r="R13" s="70">
        <v>153379</v>
      </c>
    </row>
    <row r="14" spans="1:31" x14ac:dyDescent="0.35">
      <c r="C14" t="s">
        <v>494</v>
      </c>
      <c r="D14" t="s">
        <v>268</v>
      </c>
      <c r="E14">
        <v>1</v>
      </c>
      <c r="F14" s="70"/>
      <c r="G14" s="70"/>
      <c r="H14" s="70"/>
      <c r="I14" s="70"/>
      <c r="J14" s="70"/>
      <c r="K14" s="70">
        <v>12309</v>
      </c>
      <c r="L14" s="70"/>
      <c r="M14" s="70"/>
      <c r="N14" s="70"/>
      <c r="O14" s="70"/>
      <c r="P14" s="70"/>
      <c r="Q14" s="70"/>
      <c r="R14" s="70">
        <v>12309</v>
      </c>
    </row>
    <row r="15" spans="1:31" x14ac:dyDescent="0.35">
      <c r="C15" t="s">
        <v>495</v>
      </c>
      <c r="D15" t="s">
        <v>268</v>
      </c>
      <c r="E15">
        <v>1</v>
      </c>
      <c r="F15" s="70"/>
      <c r="G15" s="70"/>
      <c r="H15" s="70"/>
      <c r="I15" s="70"/>
      <c r="J15" s="70"/>
      <c r="K15" s="70"/>
      <c r="L15" s="70"/>
      <c r="M15" s="70">
        <v>1142.75</v>
      </c>
      <c r="N15" s="70"/>
      <c r="O15" s="70"/>
      <c r="P15" s="70"/>
      <c r="Q15" s="70"/>
      <c r="R15" s="70">
        <v>1142.75</v>
      </c>
    </row>
    <row r="16" spans="1:31" x14ac:dyDescent="0.35">
      <c r="C16" t="s">
        <v>496</v>
      </c>
      <c r="D16" t="s">
        <v>268</v>
      </c>
      <c r="E16">
        <v>1</v>
      </c>
      <c r="F16" s="70"/>
      <c r="G16" s="70"/>
      <c r="H16" s="70"/>
      <c r="I16" s="70">
        <v>1672</v>
      </c>
      <c r="J16" s="70"/>
      <c r="K16" s="70"/>
      <c r="L16" s="70"/>
      <c r="M16" s="70"/>
      <c r="N16" s="70"/>
      <c r="O16" s="70"/>
      <c r="P16" s="70"/>
      <c r="Q16" s="70"/>
      <c r="R16" s="70">
        <v>1672</v>
      </c>
    </row>
    <row r="17" spans="1:31" x14ac:dyDescent="0.35">
      <c r="C17" t="s">
        <v>497</v>
      </c>
      <c r="D17" t="s">
        <v>268</v>
      </c>
      <c r="E17">
        <v>11</v>
      </c>
      <c r="F17" s="70"/>
      <c r="G17" s="70"/>
      <c r="H17" s="70"/>
      <c r="I17" s="70"/>
      <c r="J17" s="70"/>
      <c r="K17" s="70"/>
      <c r="L17" s="70"/>
      <c r="M17" s="70"/>
      <c r="N17" s="70">
        <v>74720</v>
      </c>
      <c r="O17" s="70"/>
      <c r="P17" s="70"/>
      <c r="Q17" s="70"/>
      <c r="R17" s="70">
        <v>74720</v>
      </c>
    </row>
    <row r="18" spans="1:31" x14ac:dyDescent="0.35">
      <c r="C18" t="s">
        <v>498</v>
      </c>
      <c r="D18" t="s">
        <v>268</v>
      </c>
      <c r="E18">
        <v>2</v>
      </c>
      <c r="F18" s="70">
        <v>5432.2</v>
      </c>
      <c r="G18" s="70"/>
      <c r="H18" s="70"/>
      <c r="I18" s="70"/>
      <c r="J18" s="70"/>
      <c r="K18" s="70"/>
      <c r="L18" s="70"/>
      <c r="M18" s="70"/>
      <c r="N18" s="70"/>
      <c r="O18" s="70"/>
      <c r="P18" s="70"/>
      <c r="Q18" s="70"/>
      <c r="R18" s="70">
        <v>5432.2</v>
      </c>
    </row>
    <row r="19" spans="1:31" x14ac:dyDescent="0.35">
      <c r="C19" t="s">
        <v>499</v>
      </c>
      <c r="D19" t="s">
        <v>268</v>
      </c>
      <c r="E19">
        <v>1</v>
      </c>
      <c r="F19" s="70"/>
      <c r="G19" s="70"/>
      <c r="H19" s="70">
        <v>4200</v>
      </c>
      <c r="I19" s="70"/>
      <c r="J19" s="70"/>
      <c r="K19" s="70"/>
      <c r="L19" s="70"/>
      <c r="M19" s="70"/>
      <c r="N19" s="70"/>
      <c r="O19" s="70"/>
      <c r="P19" s="70"/>
      <c r="Q19" s="70"/>
      <c r="R19" s="70">
        <v>4200</v>
      </c>
    </row>
    <row r="20" spans="1:31" x14ac:dyDescent="0.35">
      <c r="C20" t="s">
        <v>500</v>
      </c>
      <c r="D20" t="s">
        <v>268</v>
      </c>
      <c r="E20">
        <v>12</v>
      </c>
      <c r="F20" s="70"/>
      <c r="G20" s="70"/>
      <c r="H20" s="70"/>
      <c r="I20" s="70"/>
      <c r="J20" s="70"/>
      <c r="K20" s="70"/>
      <c r="L20" s="70"/>
      <c r="M20" s="70">
        <v>203436.49</v>
      </c>
      <c r="N20" s="70"/>
      <c r="O20" s="70"/>
      <c r="P20" s="70"/>
      <c r="Q20" s="70"/>
      <c r="R20" s="70">
        <v>203436.49</v>
      </c>
    </row>
    <row r="21" spans="1:31" x14ac:dyDescent="0.35">
      <c r="C21" t="s">
        <v>524</v>
      </c>
      <c r="D21" t="s">
        <v>268</v>
      </c>
      <c r="E21">
        <v>18</v>
      </c>
      <c r="F21" s="70"/>
      <c r="G21" s="70"/>
      <c r="H21" s="70"/>
      <c r="I21" s="70"/>
      <c r="J21" s="70"/>
      <c r="K21" s="70"/>
      <c r="L21" s="70"/>
      <c r="M21" s="70"/>
      <c r="N21" s="70">
        <v>149029</v>
      </c>
      <c r="O21" s="70"/>
      <c r="P21" s="70"/>
      <c r="Q21" s="70"/>
      <c r="R21" s="70">
        <v>149029</v>
      </c>
    </row>
    <row r="22" spans="1:31" x14ac:dyDescent="0.35">
      <c r="B22" t="s">
        <v>501</v>
      </c>
      <c r="D22"/>
      <c r="E22"/>
      <c r="F22" s="70">
        <v>77269.2</v>
      </c>
      <c r="G22" s="70"/>
      <c r="H22" s="70">
        <v>4200</v>
      </c>
      <c r="I22" s="70">
        <v>86117.15</v>
      </c>
      <c r="J22" s="70">
        <v>153379</v>
      </c>
      <c r="K22" s="70">
        <v>1016985</v>
      </c>
      <c r="L22" s="70">
        <v>1352878.83</v>
      </c>
      <c r="M22" s="70">
        <v>1344771.3800000001</v>
      </c>
      <c r="N22" s="70">
        <v>368759</v>
      </c>
      <c r="O22" s="70"/>
      <c r="P22" s="70"/>
      <c r="Q22" s="70"/>
      <c r="R22" s="70">
        <v>4404359.5600000005</v>
      </c>
    </row>
    <row r="23" spans="1:31" x14ac:dyDescent="0.35">
      <c r="B23" t="s">
        <v>46</v>
      </c>
      <c r="C23" t="s">
        <v>502</v>
      </c>
      <c r="D23" t="s">
        <v>268</v>
      </c>
      <c r="E23">
        <v>25</v>
      </c>
      <c r="F23" s="70"/>
      <c r="G23" s="70"/>
      <c r="H23" s="70"/>
      <c r="I23" s="70">
        <v>56748.11</v>
      </c>
      <c r="J23" s="70">
        <v>87190</v>
      </c>
      <c r="K23" s="70">
        <v>54084</v>
      </c>
      <c r="L23" s="70"/>
      <c r="M23" s="70"/>
      <c r="N23" s="70"/>
      <c r="O23" s="70"/>
      <c r="P23" s="70"/>
      <c r="Q23" s="70"/>
      <c r="R23" s="70">
        <v>198022.11</v>
      </c>
    </row>
    <row r="24" spans="1:31" s="122" customFormat="1" x14ac:dyDescent="0.35">
      <c r="A24"/>
      <c r="B24"/>
      <c r="C24" t="s">
        <v>503</v>
      </c>
      <c r="D24" t="s">
        <v>268</v>
      </c>
      <c r="E24">
        <v>7</v>
      </c>
      <c r="F24" s="70"/>
      <c r="G24" s="70"/>
      <c r="H24" s="70"/>
      <c r="I24" s="70">
        <v>7015.5</v>
      </c>
      <c r="J24" s="70"/>
      <c r="K24" s="70"/>
      <c r="L24" s="70"/>
      <c r="M24" s="70"/>
      <c r="N24" s="70"/>
      <c r="O24" s="70"/>
      <c r="P24" s="70"/>
      <c r="Q24" s="70"/>
      <c r="R24" s="70">
        <v>7015.5</v>
      </c>
      <c r="S24"/>
      <c r="T24"/>
      <c r="U24"/>
      <c r="V24"/>
      <c r="W24"/>
      <c r="X24"/>
      <c r="Y24"/>
      <c r="Z24"/>
      <c r="AA24"/>
      <c r="AB24"/>
      <c r="AC24"/>
      <c r="AD24"/>
      <c r="AE24"/>
    </row>
    <row r="25" spans="1:31" x14ac:dyDescent="0.35">
      <c r="C25" t="s">
        <v>504</v>
      </c>
      <c r="D25" t="s">
        <v>268</v>
      </c>
      <c r="E25">
        <v>30</v>
      </c>
      <c r="F25" s="70"/>
      <c r="G25" s="70"/>
      <c r="H25" s="70">
        <v>22782.880000000001</v>
      </c>
      <c r="I25" s="70">
        <v>68348.760000000009</v>
      </c>
      <c r="J25" s="70"/>
      <c r="K25" s="70"/>
      <c r="L25" s="70"/>
      <c r="M25" s="70"/>
      <c r="N25" s="70">
        <v>96242</v>
      </c>
      <c r="O25" s="70"/>
      <c r="P25" s="70"/>
      <c r="Q25" s="70"/>
      <c r="R25" s="70">
        <v>187373.64</v>
      </c>
    </row>
    <row r="26" spans="1:31" x14ac:dyDescent="0.35">
      <c r="C26" t="s">
        <v>505</v>
      </c>
      <c r="D26" t="s">
        <v>268</v>
      </c>
      <c r="E26">
        <v>28</v>
      </c>
      <c r="F26" s="70"/>
      <c r="G26" s="70"/>
      <c r="H26" s="70"/>
      <c r="I26" s="70"/>
      <c r="J26" s="70">
        <v>178386</v>
      </c>
      <c r="K26" s="70">
        <v>179389</v>
      </c>
      <c r="L26" s="70"/>
      <c r="M26" s="70"/>
      <c r="N26" s="70"/>
      <c r="O26" s="70"/>
      <c r="P26" s="70"/>
      <c r="Q26" s="70"/>
      <c r="R26" s="70">
        <v>357775</v>
      </c>
    </row>
    <row r="27" spans="1:31" x14ac:dyDescent="0.35">
      <c r="C27" t="s">
        <v>506</v>
      </c>
      <c r="D27" t="s">
        <v>268</v>
      </c>
      <c r="E27">
        <v>48</v>
      </c>
      <c r="F27" s="70"/>
      <c r="G27" s="70"/>
      <c r="H27" s="70">
        <v>21344</v>
      </c>
      <c r="I27" s="70"/>
      <c r="J27" s="70">
        <v>2668</v>
      </c>
      <c r="K27" s="70"/>
      <c r="L27" s="70"/>
      <c r="M27" s="70"/>
      <c r="N27" s="70"/>
      <c r="O27" s="70"/>
      <c r="P27" s="70"/>
      <c r="Q27" s="70"/>
      <c r="R27" s="70">
        <v>24012</v>
      </c>
    </row>
    <row r="28" spans="1:31" x14ac:dyDescent="0.35">
      <c r="C28" t="s">
        <v>507</v>
      </c>
      <c r="D28" t="s">
        <v>268</v>
      </c>
      <c r="E28">
        <v>17</v>
      </c>
      <c r="F28" s="70"/>
      <c r="G28" s="70">
        <v>51127</v>
      </c>
      <c r="H28" s="70"/>
      <c r="I28" s="70">
        <v>1908.8</v>
      </c>
      <c r="J28" s="70"/>
      <c r="K28" s="70"/>
      <c r="L28" s="70"/>
      <c r="M28" s="70"/>
      <c r="N28" s="70"/>
      <c r="O28" s="70"/>
      <c r="P28" s="70"/>
      <c r="Q28" s="70"/>
      <c r="R28" s="70">
        <v>53035.8</v>
      </c>
    </row>
    <row r="29" spans="1:31" x14ac:dyDescent="0.35">
      <c r="C29" t="s">
        <v>508</v>
      </c>
      <c r="D29" t="s">
        <v>268</v>
      </c>
      <c r="E29">
        <v>7</v>
      </c>
      <c r="F29" s="70">
        <v>1601</v>
      </c>
      <c r="G29" s="70"/>
      <c r="H29" s="70"/>
      <c r="I29" s="70"/>
      <c r="J29" s="70"/>
      <c r="K29" s="70"/>
      <c r="L29" s="70"/>
      <c r="M29" s="70"/>
      <c r="N29" s="70"/>
      <c r="O29" s="70"/>
      <c r="P29" s="70"/>
      <c r="Q29" s="70"/>
      <c r="R29" s="70">
        <v>1601</v>
      </c>
    </row>
    <row r="30" spans="1:31" x14ac:dyDescent="0.35">
      <c r="C30" t="s">
        <v>530</v>
      </c>
      <c r="D30" t="s">
        <v>268</v>
      </c>
      <c r="E30">
        <v>2</v>
      </c>
      <c r="F30" s="70"/>
      <c r="G30" s="70"/>
      <c r="H30" s="70"/>
      <c r="I30" s="70"/>
      <c r="J30" s="70"/>
      <c r="K30" s="70"/>
      <c r="L30" s="70"/>
      <c r="M30" s="70"/>
      <c r="N30" s="70"/>
      <c r="O30" s="70">
        <v>13541.25</v>
      </c>
      <c r="P30" s="70"/>
      <c r="Q30" s="70"/>
      <c r="R30" s="70">
        <v>13541.25</v>
      </c>
    </row>
    <row r="31" spans="1:31" x14ac:dyDescent="0.35">
      <c r="C31" t="s">
        <v>509</v>
      </c>
      <c r="D31" t="s">
        <v>268</v>
      </c>
      <c r="E31">
        <v>30</v>
      </c>
      <c r="F31" s="70">
        <v>362480.94</v>
      </c>
      <c r="G31" s="70">
        <v>33400</v>
      </c>
      <c r="H31" s="70"/>
      <c r="I31" s="70"/>
      <c r="J31" s="70"/>
      <c r="K31" s="70"/>
      <c r="L31" s="70"/>
      <c r="M31" s="70"/>
      <c r="N31" s="70"/>
      <c r="O31" s="70"/>
      <c r="P31" s="70"/>
      <c r="Q31" s="70"/>
      <c r="R31" s="70">
        <v>395880.94</v>
      </c>
    </row>
    <row r="32" spans="1:31" x14ac:dyDescent="0.35">
      <c r="C32" t="s">
        <v>510</v>
      </c>
      <c r="D32" t="s">
        <v>268</v>
      </c>
      <c r="E32">
        <v>22</v>
      </c>
      <c r="F32" s="70"/>
      <c r="G32" s="70"/>
      <c r="H32" s="70"/>
      <c r="I32" s="70"/>
      <c r="J32" s="70"/>
      <c r="K32" s="70"/>
      <c r="L32" s="70"/>
      <c r="M32" s="70">
        <v>89785.840000000011</v>
      </c>
      <c r="N32" s="70">
        <v>80159</v>
      </c>
      <c r="O32" s="70"/>
      <c r="P32" s="70"/>
      <c r="Q32" s="70"/>
      <c r="R32" s="70">
        <v>169944.84000000003</v>
      </c>
    </row>
    <row r="33" spans="1:18" x14ac:dyDescent="0.35">
      <c r="C33" t="s">
        <v>512</v>
      </c>
      <c r="D33" t="s">
        <v>268</v>
      </c>
      <c r="E33">
        <v>48</v>
      </c>
      <c r="F33" s="70">
        <v>24407</v>
      </c>
      <c r="G33" s="70">
        <v>80520</v>
      </c>
      <c r="H33" s="70"/>
      <c r="I33" s="70"/>
      <c r="J33" s="70"/>
      <c r="K33" s="70"/>
      <c r="L33" s="70"/>
      <c r="M33" s="70"/>
      <c r="N33" s="70"/>
      <c r="O33" s="70"/>
      <c r="P33" s="70"/>
      <c r="Q33" s="70"/>
      <c r="R33" s="70">
        <v>104927</v>
      </c>
    </row>
    <row r="34" spans="1:18" x14ac:dyDescent="0.35">
      <c r="C34" t="s">
        <v>514</v>
      </c>
      <c r="D34" t="s">
        <v>268</v>
      </c>
      <c r="E34">
        <v>20</v>
      </c>
      <c r="F34" s="70"/>
      <c r="G34" s="70"/>
      <c r="H34" s="70"/>
      <c r="I34" s="70"/>
      <c r="J34" s="70"/>
      <c r="K34" s="70"/>
      <c r="L34" s="70">
        <v>93065</v>
      </c>
      <c r="M34" s="70"/>
      <c r="N34" s="70"/>
      <c r="O34" s="70"/>
      <c r="P34" s="70"/>
      <c r="Q34" s="70"/>
      <c r="R34" s="70">
        <v>93065</v>
      </c>
    </row>
    <row r="35" spans="1:18" x14ac:dyDescent="0.35">
      <c r="C35" t="s">
        <v>515</v>
      </c>
      <c r="D35" t="s">
        <v>268</v>
      </c>
      <c r="E35">
        <v>32</v>
      </c>
      <c r="F35" s="70"/>
      <c r="G35" s="70"/>
      <c r="H35" s="70"/>
      <c r="I35" s="70"/>
      <c r="J35" s="70"/>
      <c r="K35" s="70"/>
      <c r="L35" s="70"/>
      <c r="M35" s="70">
        <v>46234.26</v>
      </c>
      <c r="N35" s="70">
        <v>122196</v>
      </c>
      <c r="O35" s="70"/>
      <c r="P35" s="70"/>
      <c r="Q35" s="70"/>
      <c r="R35" s="70">
        <v>168430.26</v>
      </c>
    </row>
    <row r="36" spans="1:18" x14ac:dyDescent="0.35">
      <c r="C36" t="s">
        <v>516</v>
      </c>
      <c r="D36" t="s">
        <v>268</v>
      </c>
      <c r="E36">
        <v>4</v>
      </c>
      <c r="F36" s="70"/>
      <c r="G36" s="70"/>
      <c r="H36" s="70"/>
      <c r="I36" s="70"/>
      <c r="J36" s="70"/>
      <c r="K36" s="70"/>
      <c r="L36" s="70">
        <v>525145.19999999995</v>
      </c>
      <c r="M36" s="70">
        <v>471952.96</v>
      </c>
      <c r="N36" s="70">
        <v>38212.51</v>
      </c>
      <c r="O36" s="70"/>
      <c r="P36" s="70"/>
      <c r="Q36" s="70"/>
      <c r="R36" s="70">
        <v>1035310.6699999999</v>
      </c>
    </row>
    <row r="37" spans="1:18" x14ac:dyDescent="0.35">
      <c r="C37" t="s">
        <v>517</v>
      </c>
      <c r="D37" t="s">
        <v>268</v>
      </c>
      <c r="E37">
        <v>12</v>
      </c>
      <c r="F37" s="70"/>
      <c r="G37" s="70"/>
      <c r="H37" s="70"/>
      <c r="I37" s="70"/>
      <c r="J37" s="70"/>
      <c r="K37" s="70"/>
      <c r="L37" s="70"/>
      <c r="M37" s="70">
        <v>22198</v>
      </c>
      <c r="N37" s="70"/>
      <c r="O37" s="70"/>
      <c r="P37" s="70"/>
      <c r="Q37" s="70"/>
      <c r="R37" s="70">
        <v>22198</v>
      </c>
    </row>
    <row r="38" spans="1:18" x14ac:dyDescent="0.35">
      <c r="B38" t="s">
        <v>518</v>
      </c>
      <c r="D38"/>
      <c r="E38"/>
      <c r="F38" s="70">
        <v>388488.94</v>
      </c>
      <c r="G38" s="70">
        <v>165047</v>
      </c>
      <c r="H38" s="70">
        <v>44126.880000000005</v>
      </c>
      <c r="I38" s="70">
        <v>134021.16999999998</v>
      </c>
      <c r="J38" s="70">
        <v>268244</v>
      </c>
      <c r="K38" s="70">
        <v>233473</v>
      </c>
      <c r="L38" s="70">
        <v>618210.19999999995</v>
      </c>
      <c r="M38" s="70">
        <v>630171.06000000006</v>
      </c>
      <c r="N38" s="70">
        <v>336809.51</v>
      </c>
      <c r="O38" s="70">
        <v>13541.25</v>
      </c>
      <c r="P38" s="70"/>
      <c r="Q38" s="70"/>
      <c r="R38" s="70">
        <v>2832133.01</v>
      </c>
    </row>
    <row r="39" spans="1:18" x14ac:dyDescent="0.35">
      <c r="B39" t="s">
        <v>1616</v>
      </c>
      <c r="C39" t="s">
        <v>511</v>
      </c>
      <c r="D39" t="s">
        <v>268</v>
      </c>
      <c r="E39">
        <v>6</v>
      </c>
      <c r="F39" s="70"/>
      <c r="G39" s="70"/>
      <c r="H39" s="70"/>
      <c r="I39" s="70"/>
      <c r="J39" s="70"/>
      <c r="K39" s="70">
        <v>48755</v>
      </c>
      <c r="L39" s="70"/>
      <c r="M39" s="70"/>
      <c r="N39" s="70"/>
      <c r="O39" s="70"/>
      <c r="P39" s="70"/>
      <c r="Q39" s="70"/>
      <c r="R39" s="70">
        <v>48755</v>
      </c>
    </row>
    <row r="40" spans="1:18" x14ac:dyDescent="0.35">
      <c r="B40" t="s">
        <v>1618</v>
      </c>
      <c r="D40"/>
      <c r="E40"/>
      <c r="F40" s="70"/>
      <c r="G40" s="70"/>
      <c r="H40" s="70"/>
      <c r="I40" s="70"/>
      <c r="J40" s="70"/>
      <c r="K40" s="70">
        <v>48755</v>
      </c>
      <c r="L40" s="70"/>
      <c r="M40" s="70"/>
      <c r="N40" s="70"/>
      <c r="O40" s="70"/>
      <c r="P40" s="70"/>
      <c r="Q40" s="70"/>
      <c r="R40" s="70">
        <v>48755</v>
      </c>
    </row>
    <row r="41" spans="1:18" x14ac:dyDescent="0.35">
      <c r="B41" t="s">
        <v>1617</v>
      </c>
      <c r="C41" t="s">
        <v>513</v>
      </c>
      <c r="D41" t="s">
        <v>268</v>
      </c>
      <c r="E41">
        <v>7</v>
      </c>
      <c r="F41" s="70"/>
      <c r="G41" s="70"/>
      <c r="H41" s="70">
        <v>10003.5</v>
      </c>
      <c r="I41" s="70"/>
      <c r="J41" s="70"/>
      <c r="K41" s="70"/>
      <c r="L41" s="70"/>
      <c r="M41" s="70"/>
      <c r="N41" s="70"/>
      <c r="O41" s="70"/>
      <c r="P41" s="70"/>
      <c r="Q41" s="70"/>
      <c r="R41" s="70">
        <v>10003.5</v>
      </c>
    </row>
    <row r="42" spans="1:18" x14ac:dyDescent="0.35">
      <c r="B42" t="s">
        <v>1619</v>
      </c>
      <c r="D42"/>
      <c r="E42"/>
      <c r="F42" s="70"/>
      <c r="G42" s="70"/>
      <c r="H42" s="70">
        <v>10003.5</v>
      </c>
      <c r="I42" s="70"/>
      <c r="J42" s="70"/>
      <c r="K42" s="70"/>
      <c r="L42" s="70"/>
      <c r="M42" s="70"/>
      <c r="N42" s="70"/>
      <c r="O42" s="70"/>
      <c r="P42" s="70"/>
      <c r="Q42" s="70"/>
      <c r="R42" s="70">
        <v>10003.5</v>
      </c>
    </row>
    <row r="43" spans="1:18" x14ac:dyDescent="0.35">
      <c r="A43" s="224" t="s">
        <v>519</v>
      </c>
      <c r="B43" s="224"/>
      <c r="C43" s="224"/>
      <c r="D43" s="224"/>
      <c r="E43" s="224"/>
      <c r="F43" s="225">
        <v>465758.14</v>
      </c>
      <c r="G43" s="225">
        <v>165047</v>
      </c>
      <c r="H43" s="225">
        <v>58330.380000000005</v>
      </c>
      <c r="I43" s="225">
        <v>220138.32</v>
      </c>
      <c r="J43" s="225">
        <v>421623</v>
      </c>
      <c r="K43" s="225">
        <v>1299213</v>
      </c>
      <c r="L43" s="225">
        <v>1971089.03</v>
      </c>
      <c r="M43" s="225">
        <v>1974942.4400000002</v>
      </c>
      <c r="N43" s="225">
        <v>705568.51</v>
      </c>
      <c r="O43" s="225">
        <v>13541.25</v>
      </c>
      <c r="P43" s="225"/>
      <c r="Q43" s="225"/>
      <c r="R43" s="225">
        <v>7295251.0700000003</v>
      </c>
    </row>
    <row r="44" spans="1:18" x14ac:dyDescent="0.35">
      <c r="A44" t="s">
        <v>309</v>
      </c>
      <c r="B44" t="s">
        <v>59</v>
      </c>
      <c r="C44" t="s">
        <v>520</v>
      </c>
      <c r="D44" t="s">
        <v>268</v>
      </c>
      <c r="E44">
        <v>38</v>
      </c>
      <c r="F44" s="70"/>
      <c r="G44" s="70"/>
      <c r="H44" s="70"/>
      <c r="I44" s="70"/>
      <c r="J44" s="70"/>
      <c r="K44" s="70"/>
      <c r="L44" s="70"/>
      <c r="M44" s="70"/>
      <c r="N44" s="70"/>
      <c r="O44" s="70"/>
      <c r="P44" s="70">
        <v>239023</v>
      </c>
      <c r="Q44" s="70">
        <v>72450.760000000068</v>
      </c>
      <c r="R44" s="70">
        <v>311473.76000000007</v>
      </c>
    </row>
    <row r="45" spans="1:18" x14ac:dyDescent="0.35">
      <c r="C45" t="s">
        <v>521</v>
      </c>
      <c r="D45" t="s">
        <v>268</v>
      </c>
      <c r="E45">
        <v>1</v>
      </c>
      <c r="F45" s="70"/>
      <c r="G45" s="70"/>
      <c r="H45" s="70"/>
      <c r="I45" s="70"/>
      <c r="J45" s="70"/>
      <c r="K45" s="70"/>
      <c r="L45" s="70"/>
      <c r="M45" s="70"/>
      <c r="N45" s="70"/>
      <c r="O45" s="70"/>
      <c r="P45" s="70"/>
      <c r="Q45" s="70">
        <v>6068.79</v>
      </c>
      <c r="R45" s="70">
        <v>6068.79</v>
      </c>
    </row>
    <row r="46" spans="1:18" x14ac:dyDescent="0.35">
      <c r="C46" t="s">
        <v>1564</v>
      </c>
      <c r="D46" t="s">
        <v>268</v>
      </c>
      <c r="E46">
        <v>1</v>
      </c>
      <c r="F46" s="70"/>
      <c r="G46" s="70"/>
      <c r="H46" s="70"/>
      <c r="I46" s="70"/>
      <c r="J46" s="70"/>
      <c r="K46" s="70"/>
      <c r="L46" s="70"/>
      <c r="M46" s="70"/>
      <c r="N46" s="70"/>
      <c r="O46" s="70"/>
      <c r="P46" s="70">
        <v>3454</v>
      </c>
      <c r="Q46" s="70"/>
      <c r="R46" s="70">
        <v>3454</v>
      </c>
    </row>
    <row r="47" spans="1:18" x14ac:dyDescent="0.35">
      <c r="C47" t="s">
        <v>523</v>
      </c>
      <c r="D47" t="s">
        <v>268</v>
      </c>
      <c r="E47">
        <v>1</v>
      </c>
      <c r="F47" s="70"/>
      <c r="G47" s="70"/>
      <c r="H47" s="70"/>
      <c r="I47" s="70"/>
      <c r="J47" s="70"/>
      <c r="K47" s="70"/>
      <c r="L47" s="70"/>
      <c r="M47" s="70"/>
      <c r="N47" s="70"/>
      <c r="O47" s="70"/>
      <c r="P47" s="70">
        <v>5839.5599999999995</v>
      </c>
      <c r="Q47" s="70"/>
      <c r="R47" s="70">
        <v>5839.5599999999995</v>
      </c>
    </row>
    <row r="48" spans="1:18" x14ac:dyDescent="0.35">
      <c r="C48" t="s">
        <v>497</v>
      </c>
      <c r="D48" t="s">
        <v>268</v>
      </c>
      <c r="E48">
        <v>11</v>
      </c>
      <c r="F48" s="70"/>
      <c r="G48" s="70"/>
      <c r="H48" s="70"/>
      <c r="I48" s="70"/>
      <c r="J48" s="70"/>
      <c r="K48" s="70"/>
      <c r="L48" s="70"/>
      <c r="M48" s="70"/>
      <c r="N48" s="70"/>
      <c r="O48" s="70">
        <v>127455</v>
      </c>
      <c r="P48" s="70"/>
      <c r="Q48" s="70"/>
      <c r="R48" s="70">
        <v>127455</v>
      </c>
    </row>
    <row r="49" spans="1:18" x14ac:dyDescent="0.35">
      <c r="B49" t="s">
        <v>501</v>
      </c>
      <c r="D49"/>
      <c r="E49"/>
      <c r="F49" s="70"/>
      <c r="G49" s="70"/>
      <c r="H49" s="70"/>
      <c r="I49" s="70"/>
      <c r="J49" s="70"/>
      <c r="K49" s="70"/>
      <c r="L49" s="70"/>
      <c r="M49" s="70"/>
      <c r="N49" s="70"/>
      <c r="O49" s="70">
        <v>127455</v>
      </c>
      <c r="P49" s="70">
        <v>248316.56</v>
      </c>
      <c r="Q49" s="70">
        <v>78519.550000000061</v>
      </c>
      <c r="R49" s="70">
        <v>454291.11000000004</v>
      </c>
    </row>
    <row r="50" spans="1:18" x14ac:dyDescent="0.35">
      <c r="B50" t="s">
        <v>46</v>
      </c>
      <c r="C50" t="s">
        <v>525</v>
      </c>
      <c r="D50" t="s">
        <v>268</v>
      </c>
      <c r="E50">
        <v>50</v>
      </c>
      <c r="F50" s="70"/>
      <c r="G50" s="70"/>
      <c r="H50" s="70"/>
      <c r="I50" s="70"/>
      <c r="J50" s="70"/>
      <c r="K50" s="70"/>
      <c r="L50" s="70"/>
      <c r="M50" s="70"/>
      <c r="N50" s="70"/>
      <c r="O50" s="70"/>
      <c r="P50" s="70">
        <v>150161</v>
      </c>
      <c r="Q50" s="70">
        <v>57229</v>
      </c>
      <c r="R50" s="70">
        <v>207390</v>
      </c>
    </row>
    <row r="51" spans="1:18" x14ac:dyDescent="0.35">
      <c r="C51" t="s">
        <v>526</v>
      </c>
      <c r="D51" t="s">
        <v>268</v>
      </c>
      <c r="E51">
        <v>7</v>
      </c>
      <c r="F51" s="70"/>
      <c r="G51" s="70"/>
      <c r="H51" s="70"/>
      <c r="I51" s="70"/>
      <c r="J51" s="70"/>
      <c r="K51" s="70"/>
      <c r="L51" s="70"/>
      <c r="M51" s="70"/>
      <c r="N51" s="70"/>
      <c r="O51" s="70"/>
      <c r="P51" s="70"/>
      <c r="Q51" s="70">
        <v>14883.84</v>
      </c>
      <c r="R51" s="70">
        <v>14883.84</v>
      </c>
    </row>
    <row r="52" spans="1:18" x14ac:dyDescent="0.35">
      <c r="C52" t="s">
        <v>527</v>
      </c>
      <c r="D52" t="s">
        <v>268</v>
      </c>
      <c r="E52">
        <v>2</v>
      </c>
      <c r="F52" s="70"/>
      <c r="G52" s="70"/>
      <c r="H52" s="70"/>
      <c r="I52" s="70"/>
      <c r="J52" s="70"/>
      <c r="K52" s="70"/>
      <c r="L52" s="70"/>
      <c r="M52" s="70"/>
      <c r="N52" s="70"/>
      <c r="O52" s="70"/>
      <c r="P52" s="70">
        <v>10410</v>
      </c>
      <c r="Q52" s="70"/>
      <c r="R52" s="70">
        <v>10410</v>
      </c>
    </row>
    <row r="53" spans="1:18" x14ac:dyDescent="0.35">
      <c r="C53" t="s">
        <v>528</v>
      </c>
      <c r="D53" t="s">
        <v>268</v>
      </c>
      <c r="E53">
        <v>5</v>
      </c>
      <c r="F53" s="70"/>
      <c r="G53" s="70"/>
      <c r="H53" s="70"/>
      <c r="I53" s="70"/>
      <c r="J53" s="70"/>
      <c r="K53" s="70"/>
      <c r="L53" s="70"/>
      <c r="M53" s="70"/>
      <c r="N53" s="70"/>
      <c r="O53" s="70"/>
      <c r="P53" s="70">
        <v>17615.419999999998</v>
      </c>
      <c r="Q53" s="70"/>
      <c r="R53" s="70">
        <v>17615.419999999998</v>
      </c>
    </row>
    <row r="54" spans="1:18" x14ac:dyDescent="0.35">
      <c r="C54" t="s">
        <v>529</v>
      </c>
      <c r="D54" t="s">
        <v>268</v>
      </c>
      <c r="E54">
        <v>1</v>
      </c>
      <c r="F54" s="70"/>
      <c r="G54" s="70"/>
      <c r="H54" s="70"/>
      <c r="I54" s="70"/>
      <c r="J54" s="70"/>
      <c r="K54" s="70"/>
      <c r="L54" s="70"/>
      <c r="M54" s="70"/>
      <c r="N54" s="70"/>
      <c r="O54" s="70"/>
      <c r="P54" s="70"/>
      <c r="Q54" s="70">
        <v>3202</v>
      </c>
      <c r="R54" s="70">
        <v>3202</v>
      </c>
    </row>
    <row r="55" spans="1:18" x14ac:dyDescent="0.35">
      <c r="C55" t="s">
        <v>531</v>
      </c>
      <c r="D55" t="s">
        <v>268</v>
      </c>
      <c r="E55">
        <v>15</v>
      </c>
      <c r="F55" s="70"/>
      <c r="G55" s="70"/>
      <c r="H55" s="70"/>
      <c r="I55" s="70"/>
      <c r="J55" s="70"/>
      <c r="K55" s="70"/>
      <c r="L55" s="70"/>
      <c r="M55" s="70"/>
      <c r="N55" s="70"/>
      <c r="O55" s="70"/>
      <c r="P55" s="70">
        <v>64112.41</v>
      </c>
      <c r="Q55" s="70"/>
      <c r="R55" s="70">
        <v>64112.41</v>
      </c>
    </row>
    <row r="56" spans="1:18" x14ac:dyDescent="0.35">
      <c r="C56" t="s">
        <v>532</v>
      </c>
      <c r="D56" t="s">
        <v>268</v>
      </c>
      <c r="E56">
        <v>5</v>
      </c>
      <c r="F56" s="70"/>
      <c r="G56" s="70"/>
      <c r="H56" s="70"/>
      <c r="I56" s="70"/>
      <c r="J56" s="70"/>
      <c r="K56" s="70"/>
      <c r="L56" s="70"/>
      <c r="M56" s="70"/>
      <c r="N56" s="70"/>
      <c r="O56" s="70">
        <v>22890.480000000003</v>
      </c>
      <c r="P56" s="70"/>
      <c r="Q56" s="70"/>
      <c r="R56" s="70">
        <v>22890.480000000003</v>
      </c>
    </row>
    <row r="57" spans="1:18" x14ac:dyDescent="0.35">
      <c r="C57" t="s">
        <v>533</v>
      </c>
      <c r="D57" t="s">
        <v>268</v>
      </c>
      <c r="E57">
        <v>50</v>
      </c>
      <c r="F57" s="70"/>
      <c r="G57" s="70"/>
      <c r="H57" s="70"/>
      <c r="I57" s="70"/>
      <c r="J57" s="70"/>
      <c r="K57" s="70"/>
      <c r="L57" s="70"/>
      <c r="M57" s="70"/>
      <c r="N57" s="70"/>
      <c r="O57" s="70">
        <v>97273</v>
      </c>
      <c r="P57" s="70"/>
      <c r="Q57" s="70"/>
      <c r="R57" s="70">
        <v>97273</v>
      </c>
    </row>
    <row r="58" spans="1:18" x14ac:dyDescent="0.35">
      <c r="C58" t="s">
        <v>534</v>
      </c>
      <c r="D58" t="s">
        <v>268</v>
      </c>
      <c r="E58">
        <v>24</v>
      </c>
      <c r="F58" s="70"/>
      <c r="G58" s="70"/>
      <c r="H58" s="70"/>
      <c r="I58" s="70"/>
      <c r="J58" s="70"/>
      <c r="K58" s="70"/>
      <c r="L58" s="70"/>
      <c r="M58" s="70"/>
      <c r="N58" s="70"/>
      <c r="O58" s="70"/>
      <c r="P58" s="70">
        <v>48791.869999999995</v>
      </c>
      <c r="Q58" s="70"/>
      <c r="R58" s="70">
        <v>48791.869999999995</v>
      </c>
    </row>
    <row r="59" spans="1:18" x14ac:dyDescent="0.35">
      <c r="C59" t="s">
        <v>535</v>
      </c>
      <c r="D59" t="s">
        <v>268</v>
      </c>
      <c r="E59">
        <v>13</v>
      </c>
      <c r="F59" s="70"/>
      <c r="G59" s="70"/>
      <c r="H59" s="70"/>
      <c r="I59" s="70"/>
      <c r="J59" s="70"/>
      <c r="K59" s="70"/>
      <c r="L59" s="70"/>
      <c r="M59" s="70"/>
      <c r="N59" s="70"/>
      <c r="O59" s="70">
        <v>100243</v>
      </c>
      <c r="P59" s="70"/>
      <c r="Q59" s="70"/>
      <c r="R59" s="70">
        <v>100243</v>
      </c>
    </row>
    <row r="60" spans="1:18" x14ac:dyDescent="0.35">
      <c r="B60" t="s">
        <v>518</v>
      </c>
      <c r="D60"/>
      <c r="E60"/>
      <c r="F60" s="70"/>
      <c r="G60" s="70"/>
      <c r="H60" s="70"/>
      <c r="I60" s="70"/>
      <c r="J60" s="70"/>
      <c r="K60" s="70"/>
      <c r="L60" s="70"/>
      <c r="M60" s="70"/>
      <c r="N60" s="70"/>
      <c r="O60" s="70">
        <v>220406.48</v>
      </c>
      <c r="P60" s="70">
        <v>291090.69999999995</v>
      </c>
      <c r="Q60" s="70">
        <v>75314.84</v>
      </c>
      <c r="R60" s="70">
        <v>586812.02</v>
      </c>
    </row>
    <row r="61" spans="1:18" x14ac:dyDescent="0.35">
      <c r="A61" s="224" t="s">
        <v>536</v>
      </c>
      <c r="B61" s="224"/>
      <c r="C61" s="224"/>
      <c r="D61" s="224"/>
      <c r="E61" s="224"/>
      <c r="F61" s="225"/>
      <c r="G61" s="225"/>
      <c r="H61" s="225"/>
      <c r="I61" s="225"/>
      <c r="J61" s="225"/>
      <c r="K61" s="225"/>
      <c r="L61" s="225"/>
      <c r="M61" s="225"/>
      <c r="N61" s="225"/>
      <c r="O61" s="225">
        <v>347861.48</v>
      </c>
      <c r="P61" s="225">
        <v>539407.26</v>
      </c>
      <c r="Q61" s="225">
        <v>153834.39000000004</v>
      </c>
      <c r="R61" s="225">
        <v>1041103.1300000001</v>
      </c>
    </row>
    <row r="62" spans="1:18" x14ac:dyDescent="0.35">
      <c r="A62" t="s">
        <v>477</v>
      </c>
      <c r="B62" t="s">
        <v>46</v>
      </c>
      <c r="C62" t="s">
        <v>1598</v>
      </c>
      <c r="D62" t="s">
        <v>268</v>
      </c>
      <c r="E62">
        <v>3</v>
      </c>
      <c r="F62" s="70"/>
      <c r="G62" s="70"/>
      <c r="H62" s="70"/>
      <c r="I62" s="70"/>
      <c r="J62" s="70"/>
      <c r="K62" s="70"/>
      <c r="L62" s="70"/>
      <c r="M62" s="70"/>
      <c r="N62" s="70"/>
      <c r="O62" s="70"/>
      <c r="P62" s="70"/>
      <c r="Q62" s="70">
        <v>2680</v>
      </c>
      <c r="R62" s="70">
        <v>2680</v>
      </c>
    </row>
    <row r="63" spans="1:18" x14ac:dyDescent="0.35">
      <c r="B63" t="s">
        <v>518</v>
      </c>
      <c r="D63"/>
      <c r="E63"/>
      <c r="F63" s="70"/>
      <c r="G63" s="70"/>
      <c r="H63" s="70"/>
      <c r="I63" s="70"/>
      <c r="J63" s="70"/>
      <c r="K63" s="70"/>
      <c r="L63" s="70"/>
      <c r="M63" s="70"/>
      <c r="N63" s="70"/>
      <c r="O63" s="70"/>
      <c r="P63" s="70"/>
      <c r="Q63" s="70">
        <v>2680</v>
      </c>
      <c r="R63" s="70">
        <v>2680</v>
      </c>
    </row>
    <row r="64" spans="1:18" x14ac:dyDescent="0.35">
      <c r="A64" s="224" t="s">
        <v>1565</v>
      </c>
      <c r="B64" s="224"/>
      <c r="C64" s="224"/>
      <c r="D64" s="224"/>
      <c r="E64" s="224"/>
      <c r="F64" s="225"/>
      <c r="G64" s="225"/>
      <c r="H64" s="225"/>
      <c r="I64" s="225"/>
      <c r="J64" s="225"/>
      <c r="K64" s="225"/>
      <c r="L64" s="225"/>
      <c r="M64" s="225"/>
      <c r="N64" s="225"/>
      <c r="O64" s="225"/>
      <c r="P64" s="225"/>
      <c r="Q64" s="225">
        <v>2680</v>
      </c>
      <c r="R64" s="225">
        <v>2680</v>
      </c>
    </row>
    <row r="65" spans="1:18" x14ac:dyDescent="0.35">
      <c r="A65" t="s">
        <v>484</v>
      </c>
      <c r="D65"/>
      <c r="E65"/>
      <c r="F65" s="70">
        <v>465758.14</v>
      </c>
      <c r="G65" s="70">
        <v>165047</v>
      </c>
      <c r="H65" s="70">
        <v>58330.380000000005</v>
      </c>
      <c r="I65" s="70">
        <v>220138.32</v>
      </c>
      <c r="J65" s="70">
        <v>421623</v>
      </c>
      <c r="K65" s="70">
        <v>1299213</v>
      </c>
      <c r="L65" s="70">
        <v>1971089.03</v>
      </c>
      <c r="M65" s="70">
        <v>1974942.4400000002</v>
      </c>
      <c r="N65" s="70">
        <v>705568.51</v>
      </c>
      <c r="O65" s="70">
        <v>361402.73</v>
      </c>
      <c r="P65" s="70">
        <v>539407.26</v>
      </c>
      <c r="Q65" s="70">
        <v>156514.39000000004</v>
      </c>
      <c r="R65" s="70">
        <v>8339034.2000000002</v>
      </c>
    </row>
    <row r="66" spans="1:18" x14ac:dyDescent="0.35">
      <c r="D66"/>
      <c r="E66"/>
      <c r="G66"/>
      <c r="H66"/>
      <c r="I66"/>
      <c r="J66"/>
    </row>
    <row r="67" spans="1:18" x14ac:dyDescent="0.35">
      <c r="D67"/>
      <c r="E67"/>
      <c r="G67"/>
      <c r="H67"/>
      <c r="I67"/>
      <c r="J67"/>
    </row>
    <row r="68" spans="1:18" x14ac:dyDescent="0.35">
      <c r="D68"/>
      <c r="E68"/>
      <c r="G68"/>
      <c r="H68"/>
      <c r="I68"/>
      <c r="J68"/>
    </row>
    <row r="69" spans="1:18" x14ac:dyDescent="0.35">
      <c r="D69"/>
      <c r="E69"/>
      <c r="G69"/>
      <c r="H69"/>
      <c r="I69"/>
      <c r="J69"/>
    </row>
    <row r="70" spans="1:18" x14ac:dyDescent="0.35">
      <c r="D70"/>
      <c r="E70"/>
      <c r="G70"/>
      <c r="H70"/>
      <c r="I70"/>
      <c r="J70"/>
    </row>
    <row r="71" spans="1:18" x14ac:dyDescent="0.35">
      <c r="D71"/>
      <c r="E71"/>
      <c r="G71"/>
      <c r="H71"/>
      <c r="I71"/>
      <c r="J71"/>
    </row>
    <row r="72" spans="1:18" x14ac:dyDescent="0.35">
      <c r="D72"/>
      <c r="E72"/>
      <c r="G72"/>
      <c r="H72"/>
      <c r="I72"/>
      <c r="J72"/>
    </row>
    <row r="73" spans="1:18" x14ac:dyDescent="0.35">
      <c r="D73"/>
      <c r="E73"/>
      <c r="G73"/>
      <c r="H73"/>
      <c r="I73"/>
      <c r="J73"/>
    </row>
    <row r="74" spans="1:18" x14ac:dyDescent="0.35">
      <c r="D74"/>
      <c r="E74"/>
      <c r="G74"/>
      <c r="H74"/>
      <c r="I74"/>
      <c r="J74"/>
    </row>
    <row r="75" spans="1:18" x14ac:dyDescent="0.35">
      <c r="D75"/>
      <c r="E75"/>
      <c r="G75"/>
      <c r="H75"/>
      <c r="I75"/>
      <c r="J75"/>
    </row>
    <row r="76" spans="1:18" x14ac:dyDescent="0.35">
      <c r="D76"/>
      <c r="E76"/>
      <c r="G76"/>
      <c r="H76"/>
      <c r="I76"/>
      <c r="J76"/>
    </row>
    <row r="77" spans="1:18" x14ac:dyDescent="0.35">
      <c r="D77"/>
      <c r="E77"/>
      <c r="G77"/>
      <c r="H77"/>
      <c r="I77"/>
      <c r="J77"/>
    </row>
    <row r="78" spans="1:18" x14ac:dyDescent="0.35">
      <c r="D78"/>
      <c r="E78"/>
      <c r="G78"/>
      <c r="H78"/>
      <c r="I78"/>
      <c r="J78"/>
    </row>
    <row r="79" spans="1:18" x14ac:dyDescent="0.35">
      <c r="D79"/>
      <c r="E79"/>
      <c r="G79"/>
      <c r="H79"/>
      <c r="I79"/>
      <c r="J79"/>
    </row>
    <row r="80" spans="1:18" x14ac:dyDescent="0.35">
      <c r="D80"/>
      <c r="E80"/>
      <c r="G80"/>
      <c r="H80"/>
      <c r="I80"/>
      <c r="J80"/>
    </row>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sheetData>
  <conditionalFormatting sqref="D1:D1048576">
    <cfRule type="duplicateValues" dxfId="112" priority="10"/>
    <cfRule type="duplicateValues" dxfId="111" priority="11"/>
  </conditionalFormatting>
  <conditionalFormatting sqref="E1:H2 E3:E138 E139:H1048576">
    <cfRule type="cellIs" dxfId="110" priority="13" operator="equal">
      <formula>"no"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C7270-1621-436A-95A9-58C0A366A553}">
  <sheetPr filterMode="1">
    <tabColor rgb="FFFFFF00"/>
  </sheetPr>
  <dimension ref="A1:U22"/>
  <sheetViews>
    <sheetView zoomScale="60" zoomScaleNormal="60" workbookViewId="0">
      <pane xSplit="5" ySplit="2" topLeftCell="F11" activePane="bottomRight" state="frozen"/>
      <selection pane="topRight" activeCell="C1" sqref="C1"/>
      <selection pane="bottomLeft" activeCell="A2" sqref="A2"/>
      <selection pane="bottomRight" activeCell="T17" sqref="T17"/>
    </sheetView>
  </sheetViews>
  <sheetFormatPr defaultColWidth="8.54296875" defaultRowHeight="18.5" outlineLevelCol="1" x14ac:dyDescent="0.35"/>
  <cols>
    <col min="1" max="1" width="8.453125" style="129" hidden="1" customWidth="1"/>
    <col min="2" max="2" width="15.54296875" style="129" hidden="1" customWidth="1" outlineLevel="1"/>
    <col min="3" max="3" width="8.453125" style="129" customWidth="1" collapsed="1"/>
    <col min="4" max="4" width="10.54296875" style="129" customWidth="1"/>
    <col min="5" max="5" width="31.453125" style="136" customWidth="1"/>
    <col min="6" max="6" width="35.453125" style="129" customWidth="1"/>
    <col min="7" max="7" width="85.54296875" style="129" customWidth="1"/>
    <col min="8" max="8" width="15.453125" style="138" customWidth="1" outlineLevel="1"/>
    <col min="9" max="11" width="10.453125" style="129" customWidth="1" outlineLevel="1"/>
    <col min="12" max="13" width="15.54296875" style="129" customWidth="1" outlineLevel="1"/>
    <col min="14" max="14" width="16.54296875" style="129" customWidth="1" outlineLevel="1"/>
    <col min="15" max="15" width="12.453125" style="136" customWidth="1"/>
    <col min="16" max="16" width="14" style="129" hidden="1" customWidth="1"/>
    <col min="17" max="17" width="14" style="141" customWidth="1"/>
    <col min="18" max="18" width="20.453125" style="129" hidden="1" customWidth="1"/>
    <col min="19" max="19" width="14" style="129" customWidth="1"/>
    <col min="20" max="20" width="41.453125" style="129" customWidth="1"/>
    <col min="21" max="21" width="46.453125" style="129" customWidth="1"/>
    <col min="22" max="16384" width="8.54296875" style="129"/>
  </cols>
  <sheetData>
    <row r="1" spans="1:21" x14ac:dyDescent="0.35">
      <c r="D1" s="129" t="e">
        <f>VLOOKUP(B1,Detail!A:J,9,0)</f>
        <v>#N/A</v>
      </c>
      <c r="H1" s="138" t="e">
        <f>VLOOKUP(B1,Detail!A:T,23,0)</f>
        <v>#N/A</v>
      </c>
      <c r="I1" s="129" t="e">
        <f>VLOOKUP(B1,Detail!A:S,22,0)</f>
        <v>#N/A</v>
      </c>
      <c r="J1" s="129" t="e">
        <f>VLOOKUP(B1,Detail!A:M,15,0)</f>
        <v>#N/A</v>
      </c>
      <c r="K1" s="129" t="e">
        <f>VLOOKUP(B1,Detail!A:N,17,0)</f>
        <v>#N/A</v>
      </c>
      <c r="L1" s="129" t="e">
        <f>VLOOKUP(B1,Detail!A:AD,32,0)</f>
        <v>#N/A</v>
      </c>
      <c r="M1" s="129" t="e">
        <f>VLOOKUP(B1,Detail!A:AF,34,0)</f>
        <v>#N/A</v>
      </c>
      <c r="N1" s="163" t="e">
        <f>VLOOKUP(B1,Detail!A:V,25,0)</f>
        <v>#N/A</v>
      </c>
    </row>
    <row r="2" spans="1:21" s="152" customFormat="1" ht="51" customHeight="1" x14ac:dyDescent="0.35">
      <c r="A2" s="128" t="s">
        <v>0</v>
      </c>
      <c r="B2" s="128"/>
      <c r="C2" s="147" t="s">
        <v>211</v>
      </c>
      <c r="D2" s="147" t="s">
        <v>218</v>
      </c>
      <c r="E2" s="147" t="s">
        <v>216</v>
      </c>
      <c r="F2" s="147" t="s">
        <v>537</v>
      </c>
      <c r="G2" s="147" t="s">
        <v>538</v>
      </c>
      <c r="H2" s="148" t="s">
        <v>539</v>
      </c>
      <c r="I2" s="149" t="s">
        <v>540</v>
      </c>
      <c r="J2" s="149" t="s">
        <v>541</v>
      </c>
      <c r="K2" s="149" t="s">
        <v>542</v>
      </c>
      <c r="L2" s="149" t="s">
        <v>543</v>
      </c>
      <c r="M2" s="149" t="s">
        <v>544</v>
      </c>
      <c r="N2" s="149" t="s">
        <v>545</v>
      </c>
      <c r="O2" s="147" t="s">
        <v>546</v>
      </c>
      <c r="P2" s="150" t="s">
        <v>547</v>
      </c>
      <c r="Q2" s="151" t="s">
        <v>548</v>
      </c>
      <c r="R2" s="150" t="s">
        <v>549</v>
      </c>
      <c r="S2" s="150" t="s">
        <v>218</v>
      </c>
      <c r="T2" s="147" t="s">
        <v>550</v>
      </c>
      <c r="U2" s="147" t="s">
        <v>551</v>
      </c>
    </row>
    <row r="3" spans="1:21" ht="175.4" hidden="1" customHeight="1" x14ac:dyDescent="0.35">
      <c r="A3" s="130"/>
      <c r="B3" s="130"/>
      <c r="C3" s="130"/>
      <c r="D3" s="130"/>
      <c r="E3" s="135" t="s">
        <v>552</v>
      </c>
      <c r="F3" s="130" t="s">
        <v>553</v>
      </c>
      <c r="G3" s="135" t="s">
        <v>554</v>
      </c>
      <c r="H3" s="137">
        <v>2416687.2400000002</v>
      </c>
      <c r="I3" s="130">
        <v>26</v>
      </c>
      <c r="J3" s="130" t="s">
        <v>53</v>
      </c>
      <c r="K3" s="130" t="s">
        <v>73</v>
      </c>
      <c r="L3" s="130" t="s">
        <v>56</v>
      </c>
      <c r="M3" s="130" t="s">
        <v>56</v>
      </c>
      <c r="N3" s="135" t="s">
        <v>555</v>
      </c>
      <c r="O3" s="135" t="s">
        <v>556</v>
      </c>
      <c r="P3" s="130" t="s">
        <v>557</v>
      </c>
      <c r="Q3" s="145"/>
      <c r="R3" s="130"/>
      <c r="S3" s="130" t="s">
        <v>558</v>
      </c>
      <c r="T3" s="130"/>
    </row>
    <row r="4" spans="1:21" ht="122.9" hidden="1" customHeight="1" x14ac:dyDescent="0.35">
      <c r="A4" s="130">
        <v>11</v>
      </c>
      <c r="B4" s="130"/>
      <c r="C4" s="130"/>
      <c r="D4" s="130"/>
      <c r="E4" s="318" t="s">
        <v>559</v>
      </c>
      <c r="F4" s="319" t="s">
        <v>560</v>
      </c>
      <c r="G4" s="130" t="s">
        <v>561</v>
      </c>
      <c r="H4" s="320">
        <v>1022212.16</v>
      </c>
      <c r="I4" s="323">
        <v>4</v>
      </c>
      <c r="J4" s="323" t="s">
        <v>53</v>
      </c>
      <c r="K4" s="323" t="s">
        <v>53</v>
      </c>
      <c r="L4" s="323" t="s">
        <v>56</v>
      </c>
      <c r="M4" s="323" t="s">
        <v>56</v>
      </c>
      <c r="N4" s="318" t="s">
        <v>562</v>
      </c>
      <c r="O4" s="135" t="s">
        <v>563</v>
      </c>
      <c r="P4" s="130"/>
      <c r="Q4" s="145"/>
      <c r="R4" s="130"/>
      <c r="S4" s="130" t="s">
        <v>558</v>
      </c>
      <c r="T4" s="130"/>
    </row>
    <row r="5" spans="1:21" ht="74.900000000000006" hidden="1" customHeight="1" x14ac:dyDescent="0.35">
      <c r="A5" s="130"/>
      <c r="B5" s="130"/>
      <c r="C5" s="130"/>
      <c r="D5" s="130"/>
      <c r="E5" s="318"/>
      <c r="F5" s="319"/>
      <c r="G5" s="130" t="s">
        <v>564</v>
      </c>
      <c r="H5" s="320"/>
      <c r="I5" s="323"/>
      <c r="J5" s="323"/>
      <c r="K5" s="323"/>
      <c r="L5" s="323"/>
      <c r="M5" s="323"/>
      <c r="N5" s="318"/>
      <c r="O5" s="135" t="s">
        <v>565</v>
      </c>
      <c r="P5" s="130"/>
      <c r="Q5" s="145"/>
      <c r="R5" s="130"/>
      <c r="S5" s="130" t="s">
        <v>558</v>
      </c>
      <c r="T5" s="130"/>
    </row>
    <row r="6" spans="1:21" ht="74.900000000000006" hidden="1" customHeight="1" x14ac:dyDescent="0.35">
      <c r="A6" s="130"/>
      <c r="B6" s="130"/>
      <c r="C6" s="130"/>
      <c r="D6" s="130"/>
      <c r="E6" s="318"/>
      <c r="F6" s="319"/>
      <c r="G6" s="130" t="s">
        <v>566</v>
      </c>
      <c r="H6" s="320"/>
      <c r="I6" s="323"/>
      <c r="J6" s="323"/>
      <c r="K6" s="323"/>
      <c r="L6" s="323"/>
      <c r="M6" s="323"/>
      <c r="N6" s="318"/>
      <c r="O6" s="135" t="s">
        <v>556</v>
      </c>
      <c r="P6" s="130"/>
      <c r="Q6" s="145"/>
      <c r="R6" s="130"/>
      <c r="S6" s="130" t="s">
        <v>558</v>
      </c>
      <c r="T6" s="130"/>
    </row>
    <row r="7" spans="1:21" s="130" customFormat="1" ht="79.400000000000006" hidden="1" customHeight="1" x14ac:dyDescent="0.35">
      <c r="A7" s="130">
        <v>13</v>
      </c>
      <c r="E7" s="135" t="s">
        <v>567</v>
      </c>
      <c r="F7" s="130" t="s">
        <v>568</v>
      </c>
      <c r="G7" s="159" t="s">
        <v>569</v>
      </c>
      <c r="H7" s="137">
        <v>13096.1</v>
      </c>
      <c r="I7" s="130">
        <v>11</v>
      </c>
      <c r="J7" s="130" t="s">
        <v>53</v>
      </c>
      <c r="K7" s="130" t="s">
        <v>53</v>
      </c>
      <c r="L7" s="130" t="s">
        <v>570</v>
      </c>
      <c r="M7" s="130" t="s">
        <v>570</v>
      </c>
      <c r="N7" s="135" t="s">
        <v>571</v>
      </c>
      <c r="O7" s="135" t="s">
        <v>572</v>
      </c>
      <c r="P7" s="130" t="s">
        <v>557</v>
      </c>
      <c r="Q7" s="145"/>
      <c r="S7" s="130" t="s">
        <v>558</v>
      </c>
      <c r="T7" s="130" t="s">
        <v>557</v>
      </c>
    </row>
    <row r="8" spans="1:21" s="130" customFormat="1" ht="103.4" hidden="1" customHeight="1" x14ac:dyDescent="0.35">
      <c r="E8" s="318" t="s">
        <v>573</v>
      </c>
      <c r="F8" s="319" t="s">
        <v>574</v>
      </c>
      <c r="G8" s="135" t="s">
        <v>575</v>
      </c>
      <c r="H8" s="320">
        <v>14470.66</v>
      </c>
      <c r="I8" s="323">
        <v>11</v>
      </c>
      <c r="J8" s="323" t="s">
        <v>53</v>
      </c>
      <c r="K8" s="323" t="s">
        <v>53</v>
      </c>
      <c r="L8" s="319" t="s">
        <v>56</v>
      </c>
      <c r="M8" s="319" t="s">
        <v>56</v>
      </c>
      <c r="N8" s="321">
        <v>46149</v>
      </c>
      <c r="O8" s="135" t="s">
        <v>572</v>
      </c>
      <c r="Q8" s="145">
        <v>46128</v>
      </c>
      <c r="S8" s="130" t="s">
        <v>558</v>
      </c>
      <c r="T8" s="130" t="e" vm="1">
        <v>#VALUE!</v>
      </c>
    </row>
    <row r="9" spans="1:21" s="130" customFormat="1" ht="103.4" hidden="1" customHeight="1" x14ac:dyDescent="0.35">
      <c r="E9" s="318"/>
      <c r="F9" s="319"/>
      <c r="G9" s="135" t="s">
        <v>576</v>
      </c>
      <c r="H9" s="320"/>
      <c r="I9" s="323"/>
      <c r="J9" s="323"/>
      <c r="K9" s="323"/>
      <c r="L9" s="319"/>
      <c r="M9" s="319"/>
      <c r="N9" s="322"/>
      <c r="O9" s="135" t="s">
        <v>577</v>
      </c>
      <c r="Q9" s="145">
        <v>46128</v>
      </c>
      <c r="S9" s="130" t="s">
        <v>558</v>
      </c>
    </row>
    <row r="10" spans="1:21" s="130" customFormat="1" ht="103.4" hidden="1" customHeight="1" x14ac:dyDescent="0.35">
      <c r="E10" s="318"/>
      <c r="F10" s="164" t="s">
        <v>578</v>
      </c>
      <c r="G10" s="135" t="s">
        <v>579</v>
      </c>
      <c r="H10" s="320"/>
      <c r="I10" s="323"/>
      <c r="J10" s="323"/>
      <c r="K10" s="323"/>
      <c r="L10" s="319"/>
      <c r="M10" s="319"/>
      <c r="N10" s="322"/>
      <c r="O10" s="135" t="s">
        <v>565</v>
      </c>
      <c r="Q10" s="145">
        <v>46136</v>
      </c>
      <c r="S10" s="130" t="s">
        <v>558</v>
      </c>
    </row>
    <row r="11" spans="1:21" s="130" customFormat="1" ht="134.15" customHeight="1" x14ac:dyDescent="0.35">
      <c r="B11" s="130" t="str">
        <f>E8&amp;'MOM Project'!C11</f>
        <v>2026-BROOKFIELD-PARK HYATT VANCOUVER
NPD</v>
      </c>
      <c r="C11" s="130" t="s">
        <v>323</v>
      </c>
      <c r="D11" s="130" t="s">
        <v>309</v>
      </c>
      <c r="E11" s="318"/>
      <c r="F11" s="130" t="s">
        <v>580</v>
      </c>
      <c r="G11" s="135" t="s">
        <v>581</v>
      </c>
      <c r="H11" s="320"/>
      <c r="I11" s="323"/>
      <c r="J11" s="323"/>
      <c r="K11" s="323"/>
      <c r="L11" s="319"/>
      <c r="M11" s="319"/>
      <c r="N11" s="322"/>
      <c r="O11" s="135" t="s">
        <v>556</v>
      </c>
      <c r="Q11" s="145">
        <v>46147</v>
      </c>
      <c r="S11" s="130" t="s">
        <v>558</v>
      </c>
    </row>
    <row r="12" spans="1:21" ht="85.4" hidden="1" customHeight="1" x14ac:dyDescent="0.35">
      <c r="A12" s="129">
        <v>20</v>
      </c>
      <c r="E12" s="316" t="s">
        <v>582</v>
      </c>
      <c r="F12" s="317" t="s">
        <v>583</v>
      </c>
      <c r="G12" s="129" t="s">
        <v>584</v>
      </c>
      <c r="H12" s="138">
        <v>198023</v>
      </c>
      <c r="I12" s="129">
        <v>37</v>
      </c>
      <c r="J12" s="129" t="s">
        <v>53</v>
      </c>
      <c r="K12" s="129" t="s">
        <v>53</v>
      </c>
      <c r="L12" s="129" t="s">
        <v>56</v>
      </c>
      <c r="M12" s="129" t="s">
        <v>56</v>
      </c>
      <c r="N12" s="135" t="s">
        <v>585</v>
      </c>
      <c r="O12" s="135" t="s">
        <v>572</v>
      </c>
      <c r="P12" s="130"/>
      <c r="Q12" s="145"/>
      <c r="R12" s="130"/>
      <c r="S12" s="132" t="s">
        <v>586</v>
      </c>
    </row>
    <row r="13" spans="1:21" ht="115.4" hidden="1" customHeight="1" x14ac:dyDescent="0.35">
      <c r="E13" s="316"/>
      <c r="F13" s="317"/>
      <c r="G13" s="129" t="s">
        <v>587</v>
      </c>
      <c r="H13" s="138">
        <v>198023</v>
      </c>
      <c r="I13" s="129">
        <v>37</v>
      </c>
      <c r="J13" s="129" t="s">
        <v>53</v>
      </c>
      <c r="K13" s="129" t="s">
        <v>53</v>
      </c>
      <c r="L13" s="129" t="s">
        <v>56</v>
      </c>
      <c r="M13" s="129" t="s">
        <v>56</v>
      </c>
      <c r="N13" s="135" t="s">
        <v>585</v>
      </c>
      <c r="O13" s="136" t="s">
        <v>563</v>
      </c>
      <c r="S13" s="132" t="s">
        <v>586</v>
      </c>
    </row>
    <row r="14" spans="1:21" ht="61.4" hidden="1" customHeight="1" x14ac:dyDescent="0.35">
      <c r="E14" s="136" t="s">
        <v>588</v>
      </c>
      <c r="F14" s="162" t="s">
        <v>589</v>
      </c>
      <c r="G14" s="129" t="s">
        <v>590</v>
      </c>
      <c r="H14" s="138">
        <v>93065.64</v>
      </c>
      <c r="I14" s="129">
        <v>20</v>
      </c>
      <c r="J14" s="129" t="s">
        <v>53</v>
      </c>
      <c r="K14" s="129" t="s">
        <v>53</v>
      </c>
      <c r="L14" s="129" t="s">
        <v>56</v>
      </c>
      <c r="M14" s="129" t="s">
        <v>56</v>
      </c>
      <c r="N14" s="161" t="s">
        <v>591</v>
      </c>
      <c r="O14" s="136" t="s">
        <v>592</v>
      </c>
      <c r="Q14" s="145">
        <v>46132</v>
      </c>
      <c r="S14" s="132" t="s">
        <v>586</v>
      </c>
    </row>
    <row r="15" spans="1:21" ht="80.150000000000006" hidden="1" customHeight="1" x14ac:dyDescent="0.35">
      <c r="E15" s="136" t="s">
        <v>593</v>
      </c>
      <c r="F15" s="162" t="s">
        <v>594</v>
      </c>
      <c r="G15" s="129" t="s">
        <v>595</v>
      </c>
      <c r="H15" s="138">
        <v>48755</v>
      </c>
      <c r="I15" s="129">
        <v>6</v>
      </c>
      <c r="J15" s="129" t="s">
        <v>53</v>
      </c>
      <c r="K15" s="129" t="s">
        <v>53</v>
      </c>
      <c r="L15" s="129" t="s">
        <v>56</v>
      </c>
      <c r="M15" s="129" t="s">
        <v>56</v>
      </c>
      <c r="N15" s="129" t="s">
        <v>596</v>
      </c>
      <c r="O15" s="136" t="s">
        <v>572</v>
      </c>
      <c r="Q15" s="141">
        <v>46128</v>
      </c>
      <c r="S15" s="132" t="s">
        <v>586</v>
      </c>
      <c r="T15" s="160" t="e" vm="2">
        <v>#VALUE!</v>
      </c>
    </row>
    <row r="16" spans="1:21" ht="80.150000000000006" customHeight="1" x14ac:dyDescent="0.35">
      <c r="F16" s="162" t="s">
        <v>597</v>
      </c>
      <c r="G16" s="144" t="s">
        <v>598</v>
      </c>
      <c r="H16" s="205"/>
      <c r="I16" s="206"/>
      <c r="J16" s="206"/>
      <c r="K16" s="206"/>
      <c r="L16" s="164"/>
      <c r="M16" s="164"/>
      <c r="N16" s="204"/>
      <c r="O16" s="136" t="s">
        <v>599</v>
      </c>
      <c r="S16" s="130" t="s">
        <v>600</v>
      </c>
      <c r="T16" s="207" t="e" vm="3">
        <v>#VALUE!</v>
      </c>
    </row>
    <row r="17" spans="2:19" ht="167.15" customHeight="1" x14ac:dyDescent="0.35">
      <c r="B17" s="130" t="str">
        <f>E17&amp;C17</f>
        <v>2026-RH-ROSEWOOD CALISTOGANPI</v>
      </c>
      <c r="C17" s="129" t="s">
        <v>268</v>
      </c>
      <c r="D17" s="129">
        <f>VLOOKUP(B17,Detail!A:J,9,0)</f>
        <v>1</v>
      </c>
      <c r="E17" s="161" t="s">
        <v>601</v>
      </c>
      <c r="F17" s="162" t="s">
        <v>602</v>
      </c>
      <c r="G17" s="144" t="s">
        <v>603</v>
      </c>
      <c r="H17" s="138" t="e">
        <f>VLOOKUP(B17,Detail!A:T,23,0)</f>
        <v>#REF!</v>
      </c>
      <c r="I17" s="129" t="e">
        <f>VLOOKUP(B17,Detail!A:S,22,0)</f>
        <v>#REF!</v>
      </c>
      <c r="J17" s="129" t="e">
        <f>VLOOKUP(B17,Detail!A:M,15,0)</f>
        <v>#REF!</v>
      </c>
      <c r="K17" s="129" t="e">
        <f>VLOOKUP(B17,Detail!A:N,17,0)</f>
        <v>#REF!</v>
      </c>
      <c r="L17" s="129" t="e">
        <f>VLOOKUP(B17,Detail!A:AD,32,0)</f>
        <v>#REF!</v>
      </c>
      <c r="M17" s="129" t="e">
        <f>VLOOKUP(B17,Detail!A:AF,34,0)</f>
        <v>#REF!</v>
      </c>
      <c r="N17" s="163" t="e">
        <f>VLOOKUP(B17,Detail!A:V,25,0)</f>
        <v>#REF!</v>
      </c>
      <c r="O17" s="136" t="s">
        <v>577</v>
      </c>
      <c r="Q17" s="145">
        <v>46147</v>
      </c>
      <c r="S17" s="129" t="s">
        <v>600</v>
      </c>
    </row>
    <row r="18" spans="2:19" ht="87.65" customHeight="1" x14ac:dyDescent="0.35">
      <c r="B18" s="130" t="str">
        <f>E18&amp;C18</f>
        <v>2026-RH-VICEROY SUGAR BEACH - ASH WOOD VERSIONNPI</v>
      </c>
      <c r="C18" s="129" t="s">
        <v>268</v>
      </c>
      <c r="D18" s="129">
        <f>VLOOKUP(B18,Detail!A:J,9,0)</f>
        <v>1</v>
      </c>
      <c r="E18" s="161" t="s">
        <v>524</v>
      </c>
      <c r="F18" s="162" t="s">
        <v>604</v>
      </c>
      <c r="G18" s="129" t="s">
        <v>605</v>
      </c>
      <c r="H18" s="138" t="e">
        <f>VLOOKUP(B18,Detail!A:T,23,0)</f>
        <v>#REF!</v>
      </c>
      <c r="I18" s="129" t="e">
        <f>VLOOKUP(B18,Detail!A:S,22,0)</f>
        <v>#REF!</v>
      </c>
      <c r="J18" s="129" t="e">
        <f>VLOOKUP(B18,Detail!A:M,15,0)</f>
        <v>#REF!</v>
      </c>
      <c r="K18" s="129" t="e">
        <f>VLOOKUP(B18,Detail!A:N,17,0)</f>
        <v>#REF!</v>
      </c>
      <c r="L18" s="129" t="e">
        <f>VLOOKUP(B18,Detail!A:AD,32,0)</f>
        <v>#REF!</v>
      </c>
      <c r="M18" s="129" t="e">
        <f>VLOOKUP(B18,Detail!A:AF,34,0)</f>
        <v>#REF!</v>
      </c>
      <c r="N18" s="163" t="s">
        <v>606</v>
      </c>
      <c r="O18" s="136" t="s">
        <v>607</v>
      </c>
      <c r="Q18" s="145" t="s">
        <v>149</v>
      </c>
      <c r="S18" s="129" t="s">
        <v>600</v>
      </c>
    </row>
    <row r="19" spans="2:19" ht="135.65" hidden="1" customHeight="1" x14ac:dyDescent="0.35">
      <c r="E19" s="136" t="s">
        <v>608</v>
      </c>
      <c r="F19" s="129" t="s">
        <v>609</v>
      </c>
      <c r="G19" s="144" t="s">
        <v>610</v>
      </c>
      <c r="H19" s="138">
        <v>48755</v>
      </c>
      <c r="I19" s="129">
        <v>6</v>
      </c>
      <c r="J19" s="129" t="s">
        <v>53</v>
      </c>
      <c r="K19" s="129" t="s">
        <v>73</v>
      </c>
      <c r="L19" s="129" t="s">
        <v>56</v>
      </c>
      <c r="M19" s="129" t="s">
        <v>56</v>
      </c>
      <c r="N19" s="136" t="s">
        <v>611</v>
      </c>
      <c r="O19" s="136" t="s">
        <v>572</v>
      </c>
      <c r="Q19" s="145">
        <v>46134</v>
      </c>
      <c r="S19" s="129" t="s">
        <v>586</v>
      </c>
    </row>
    <row r="20" spans="2:19" hidden="1" x14ac:dyDescent="0.35">
      <c r="E20" s="136" t="s">
        <v>612</v>
      </c>
    </row>
    <row r="21" spans="2:19" ht="75" customHeight="1" x14ac:dyDescent="0.35">
      <c r="B21" s="130" t="str">
        <f t="shared" ref="B21:B22" si="0">E21&amp;C21</f>
        <v/>
      </c>
      <c r="G21" s="129" t="s">
        <v>613</v>
      </c>
      <c r="O21" s="136" t="s">
        <v>577</v>
      </c>
      <c r="Q21" s="145" t="s">
        <v>149</v>
      </c>
      <c r="S21" s="129" t="s">
        <v>600</v>
      </c>
    </row>
    <row r="22" spans="2:19" ht="134.15" customHeight="1" x14ac:dyDescent="0.35">
      <c r="B22" s="130" t="str">
        <f t="shared" si="0"/>
        <v>2026-TRIMA KASI-JRHNPI</v>
      </c>
      <c r="C22" s="129" t="s">
        <v>268</v>
      </c>
      <c r="D22" s="129" t="e">
        <f>VLOOKUP(B22,Detail!A:J,9,0)</f>
        <v>#N/A</v>
      </c>
      <c r="E22" s="136" t="s">
        <v>614</v>
      </c>
      <c r="F22" s="129" t="s">
        <v>615</v>
      </c>
      <c r="G22" s="129" t="s">
        <v>616</v>
      </c>
      <c r="H22" s="138" t="e">
        <f>VLOOKUP(B22,Detail!A:T,23,0)</f>
        <v>#N/A</v>
      </c>
      <c r="I22" s="129" t="e">
        <f>VLOOKUP(B22,Detail!A:S,22,0)</f>
        <v>#N/A</v>
      </c>
      <c r="J22" s="129" t="e">
        <f>VLOOKUP(B22,Detail!A:M,15,0)</f>
        <v>#N/A</v>
      </c>
      <c r="K22" s="129" t="e">
        <f>VLOOKUP(B22,Detail!A:N,17,0)</f>
        <v>#N/A</v>
      </c>
      <c r="L22" s="129" t="e">
        <f>VLOOKUP(B22,Detail!A:AD,32,0)</f>
        <v>#N/A</v>
      </c>
      <c r="M22" s="129" t="e">
        <f>VLOOKUP(B22,Detail!A:AF,34,0)</f>
        <v>#N/A</v>
      </c>
      <c r="N22" s="163" t="s">
        <v>617</v>
      </c>
      <c r="O22" s="136" t="s">
        <v>618</v>
      </c>
      <c r="Q22" s="145">
        <v>46135</v>
      </c>
      <c r="S22" s="129" t="s">
        <v>600</v>
      </c>
    </row>
  </sheetData>
  <autoFilter ref="A2:T22" xr:uid="{9EFC7270-1621-436A-95A9-58C0A366A553}">
    <filterColumn colId="18">
      <filters>
        <filter val="Open"/>
      </filters>
    </filterColumn>
  </autoFilter>
  <mergeCells count="20">
    <mergeCell ref="N8:N11"/>
    <mergeCell ref="E8:E11"/>
    <mergeCell ref="H8:H11"/>
    <mergeCell ref="I8:I11"/>
    <mergeCell ref="L4:L6"/>
    <mergeCell ref="M4:M6"/>
    <mergeCell ref="N4:N6"/>
    <mergeCell ref="I4:I6"/>
    <mergeCell ref="J4:J6"/>
    <mergeCell ref="K4:K6"/>
    <mergeCell ref="J8:J11"/>
    <mergeCell ref="K8:K11"/>
    <mergeCell ref="L8:L11"/>
    <mergeCell ref="M8:M11"/>
    <mergeCell ref="E12:E13"/>
    <mergeCell ref="F12:F13"/>
    <mergeCell ref="E4:E6"/>
    <mergeCell ref="F4:F6"/>
    <mergeCell ref="H4:H6"/>
    <mergeCell ref="F8:F9"/>
  </mergeCells>
  <conditionalFormatting sqref="S1:S1048576">
    <cfRule type="cellIs" dxfId="109" priority="6" operator="equal">
      <formula>"Open"</formula>
    </cfRule>
    <cfRule type="cellIs" dxfId="108" priority="7" operator="equal">
      <formula>"Done"</formula>
    </cfRule>
    <cfRule type="cellIs" dxfId="107" priority="8" operator="equal">
      <formula>"On track"</formula>
    </cfRule>
    <cfRule type="cellIs" dxfId="106" priority="9" operator="equal">
      <formula>"Open"</formula>
    </cfRule>
    <cfRule type="cellIs" dxfId="105" priority="10" operator="equal">
      <formula>"Done"</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A03697D-012A-49D6-8CF3-D48A992DC4DA}">
          <x14:formula1>
            <xm:f>'Drop list'!#REF!</xm:f>
          </x14:formula1>
          <xm:sqref>S2 S17:S1048576 S12:S15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18AC2-5488-4975-83F5-E84E1082A37E}">
  <sheetPr filterMode="1">
    <tabColor rgb="FFFFFF00"/>
  </sheetPr>
  <dimension ref="A1:R36"/>
  <sheetViews>
    <sheetView zoomScale="50" zoomScaleNormal="50" workbookViewId="0">
      <pane xSplit="2" ySplit="1" topLeftCell="C18" activePane="bottomRight" state="frozen"/>
      <selection pane="topRight" activeCell="C1" sqref="C1"/>
      <selection pane="bottomLeft" activeCell="A2" sqref="A2"/>
      <selection pane="bottomRight" activeCell="D34" sqref="D34"/>
    </sheetView>
  </sheetViews>
  <sheetFormatPr defaultColWidth="8.54296875" defaultRowHeight="18.5" outlineLevelCol="1" x14ac:dyDescent="0.35"/>
  <cols>
    <col min="1" max="1" width="8.453125" style="129" hidden="1" customWidth="1"/>
    <col min="2" max="2" width="31.453125" style="136" customWidth="1"/>
    <col min="3" max="3" width="49" style="129" customWidth="1"/>
    <col min="4" max="4" width="85.54296875" style="129" customWidth="1"/>
    <col min="5" max="5" width="15.453125" style="138" customWidth="1" outlineLevel="1"/>
    <col min="6" max="8" width="10.453125" style="129" customWidth="1" outlineLevel="1"/>
    <col min="9" max="10" width="15.54296875" style="129" customWidth="1" outlineLevel="1"/>
    <col min="11" max="11" width="12.453125" style="129" customWidth="1" outlineLevel="1"/>
    <col min="12" max="12" width="12.453125" style="136" customWidth="1"/>
    <col min="13" max="13" width="14" style="129" customWidth="1"/>
    <col min="14" max="14" width="14" style="141" customWidth="1"/>
    <col min="15" max="15" width="15.54296875" style="129" customWidth="1"/>
    <col min="16" max="16" width="14" style="129" customWidth="1"/>
    <col min="17" max="17" width="35.54296875" style="129" customWidth="1"/>
    <col min="18" max="18" width="46.453125" style="129" customWidth="1"/>
    <col min="19" max="16384" width="8.54296875" style="129"/>
  </cols>
  <sheetData>
    <row r="1" spans="1:18" s="152" customFormat="1" ht="51" customHeight="1" x14ac:dyDescent="0.35">
      <c r="A1" s="128" t="s">
        <v>0</v>
      </c>
      <c r="B1" s="147" t="s">
        <v>619</v>
      </c>
      <c r="C1" s="147" t="s">
        <v>537</v>
      </c>
      <c r="D1" s="147" t="s">
        <v>538</v>
      </c>
      <c r="E1" s="148" t="s">
        <v>539</v>
      </c>
      <c r="F1" s="149" t="s">
        <v>540</v>
      </c>
      <c r="G1" s="149" t="s">
        <v>541</v>
      </c>
      <c r="H1" s="149" t="s">
        <v>542</v>
      </c>
      <c r="I1" s="149" t="s">
        <v>543</v>
      </c>
      <c r="J1" s="149" t="s">
        <v>544</v>
      </c>
      <c r="K1" s="149" t="s">
        <v>545</v>
      </c>
      <c r="L1" s="147" t="s">
        <v>546</v>
      </c>
      <c r="M1" s="150" t="s">
        <v>547</v>
      </c>
      <c r="N1" s="151" t="s">
        <v>548</v>
      </c>
      <c r="O1" s="150" t="s">
        <v>549</v>
      </c>
      <c r="P1" s="150" t="s">
        <v>218</v>
      </c>
      <c r="Q1" s="147" t="s">
        <v>550</v>
      </c>
      <c r="R1" s="147" t="s">
        <v>551</v>
      </c>
    </row>
    <row r="2" spans="1:18" s="130" customFormat="1" ht="77.900000000000006" hidden="1" customHeight="1" x14ac:dyDescent="0.35">
      <c r="A2" s="130">
        <v>1</v>
      </c>
      <c r="B2" s="135" t="s">
        <v>620</v>
      </c>
      <c r="C2" s="130" t="s">
        <v>621</v>
      </c>
      <c r="D2" s="165" t="s">
        <v>622</v>
      </c>
      <c r="E2" s="137">
        <v>232220</v>
      </c>
      <c r="F2" s="130">
        <v>35</v>
      </c>
      <c r="G2" s="130" t="s">
        <v>53</v>
      </c>
      <c r="H2" s="130" t="s">
        <v>53</v>
      </c>
      <c r="I2" s="130" t="s">
        <v>570</v>
      </c>
      <c r="J2" s="130" t="s">
        <v>570</v>
      </c>
      <c r="K2" s="130" t="s">
        <v>623</v>
      </c>
      <c r="L2" s="130" t="s">
        <v>577</v>
      </c>
      <c r="M2" s="130" t="s">
        <v>557</v>
      </c>
      <c r="N2" s="139">
        <v>46116</v>
      </c>
      <c r="O2" s="130" t="s">
        <v>557</v>
      </c>
      <c r="P2" s="130" t="s">
        <v>558</v>
      </c>
      <c r="Q2" s="130" t="s">
        <v>557</v>
      </c>
    </row>
    <row r="3" spans="1:18" s="130" customFormat="1" ht="117" hidden="1" customHeight="1" x14ac:dyDescent="0.35">
      <c r="A3" s="130">
        <v>2</v>
      </c>
      <c r="B3" s="135" t="s">
        <v>624</v>
      </c>
      <c r="C3" s="130" t="s">
        <v>625</v>
      </c>
      <c r="D3" s="130" t="s">
        <v>626</v>
      </c>
      <c r="E3" s="137">
        <v>232220</v>
      </c>
      <c r="F3" s="130">
        <v>35</v>
      </c>
      <c r="G3" s="130" t="s">
        <v>53</v>
      </c>
      <c r="H3" s="130" t="s">
        <v>53</v>
      </c>
      <c r="I3" s="130" t="s">
        <v>570</v>
      </c>
      <c r="J3" s="130" t="s">
        <v>570</v>
      </c>
      <c r="K3" s="130" t="s">
        <v>149</v>
      </c>
      <c r="L3" s="144" t="s">
        <v>563</v>
      </c>
      <c r="M3" s="130" t="s">
        <v>557</v>
      </c>
      <c r="N3" s="145">
        <v>46119</v>
      </c>
      <c r="O3" s="130" t="s">
        <v>557</v>
      </c>
      <c r="P3" s="130" t="s">
        <v>558</v>
      </c>
      <c r="Q3" s="130" t="s">
        <v>557</v>
      </c>
    </row>
    <row r="4" spans="1:18" s="130" customFormat="1" ht="98.15" hidden="1" customHeight="1" x14ac:dyDescent="0.35">
      <c r="A4" s="130">
        <v>3</v>
      </c>
      <c r="B4" s="135" t="s">
        <v>627</v>
      </c>
      <c r="C4" s="130" t="s">
        <v>628</v>
      </c>
      <c r="D4" s="130" t="s">
        <v>629</v>
      </c>
      <c r="E4" s="137">
        <v>232220</v>
      </c>
      <c r="F4" s="130">
        <v>35</v>
      </c>
      <c r="G4" s="130" t="s">
        <v>53</v>
      </c>
      <c r="H4" s="130" t="s">
        <v>53</v>
      </c>
      <c r="I4" s="130" t="s">
        <v>570</v>
      </c>
      <c r="J4" s="130" t="s">
        <v>570</v>
      </c>
      <c r="K4" s="130" t="s">
        <v>630</v>
      </c>
      <c r="L4" s="130" t="s">
        <v>631</v>
      </c>
      <c r="M4" s="130" t="s">
        <v>557</v>
      </c>
      <c r="N4" s="139">
        <v>46107</v>
      </c>
      <c r="O4" s="130" t="s">
        <v>557</v>
      </c>
      <c r="P4" s="130" t="s">
        <v>558</v>
      </c>
      <c r="Q4" s="130" t="s">
        <v>557</v>
      </c>
    </row>
    <row r="5" spans="1:18" s="130" customFormat="1" ht="77.900000000000006" hidden="1" customHeight="1" x14ac:dyDescent="0.35">
      <c r="A5" s="130">
        <v>4</v>
      </c>
      <c r="B5" s="135" t="s">
        <v>627</v>
      </c>
      <c r="C5" s="130" t="s">
        <v>632</v>
      </c>
      <c r="D5" s="130" t="s">
        <v>633</v>
      </c>
      <c r="E5" s="137">
        <v>232220</v>
      </c>
      <c r="F5" s="130">
        <v>35</v>
      </c>
      <c r="G5" s="130" t="s">
        <v>53</v>
      </c>
      <c r="H5" s="130" t="s">
        <v>53</v>
      </c>
      <c r="I5" s="130" t="s">
        <v>570</v>
      </c>
      <c r="J5" s="130" t="s">
        <v>570</v>
      </c>
      <c r="K5" s="130" t="s">
        <v>634</v>
      </c>
      <c r="L5" s="130" t="s">
        <v>565</v>
      </c>
      <c r="M5" s="130" t="s">
        <v>557</v>
      </c>
      <c r="N5" s="131">
        <v>46112</v>
      </c>
      <c r="O5" s="130" t="s">
        <v>557</v>
      </c>
      <c r="P5" s="130" t="s">
        <v>558</v>
      </c>
      <c r="Q5" s="130" t="s">
        <v>557</v>
      </c>
    </row>
    <row r="6" spans="1:18" s="130" customFormat="1" ht="77.900000000000006" hidden="1" customHeight="1" x14ac:dyDescent="0.35">
      <c r="A6" s="130">
        <v>5</v>
      </c>
      <c r="B6" s="135" t="s">
        <v>582</v>
      </c>
      <c r="C6" s="130" t="s">
        <v>635</v>
      </c>
      <c r="D6" s="130" t="s">
        <v>636</v>
      </c>
      <c r="G6" s="130" t="s">
        <v>53</v>
      </c>
      <c r="H6" s="130" t="s">
        <v>53</v>
      </c>
      <c r="I6" s="130" t="s">
        <v>56</v>
      </c>
      <c r="J6" s="130" t="s">
        <v>56</v>
      </c>
      <c r="K6" s="130" t="s">
        <v>585</v>
      </c>
      <c r="L6" s="130" t="s">
        <v>565</v>
      </c>
      <c r="M6" s="130" t="s">
        <v>557</v>
      </c>
      <c r="N6" s="131">
        <v>46112</v>
      </c>
      <c r="O6" s="130" t="s">
        <v>557</v>
      </c>
      <c r="P6" s="130" t="s">
        <v>558</v>
      </c>
      <c r="Q6" s="130" t="s">
        <v>557</v>
      </c>
      <c r="R6" s="130" t="s">
        <v>637</v>
      </c>
    </row>
    <row r="7" spans="1:18" s="130" customFormat="1" ht="122.15" hidden="1" customHeight="1" x14ac:dyDescent="0.35">
      <c r="A7" s="130">
        <v>6</v>
      </c>
      <c r="B7" s="135" t="s">
        <v>638</v>
      </c>
      <c r="C7" s="130" t="s">
        <v>639</v>
      </c>
      <c r="D7" s="130" t="s">
        <v>640</v>
      </c>
      <c r="E7" s="137">
        <v>2416687.2400000002</v>
      </c>
      <c r="F7" s="130">
        <v>26</v>
      </c>
      <c r="G7" s="130" t="s">
        <v>53</v>
      </c>
      <c r="H7" s="130" t="s">
        <v>73</v>
      </c>
      <c r="I7" s="130" t="s">
        <v>56</v>
      </c>
      <c r="J7" s="130" t="s">
        <v>56</v>
      </c>
      <c r="K7" s="130" t="s">
        <v>641</v>
      </c>
      <c r="L7" s="144" t="s">
        <v>572</v>
      </c>
      <c r="M7" s="130" t="s">
        <v>557</v>
      </c>
      <c r="N7" s="145">
        <v>46116</v>
      </c>
      <c r="O7" s="130" t="s">
        <v>557</v>
      </c>
      <c r="P7" s="130" t="s">
        <v>558</v>
      </c>
    </row>
    <row r="8" spans="1:18" s="130" customFormat="1" ht="170.9" hidden="1" customHeight="1" x14ac:dyDescent="0.35">
      <c r="A8" s="130">
        <v>7</v>
      </c>
      <c r="B8" s="135" t="s">
        <v>642</v>
      </c>
      <c r="C8" s="130" t="s">
        <v>643</v>
      </c>
      <c r="D8" s="130" t="s">
        <v>644</v>
      </c>
      <c r="G8" s="130" t="s">
        <v>53</v>
      </c>
      <c r="H8" s="130" t="s">
        <v>73</v>
      </c>
      <c r="I8" s="130" t="s">
        <v>56</v>
      </c>
      <c r="J8" s="130" t="s">
        <v>56</v>
      </c>
      <c r="K8" s="130" t="s">
        <v>645</v>
      </c>
      <c r="L8" s="130" t="s">
        <v>563</v>
      </c>
      <c r="M8" s="130" t="s">
        <v>557</v>
      </c>
      <c r="N8" s="131">
        <v>46107</v>
      </c>
      <c r="O8" s="130" t="s">
        <v>557</v>
      </c>
      <c r="P8" s="130" t="s">
        <v>558</v>
      </c>
      <c r="Q8" s="130" t="s">
        <v>557</v>
      </c>
    </row>
    <row r="9" spans="1:18" s="130" customFormat="1" ht="143.9" hidden="1" customHeight="1" x14ac:dyDescent="0.35">
      <c r="A9" s="130">
        <v>8</v>
      </c>
      <c r="B9" s="135" t="s">
        <v>646</v>
      </c>
      <c r="C9" s="130" t="s">
        <v>647</v>
      </c>
      <c r="D9" s="130" t="s">
        <v>648</v>
      </c>
      <c r="G9" s="130" t="s">
        <v>53</v>
      </c>
      <c r="H9" s="130" t="s">
        <v>73</v>
      </c>
      <c r="I9" s="130" t="s">
        <v>56</v>
      </c>
      <c r="J9" s="130" t="s">
        <v>56</v>
      </c>
      <c r="K9" s="130" t="s">
        <v>645</v>
      </c>
      <c r="L9" s="130" t="s">
        <v>563</v>
      </c>
      <c r="N9" s="131">
        <v>46107</v>
      </c>
      <c r="P9" s="130" t="s">
        <v>558</v>
      </c>
      <c r="Q9" s="130" t="s">
        <v>557</v>
      </c>
      <c r="R9" s="130" t="s">
        <v>649</v>
      </c>
    </row>
    <row r="10" spans="1:18" s="123" customFormat="1" ht="68.150000000000006" hidden="1" customHeight="1" x14ac:dyDescent="0.4">
      <c r="A10" s="123">
        <v>9</v>
      </c>
      <c r="B10" s="123" t="s">
        <v>646</v>
      </c>
      <c r="C10" s="123" t="s">
        <v>650</v>
      </c>
      <c r="D10" s="123" t="s">
        <v>651</v>
      </c>
      <c r="L10" s="123" t="s">
        <v>618</v>
      </c>
      <c r="N10" s="124"/>
      <c r="P10" s="123" t="s">
        <v>558</v>
      </c>
      <c r="Q10" s="123" t="s">
        <v>557</v>
      </c>
      <c r="R10" s="123" t="s">
        <v>652</v>
      </c>
    </row>
    <row r="11" spans="1:18" s="123" customFormat="1" ht="59.15" hidden="1" customHeight="1" x14ac:dyDescent="0.4">
      <c r="A11" s="123">
        <v>10</v>
      </c>
      <c r="B11" s="123" t="s">
        <v>653</v>
      </c>
      <c r="C11" s="123" t="s">
        <v>654</v>
      </c>
      <c r="D11" s="123" t="s">
        <v>655</v>
      </c>
      <c r="L11" s="123" t="s">
        <v>607</v>
      </c>
      <c r="M11" s="123" t="s">
        <v>557</v>
      </c>
      <c r="N11" s="124">
        <v>46107</v>
      </c>
      <c r="O11" s="123" t="s">
        <v>557</v>
      </c>
      <c r="P11" s="123" t="s">
        <v>558</v>
      </c>
      <c r="Q11" s="123" t="s">
        <v>557</v>
      </c>
    </row>
    <row r="12" spans="1:18" ht="124.4" hidden="1" customHeight="1" x14ac:dyDescent="0.35">
      <c r="A12" s="130">
        <v>11</v>
      </c>
      <c r="B12" s="135" t="s">
        <v>656</v>
      </c>
      <c r="C12" s="130" t="s">
        <v>657</v>
      </c>
      <c r="D12" s="130" t="s">
        <v>658</v>
      </c>
      <c r="E12" s="137">
        <v>1022212.16</v>
      </c>
      <c r="F12" s="130">
        <v>4</v>
      </c>
      <c r="G12" s="130" t="s">
        <v>53</v>
      </c>
      <c r="H12" s="130" t="s">
        <v>53</v>
      </c>
      <c r="I12" s="130" t="s">
        <v>114</v>
      </c>
      <c r="J12" s="130" t="s">
        <v>570</v>
      </c>
      <c r="K12" s="130" t="s">
        <v>659</v>
      </c>
      <c r="L12" s="135" t="s">
        <v>572</v>
      </c>
      <c r="M12" s="130" t="s">
        <v>557</v>
      </c>
      <c r="N12" s="139">
        <v>46116</v>
      </c>
      <c r="O12" s="130" t="s">
        <v>557</v>
      </c>
      <c r="P12" s="130" t="s">
        <v>558</v>
      </c>
      <c r="Q12" s="130" t="s">
        <v>557</v>
      </c>
    </row>
    <row r="13" spans="1:18" ht="124.4" customHeight="1" x14ac:dyDescent="0.35">
      <c r="A13" s="130"/>
      <c r="B13" s="135" t="s">
        <v>552</v>
      </c>
      <c r="C13" s="130" t="s">
        <v>553</v>
      </c>
      <c r="D13" s="135" t="s">
        <v>660</v>
      </c>
      <c r="E13" s="137">
        <v>2416687.2400000002</v>
      </c>
      <c r="F13" s="130">
        <v>26</v>
      </c>
      <c r="G13" s="130" t="s">
        <v>53</v>
      </c>
      <c r="H13" s="130" t="s">
        <v>73</v>
      </c>
      <c r="I13" s="130" t="s">
        <v>56</v>
      </c>
      <c r="J13" s="130" t="s">
        <v>56</v>
      </c>
      <c r="K13" s="130" t="s">
        <v>555</v>
      </c>
      <c r="L13" s="144" t="s">
        <v>565</v>
      </c>
      <c r="M13" s="130" t="s">
        <v>557</v>
      </c>
      <c r="N13" s="145">
        <v>46121</v>
      </c>
      <c r="O13" s="130"/>
      <c r="P13" s="130" t="s">
        <v>600</v>
      </c>
      <c r="Q13" s="130"/>
    </row>
    <row r="14" spans="1:18" ht="63.65" hidden="1" customHeight="1" x14ac:dyDescent="0.35">
      <c r="A14" s="130"/>
      <c r="B14" s="135" t="s">
        <v>661</v>
      </c>
      <c r="C14" s="130" t="s">
        <v>662</v>
      </c>
      <c r="D14" s="130" t="s">
        <v>663</v>
      </c>
      <c r="E14" s="137">
        <v>1022212.16</v>
      </c>
      <c r="F14" s="130">
        <v>4</v>
      </c>
      <c r="G14" s="130" t="s">
        <v>53</v>
      </c>
      <c r="H14" s="130" t="s">
        <v>53</v>
      </c>
      <c r="I14" s="130" t="s">
        <v>570</v>
      </c>
      <c r="J14" s="130" t="s">
        <v>570</v>
      </c>
      <c r="K14" s="130" t="s">
        <v>659</v>
      </c>
      <c r="L14" s="144" t="s">
        <v>572</v>
      </c>
      <c r="M14" s="130" t="s">
        <v>557</v>
      </c>
      <c r="N14" s="145">
        <v>46118</v>
      </c>
      <c r="O14" s="130"/>
      <c r="P14" s="130" t="s">
        <v>558</v>
      </c>
      <c r="Q14" s="130"/>
    </row>
    <row r="15" spans="1:18" ht="63.65" hidden="1" customHeight="1" x14ac:dyDescent="0.35">
      <c r="A15" s="130"/>
      <c r="B15" s="135" t="s">
        <v>664</v>
      </c>
      <c r="C15" s="130" t="s">
        <v>665</v>
      </c>
      <c r="D15" s="130" t="s">
        <v>666</v>
      </c>
      <c r="E15" s="137">
        <v>1022212.16</v>
      </c>
      <c r="F15" s="130">
        <v>4</v>
      </c>
      <c r="G15" s="130" t="s">
        <v>53</v>
      </c>
      <c r="H15" s="130" t="s">
        <v>53</v>
      </c>
      <c r="I15" s="130" t="s">
        <v>570</v>
      </c>
      <c r="J15" s="130" t="s">
        <v>570</v>
      </c>
      <c r="K15" s="130" t="s">
        <v>659</v>
      </c>
      <c r="L15" s="144" t="s">
        <v>563</v>
      </c>
      <c r="M15" s="130"/>
      <c r="N15" s="145">
        <v>46119</v>
      </c>
      <c r="O15" s="130"/>
      <c r="P15" s="130" t="s">
        <v>558</v>
      </c>
      <c r="Q15" s="130"/>
    </row>
    <row r="16" spans="1:18" ht="63.65" hidden="1" customHeight="1" x14ac:dyDescent="0.35">
      <c r="A16" s="130">
        <v>11</v>
      </c>
      <c r="B16" s="135" t="s">
        <v>667</v>
      </c>
      <c r="C16" s="130" t="s">
        <v>668</v>
      </c>
      <c r="D16" s="130" t="s">
        <v>669</v>
      </c>
      <c r="E16" s="137">
        <v>1022212.16</v>
      </c>
      <c r="F16" s="130">
        <v>4</v>
      </c>
      <c r="G16" s="130" t="s">
        <v>53</v>
      </c>
      <c r="H16" s="130" t="s">
        <v>53</v>
      </c>
      <c r="I16" s="130" t="s">
        <v>570</v>
      </c>
      <c r="J16" s="130" t="s">
        <v>570</v>
      </c>
      <c r="K16" s="130" t="s">
        <v>659</v>
      </c>
      <c r="L16" s="144" t="s">
        <v>577</v>
      </c>
      <c r="M16" s="130" t="s">
        <v>557</v>
      </c>
      <c r="N16" s="145">
        <v>46118</v>
      </c>
      <c r="O16" s="130" t="s">
        <v>557</v>
      </c>
      <c r="P16" s="130" t="s">
        <v>558</v>
      </c>
      <c r="Q16" s="130" t="s">
        <v>557</v>
      </c>
    </row>
    <row r="17" spans="1:18" ht="96.65" hidden="1" customHeight="1" x14ac:dyDescent="0.35">
      <c r="A17" s="130">
        <v>11</v>
      </c>
      <c r="B17" s="135" t="s">
        <v>670</v>
      </c>
      <c r="C17" s="130" t="s">
        <v>671</v>
      </c>
      <c r="D17" s="130" t="s">
        <v>672</v>
      </c>
      <c r="E17" s="137">
        <v>1022212.16</v>
      </c>
      <c r="F17" s="130">
        <v>4</v>
      </c>
      <c r="G17" s="130" t="s">
        <v>53</v>
      </c>
      <c r="H17" s="130" t="s">
        <v>53</v>
      </c>
      <c r="I17" s="130" t="s">
        <v>570</v>
      </c>
      <c r="J17" s="130" t="s">
        <v>570</v>
      </c>
      <c r="K17" s="130" t="s">
        <v>659</v>
      </c>
      <c r="L17" s="144" t="s">
        <v>577</v>
      </c>
      <c r="M17" s="130" t="s">
        <v>557</v>
      </c>
      <c r="N17" s="145">
        <v>46118</v>
      </c>
      <c r="O17" s="130" t="s">
        <v>557</v>
      </c>
      <c r="P17" s="130" t="s">
        <v>558</v>
      </c>
      <c r="Q17" s="130" t="s">
        <v>557</v>
      </c>
    </row>
    <row r="18" spans="1:18" ht="96.65" customHeight="1" x14ac:dyDescent="0.35">
      <c r="A18" s="130">
        <v>11</v>
      </c>
      <c r="B18" s="135" t="s">
        <v>559</v>
      </c>
      <c r="C18" s="130" t="s">
        <v>560</v>
      </c>
      <c r="D18" s="130" t="s">
        <v>673</v>
      </c>
      <c r="E18" s="137">
        <v>1022212.16</v>
      </c>
      <c r="F18" s="130">
        <v>4</v>
      </c>
      <c r="G18" s="130" t="s">
        <v>53</v>
      </c>
      <c r="H18" s="130" t="s">
        <v>53</v>
      </c>
      <c r="I18" s="130" t="s">
        <v>56</v>
      </c>
      <c r="J18" s="130" t="s">
        <v>570</v>
      </c>
      <c r="K18" s="144" t="s">
        <v>674</v>
      </c>
      <c r="L18" s="144" t="s">
        <v>565</v>
      </c>
      <c r="M18" s="130" t="s">
        <v>557</v>
      </c>
      <c r="N18" s="145"/>
      <c r="O18" s="130" t="s">
        <v>557</v>
      </c>
      <c r="P18" s="130" t="s">
        <v>600</v>
      </c>
      <c r="Q18" s="130" t="s">
        <v>557</v>
      </c>
    </row>
    <row r="19" spans="1:18" s="130" customFormat="1" ht="77.900000000000006" hidden="1" customHeight="1" x14ac:dyDescent="0.35">
      <c r="A19" s="130">
        <v>12</v>
      </c>
      <c r="B19" s="135" t="s">
        <v>675</v>
      </c>
      <c r="C19" s="130" t="s">
        <v>676</v>
      </c>
      <c r="D19" s="130" t="s">
        <v>677</v>
      </c>
      <c r="G19" s="130" t="s">
        <v>53</v>
      </c>
      <c r="H19" s="130" t="s">
        <v>53</v>
      </c>
      <c r="I19" s="130" t="s">
        <v>56</v>
      </c>
      <c r="J19" s="130" t="s">
        <v>56</v>
      </c>
      <c r="K19" s="130" t="s">
        <v>596</v>
      </c>
      <c r="L19" s="130" t="s">
        <v>678</v>
      </c>
      <c r="N19" s="131">
        <v>46107</v>
      </c>
      <c r="O19" s="130" t="s">
        <v>557</v>
      </c>
      <c r="P19" s="130" t="s">
        <v>558</v>
      </c>
      <c r="Q19" s="130" t="s">
        <v>557</v>
      </c>
    </row>
    <row r="20" spans="1:18" s="130" customFormat="1" ht="79.400000000000006" customHeight="1" x14ac:dyDescent="0.35">
      <c r="A20" s="130">
        <v>13</v>
      </c>
      <c r="B20" s="135" t="s">
        <v>567</v>
      </c>
      <c r="C20" s="130" t="s">
        <v>568</v>
      </c>
      <c r="D20" s="159" t="s">
        <v>679</v>
      </c>
      <c r="E20" s="137">
        <v>13096.1</v>
      </c>
      <c r="F20" s="130">
        <v>11</v>
      </c>
      <c r="G20" s="130" t="s">
        <v>53</v>
      </c>
      <c r="H20" s="130" t="s">
        <v>53</v>
      </c>
      <c r="I20" s="130" t="s">
        <v>570</v>
      </c>
      <c r="J20" s="130" t="s">
        <v>570</v>
      </c>
      <c r="K20" s="130" t="s">
        <v>571</v>
      </c>
      <c r="L20" s="144" t="s">
        <v>680</v>
      </c>
      <c r="M20" s="130" t="s">
        <v>557</v>
      </c>
      <c r="N20" s="145"/>
      <c r="O20" s="130" t="s">
        <v>557</v>
      </c>
      <c r="P20" s="130" t="s">
        <v>600</v>
      </c>
      <c r="Q20" s="130" t="s">
        <v>557</v>
      </c>
    </row>
    <row r="21" spans="1:18" s="130" customFormat="1" ht="89.15" customHeight="1" x14ac:dyDescent="0.35">
      <c r="B21" s="135" t="s">
        <v>567</v>
      </c>
      <c r="C21" s="130" t="s">
        <v>574</v>
      </c>
      <c r="D21" s="135"/>
      <c r="E21" s="137">
        <v>13096.1</v>
      </c>
      <c r="F21" s="130">
        <v>11</v>
      </c>
      <c r="G21" s="130" t="s">
        <v>53</v>
      </c>
      <c r="H21" s="130" t="s">
        <v>53</v>
      </c>
      <c r="I21" s="130" t="s">
        <v>570</v>
      </c>
      <c r="J21" s="130" t="s">
        <v>570</v>
      </c>
      <c r="K21" s="130" t="s">
        <v>571</v>
      </c>
      <c r="L21" s="144" t="s">
        <v>577</v>
      </c>
      <c r="N21" s="145"/>
      <c r="P21" s="130" t="s">
        <v>600</v>
      </c>
    </row>
    <row r="22" spans="1:18" s="130" customFormat="1" ht="89.9" customHeight="1" x14ac:dyDescent="0.35">
      <c r="B22" s="135" t="s">
        <v>681</v>
      </c>
      <c r="C22" s="130" t="s">
        <v>574</v>
      </c>
      <c r="D22" s="130" t="s">
        <v>682</v>
      </c>
      <c r="E22" s="137">
        <v>13096.1</v>
      </c>
      <c r="F22" s="130">
        <v>11</v>
      </c>
      <c r="G22" s="130" t="s">
        <v>53</v>
      </c>
      <c r="H22" s="130" t="s">
        <v>53</v>
      </c>
      <c r="I22" s="130" t="s">
        <v>570</v>
      </c>
      <c r="J22" s="130" t="s">
        <v>570</v>
      </c>
      <c r="K22" s="130" t="s">
        <v>149</v>
      </c>
      <c r="L22" s="144" t="s">
        <v>556</v>
      </c>
      <c r="N22" s="145"/>
      <c r="P22" s="130" t="s">
        <v>600</v>
      </c>
    </row>
    <row r="23" spans="1:18" s="130" customFormat="1" ht="129.5" hidden="1" x14ac:dyDescent="0.35">
      <c r="A23" s="130">
        <v>13</v>
      </c>
      <c r="B23" s="135" t="s">
        <v>683</v>
      </c>
      <c r="C23" s="130" t="s">
        <v>684</v>
      </c>
      <c r="D23" s="130" t="s">
        <v>685</v>
      </c>
      <c r="E23" s="137">
        <v>13096.1</v>
      </c>
      <c r="F23" s="130">
        <v>9</v>
      </c>
      <c r="G23" s="130" t="s">
        <v>53</v>
      </c>
      <c r="H23" s="130" t="s">
        <v>53</v>
      </c>
      <c r="I23" s="130" t="s">
        <v>570</v>
      </c>
      <c r="J23" s="130" t="s">
        <v>570</v>
      </c>
      <c r="K23" s="130" t="s">
        <v>571</v>
      </c>
      <c r="L23" s="144" t="s">
        <v>563</v>
      </c>
      <c r="M23" s="130" t="s">
        <v>557</v>
      </c>
      <c r="N23" s="145">
        <v>46114</v>
      </c>
      <c r="O23" s="130" t="s">
        <v>557</v>
      </c>
      <c r="P23" s="130" t="s">
        <v>558</v>
      </c>
      <c r="Q23" s="130" t="s">
        <v>557</v>
      </c>
    </row>
    <row r="24" spans="1:18" s="123" customFormat="1" ht="36" hidden="1" customHeight="1" x14ac:dyDescent="0.4">
      <c r="A24" s="123">
        <v>14</v>
      </c>
      <c r="B24" s="123" t="s">
        <v>686</v>
      </c>
      <c r="C24" s="123" t="s">
        <v>687</v>
      </c>
      <c r="D24" s="123" t="s">
        <v>688</v>
      </c>
      <c r="L24" s="123" t="s">
        <v>689</v>
      </c>
      <c r="M24" s="123" t="s">
        <v>557</v>
      </c>
      <c r="N24" s="124">
        <v>46105</v>
      </c>
      <c r="O24" s="123" t="s">
        <v>557</v>
      </c>
      <c r="P24" s="123" t="s">
        <v>558</v>
      </c>
      <c r="Q24" s="123" t="s">
        <v>557</v>
      </c>
    </row>
    <row r="25" spans="1:18" s="132" customFormat="1" ht="77.900000000000006" hidden="1" customHeight="1" x14ac:dyDescent="0.35">
      <c r="A25" s="130">
        <v>15</v>
      </c>
      <c r="B25" s="135" t="s">
        <v>690</v>
      </c>
      <c r="C25" s="130" t="s">
        <v>691</v>
      </c>
      <c r="D25" s="130" t="s">
        <v>692</v>
      </c>
      <c r="E25" s="137">
        <v>371262</v>
      </c>
      <c r="F25" s="130">
        <v>55</v>
      </c>
      <c r="G25" s="130" t="s">
        <v>693</v>
      </c>
      <c r="H25" s="130" t="s">
        <v>693</v>
      </c>
      <c r="I25" s="130" t="s">
        <v>693</v>
      </c>
      <c r="J25" s="130" t="s">
        <v>693</v>
      </c>
      <c r="K25" s="130" t="s">
        <v>693</v>
      </c>
      <c r="L25" s="130" t="s">
        <v>563</v>
      </c>
      <c r="M25" s="130" t="s">
        <v>557</v>
      </c>
      <c r="N25" s="140">
        <v>46114</v>
      </c>
      <c r="O25" s="130" t="s">
        <v>557</v>
      </c>
      <c r="P25" s="132" t="s">
        <v>586</v>
      </c>
    </row>
    <row r="26" spans="1:18" s="132" customFormat="1" ht="77.900000000000006" hidden="1" customHeight="1" x14ac:dyDescent="0.35">
      <c r="A26" s="130">
        <v>16</v>
      </c>
      <c r="B26" s="135" t="s">
        <v>338</v>
      </c>
      <c r="C26" s="130" t="s">
        <v>694</v>
      </c>
      <c r="D26" s="130" t="s">
        <v>695</v>
      </c>
      <c r="E26" s="137">
        <v>164002.01999999999</v>
      </c>
      <c r="F26" s="130">
        <v>18</v>
      </c>
      <c r="G26" s="130" t="s">
        <v>53</v>
      </c>
      <c r="H26" s="130" t="s">
        <v>73</v>
      </c>
      <c r="I26" s="130" t="s">
        <v>570</v>
      </c>
      <c r="J26" s="130" t="s">
        <v>570</v>
      </c>
      <c r="K26" s="130" t="s">
        <v>696</v>
      </c>
      <c r="L26" s="144" t="s">
        <v>572</v>
      </c>
      <c r="M26" s="130" t="s">
        <v>557</v>
      </c>
      <c r="N26" s="146">
        <v>46119</v>
      </c>
      <c r="O26" s="130" t="s">
        <v>557</v>
      </c>
      <c r="P26" s="132" t="s">
        <v>586</v>
      </c>
    </row>
    <row r="27" spans="1:18" s="132" customFormat="1" ht="77.900000000000006" hidden="1" customHeight="1" x14ac:dyDescent="0.35">
      <c r="A27" s="130">
        <v>16</v>
      </c>
      <c r="B27" s="135" t="s">
        <v>338</v>
      </c>
      <c r="C27" s="130" t="s">
        <v>697</v>
      </c>
      <c r="D27" s="130" t="s">
        <v>698</v>
      </c>
      <c r="E27" s="137">
        <v>164002.01999999999</v>
      </c>
      <c r="F27" s="130">
        <v>18</v>
      </c>
      <c r="G27" s="130" t="s">
        <v>53</v>
      </c>
      <c r="H27" s="130" t="s">
        <v>73</v>
      </c>
      <c r="I27" s="130" t="s">
        <v>570</v>
      </c>
      <c r="J27" s="130" t="s">
        <v>570</v>
      </c>
      <c r="K27" s="130" t="s">
        <v>696</v>
      </c>
      <c r="L27" s="144" t="s">
        <v>572</v>
      </c>
      <c r="M27" s="130" t="s">
        <v>557</v>
      </c>
      <c r="N27" s="146">
        <v>46119</v>
      </c>
      <c r="O27" s="130" t="s">
        <v>557</v>
      </c>
      <c r="P27" s="132" t="s">
        <v>586</v>
      </c>
    </row>
    <row r="28" spans="1:18" s="132" customFormat="1" ht="77.900000000000006" hidden="1" customHeight="1" x14ac:dyDescent="0.35">
      <c r="A28" s="130">
        <v>17</v>
      </c>
      <c r="B28" s="135" t="s">
        <v>338</v>
      </c>
      <c r="C28" s="130" t="s">
        <v>699</v>
      </c>
      <c r="D28" s="130" t="s">
        <v>700</v>
      </c>
      <c r="E28" s="137">
        <v>164002.01999999999</v>
      </c>
      <c r="F28" s="130">
        <v>18</v>
      </c>
      <c r="G28" s="130" t="s">
        <v>53</v>
      </c>
      <c r="H28" s="130" t="s">
        <v>73</v>
      </c>
      <c r="I28" s="130" t="s">
        <v>570</v>
      </c>
      <c r="J28" s="130" t="s">
        <v>570</v>
      </c>
      <c r="K28" s="130" t="s">
        <v>634</v>
      </c>
      <c r="L28" s="144" t="s">
        <v>618</v>
      </c>
      <c r="M28" s="130" t="s">
        <v>557</v>
      </c>
      <c r="N28" s="146">
        <v>46115</v>
      </c>
      <c r="O28" s="130" t="s">
        <v>557</v>
      </c>
      <c r="P28" s="132" t="s">
        <v>586</v>
      </c>
    </row>
    <row r="29" spans="1:18" ht="88.4" hidden="1" customHeight="1" x14ac:dyDescent="0.35">
      <c r="A29" s="130">
        <v>18</v>
      </c>
      <c r="B29" s="135" t="s">
        <v>165</v>
      </c>
      <c r="C29" s="130" t="s">
        <v>701</v>
      </c>
      <c r="D29" s="130" t="s">
        <v>702</v>
      </c>
      <c r="E29" s="130"/>
      <c r="F29" s="130"/>
      <c r="G29" s="130" t="s">
        <v>64</v>
      </c>
      <c r="H29" s="130" t="s">
        <v>73</v>
      </c>
      <c r="I29" s="133" t="s">
        <v>114</v>
      </c>
      <c r="J29" s="130" t="s">
        <v>703</v>
      </c>
      <c r="K29" s="132" t="s">
        <v>704</v>
      </c>
      <c r="L29" s="132" t="s">
        <v>565</v>
      </c>
      <c r="M29" s="132"/>
      <c r="N29" s="132"/>
      <c r="O29" s="132"/>
      <c r="P29" s="132" t="s">
        <v>586</v>
      </c>
      <c r="Q29" s="132"/>
      <c r="R29" s="132"/>
    </row>
    <row r="30" spans="1:18" ht="53.9" hidden="1" customHeight="1" x14ac:dyDescent="0.35">
      <c r="A30" s="129">
        <v>19</v>
      </c>
      <c r="B30" s="136" t="s">
        <v>155</v>
      </c>
      <c r="C30" s="129" t="s">
        <v>705</v>
      </c>
      <c r="D30" s="129" t="s">
        <v>706</v>
      </c>
      <c r="E30" s="138">
        <v>1161167</v>
      </c>
      <c r="F30" s="129">
        <v>50</v>
      </c>
      <c r="G30" s="129" t="s">
        <v>53</v>
      </c>
      <c r="H30" s="129" t="s">
        <v>73</v>
      </c>
      <c r="I30" s="129" t="s">
        <v>72</v>
      </c>
      <c r="J30" s="130"/>
      <c r="K30" s="129" t="s">
        <v>707</v>
      </c>
      <c r="L30" s="144" t="s">
        <v>618</v>
      </c>
      <c r="M30" s="130" t="s">
        <v>557</v>
      </c>
      <c r="N30" s="145">
        <v>46115</v>
      </c>
      <c r="P30" s="132" t="s">
        <v>586</v>
      </c>
    </row>
    <row r="31" spans="1:18" ht="53.9" hidden="1" customHeight="1" x14ac:dyDescent="0.35">
      <c r="A31" s="129">
        <v>20</v>
      </c>
      <c r="B31" s="136" t="s">
        <v>155</v>
      </c>
      <c r="C31" s="129" t="s">
        <v>708</v>
      </c>
      <c r="D31" s="129" t="s">
        <v>709</v>
      </c>
      <c r="G31" s="129" t="s">
        <v>53</v>
      </c>
      <c r="H31" s="129" t="s">
        <v>73</v>
      </c>
      <c r="I31" s="129" t="s">
        <v>72</v>
      </c>
      <c r="K31" s="129" t="s">
        <v>707</v>
      </c>
      <c r="L31" s="129" t="s">
        <v>577</v>
      </c>
      <c r="N31" s="134"/>
      <c r="P31" s="132" t="s">
        <v>586</v>
      </c>
    </row>
    <row r="32" spans="1:18" ht="53.9" hidden="1" customHeight="1" x14ac:dyDescent="0.35">
      <c r="A32" s="129">
        <v>21</v>
      </c>
      <c r="B32" s="136" t="s">
        <v>194</v>
      </c>
      <c r="C32" s="129" t="s">
        <v>710</v>
      </c>
      <c r="D32" s="130" t="s">
        <v>711</v>
      </c>
      <c r="E32" s="130"/>
      <c r="F32" s="130"/>
      <c r="G32" s="129" t="s">
        <v>64</v>
      </c>
      <c r="H32" s="129" t="s">
        <v>73</v>
      </c>
      <c r="I32" s="129" t="s">
        <v>114</v>
      </c>
      <c r="K32" s="129" t="s">
        <v>712</v>
      </c>
      <c r="L32" s="129" t="s">
        <v>565</v>
      </c>
      <c r="N32" s="134"/>
      <c r="P32" s="132" t="s">
        <v>586</v>
      </c>
    </row>
    <row r="33" spans="1:16" ht="111" customHeight="1" x14ac:dyDescent="0.35">
      <c r="A33" s="129">
        <v>20</v>
      </c>
      <c r="B33" s="136" t="s">
        <v>582</v>
      </c>
      <c r="C33" s="129" t="s">
        <v>583</v>
      </c>
      <c r="D33" s="129" t="s">
        <v>713</v>
      </c>
      <c r="E33" s="138">
        <v>198023</v>
      </c>
      <c r="F33" s="129">
        <v>37</v>
      </c>
      <c r="G33" s="129" t="s">
        <v>53</v>
      </c>
      <c r="H33" s="129" t="s">
        <v>53</v>
      </c>
      <c r="I33" s="129" t="s">
        <v>56</v>
      </c>
      <c r="J33" s="129" t="s">
        <v>56</v>
      </c>
      <c r="K33" s="129" t="s">
        <v>585</v>
      </c>
      <c r="L33" s="144" t="s">
        <v>565</v>
      </c>
      <c r="M33" s="130"/>
      <c r="N33" s="145">
        <v>46119</v>
      </c>
      <c r="O33" s="153"/>
      <c r="P33" s="132" t="s">
        <v>600</v>
      </c>
    </row>
    <row r="34" spans="1:16" ht="115.4" customHeight="1" x14ac:dyDescent="0.35">
      <c r="B34" s="154" t="s">
        <v>714</v>
      </c>
      <c r="C34" s="155" t="s">
        <v>715</v>
      </c>
      <c r="D34" s="155" t="s">
        <v>716</v>
      </c>
      <c r="E34" s="156">
        <v>93065.64</v>
      </c>
      <c r="F34" s="155"/>
      <c r="G34" s="155" t="s">
        <v>53</v>
      </c>
      <c r="H34" s="155" t="s">
        <v>53</v>
      </c>
      <c r="I34" s="155" t="s">
        <v>56</v>
      </c>
      <c r="J34" s="155" t="s">
        <v>570</v>
      </c>
      <c r="K34" s="155" t="s">
        <v>591</v>
      </c>
      <c r="L34" s="154" t="s">
        <v>556</v>
      </c>
      <c r="M34" s="155"/>
      <c r="N34" s="157"/>
      <c r="P34" s="132" t="s">
        <v>600</v>
      </c>
    </row>
    <row r="35" spans="1:16" ht="84.65" customHeight="1" x14ac:dyDescent="0.35">
      <c r="B35" s="154" t="s">
        <v>74</v>
      </c>
      <c r="C35" s="155" t="s">
        <v>717</v>
      </c>
      <c r="D35" s="155" t="s">
        <v>718</v>
      </c>
      <c r="E35" s="156"/>
      <c r="F35" s="155">
        <v>15</v>
      </c>
      <c r="G35" s="155"/>
      <c r="H35" s="155"/>
      <c r="I35" s="155"/>
      <c r="J35" s="155"/>
      <c r="K35" s="155"/>
      <c r="L35" s="154" t="s">
        <v>572</v>
      </c>
      <c r="M35" s="155"/>
      <c r="N35" s="157"/>
      <c r="O35" s="155"/>
      <c r="P35" s="158" t="s">
        <v>600</v>
      </c>
    </row>
    <row r="36" spans="1:16" ht="95.9" customHeight="1" x14ac:dyDescent="0.35">
      <c r="A36" s="136"/>
      <c r="B36" s="154" t="s">
        <v>74</v>
      </c>
      <c r="C36" s="155" t="s">
        <v>719</v>
      </c>
      <c r="D36" s="155" t="s">
        <v>718</v>
      </c>
      <c r="E36" s="155"/>
      <c r="F36" s="155">
        <v>15</v>
      </c>
      <c r="G36" s="155"/>
      <c r="H36" s="155"/>
      <c r="I36" s="155"/>
      <c r="J36" s="155"/>
      <c r="K36" s="154"/>
      <c r="L36" s="154" t="s">
        <v>572</v>
      </c>
      <c r="M36" s="157"/>
      <c r="N36" s="155"/>
      <c r="O36" s="158"/>
      <c r="P36" s="158" t="s">
        <v>600</v>
      </c>
    </row>
  </sheetData>
  <autoFilter ref="A1:Q36" xr:uid="{9EFC7270-1621-436A-95A9-58C0A366A553}">
    <filterColumn colId="15">
      <filters>
        <filter val="Open"/>
      </filters>
    </filterColumn>
  </autoFilter>
  <conditionalFormatting sqref="K29">
    <cfRule type="cellIs" dxfId="104" priority="13" operator="equal">
      <formula>"On track"</formula>
    </cfRule>
    <cfRule type="cellIs" dxfId="103" priority="14" operator="equal">
      <formula>"Open"</formula>
    </cfRule>
    <cfRule type="cellIs" dxfId="102" priority="15" operator="equal">
      <formula>"Done"</formula>
    </cfRule>
  </conditionalFormatting>
  <conditionalFormatting sqref="O36">
    <cfRule type="cellIs" dxfId="101" priority="6" operator="equal">
      <formula>"Open"</formula>
    </cfRule>
    <cfRule type="cellIs" dxfId="100" priority="7" operator="equal">
      <formula>"Done"</formula>
    </cfRule>
    <cfRule type="cellIs" dxfId="99" priority="8" operator="equal">
      <formula>"On track"</formula>
    </cfRule>
    <cfRule type="cellIs" dxfId="98" priority="9" operator="equal">
      <formula>"Open"</formula>
    </cfRule>
    <cfRule type="cellIs" dxfId="97" priority="10" operator="equal">
      <formula>"Done"</formula>
    </cfRule>
  </conditionalFormatting>
  <conditionalFormatting sqref="P1:P36 N37">
    <cfRule type="cellIs" dxfId="96" priority="1" operator="equal">
      <formula>"Open"</formula>
    </cfRule>
    <cfRule type="cellIs" dxfId="95" priority="2" operator="equal">
      <formula>"Done"</formula>
    </cfRule>
    <cfRule type="cellIs" dxfId="94" priority="3" operator="equal">
      <formula>"On track"</formula>
    </cfRule>
    <cfRule type="cellIs" dxfId="93" priority="4" operator="equal">
      <formula>"Open"</formula>
    </cfRule>
    <cfRule type="cellIs" dxfId="92" priority="5" operator="equal">
      <formula>"Done"</formula>
    </cfRule>
  </conditionalFormatting>
  <conditionalFormatting sqref="P38:P1048576">
    <cfRule type="cellIs" dxfId="91" priority="11" operator="equal">
      <formula>"Open"</formula>
    </cfRule>
    <cfRule type="cellIs" dxfId="90" priority="12" operator="equal">
      <formula>"Done"</formula>
    </cfRule>
    <cfRule type="cellIs" dxfId="89" priority="16" operator="equal">
      <formula>"On track"</formula>
    </cfRule>
    <cfRule type="cellIs" dxfId="88" priority="17" operator="equal">
      <formula>"Open"</formula>
    </cfRule>
    <cfRule type="cellIs" dxfId="87" priority="18" operator="equal">
      <formula>"Done"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DC59988-00B6-4154-A256-C961E1F5AC1E}">
          <x14:formula1>
            <xm:f>'Drop list'!#REF!</xm:f>
          </x14:formula1>
          <xm:sqref>P1 P25:P1048576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40CF2-8EA0-409B-A38D-1C4B563778D4}">
  <sheetPr>
    <tabColor rgb="FFFF0000"/>
  </sheetPr>
  <dimension ref="A1:AX115"/>
  <sheetViews>
    <sheetView zoomScale="60" zoomScaleNormal="60" workbookViewId="0">
      <pane xSplit="18" ySplit="3" topLeftCell="S13" activePane="bottomRight" state="frozen"/>
      <selection pane="topRight" activeCell="S1" sqref="S1"/>
      <selection pane="bottomLeft" activeCell="A4" sqref="A4"/>
      <selection pane="bottomRight" activeCell="N59" sqref="N59"/>
    </sheetView>
  </sheetViews>
  <sheetFormatPr defaultRowHeight="14.5" outlineLevelCol="1" x14ac:dyDescent="0.35"/>
  <cols>
    <col min="1" max="1" width="15.453125" customWidth="1" outlineLevel="1"/>
    <col min="2" max="2" width="46.54296875" customWidth="1" outlineLevel="1"/>
    <col min="3" max="3" width="10.54296875" customWidth="1" outlineLevel="1"/>
    <col min="4" max="4" width="17.453125" style="13" customWidth="1" outlineLevel="1"/>
    <col min="5" max="5" width="19.453125" style="115" customWidth="1" outlineLevel="1"/>
    <col min="6" max="6" width="10.36328125" bestFit="1" customWidth="1" outlineLevel="1"/>
    <col min="7" max="8" width="10.36328125" style="142" bestFit="1" customWidth="1" outlineLevel="1"/>
    <col min="9" max="9" width="10.36328125" style="143" customWidth="1" outlineLevel="1"/>
    <col min="10" max="10" width="10.36328125" style="126" customWidth="1" outlineLevel="1"/>
    <col min="11" max="18" width="10.36328125" customWidth="1" outlineLevel="1"/>
    <col min="19" max="19" width="12" customWidth="1"/>
    <col min="20" max="20" width="15.453125" hidden="1" customWidth="1" outlineLevel="1"/>
    <col min="21" max="21" width="46.54296875" hidden="1" customWidth="1" outlineLevel="1"/>
    <col min="22" max="22" width="10.54296875" hidden="1" customWidth="1" outlineLevel="1"/>
    <col min="23" max="23" width="17.453125" style="13" hidden="1" customWidth="1" outlineLevel="1"/>
    <col min="24" max="24" width="19.453125" style="115" hidden="1" customWidth="1" outlineLevel="1"/>
    <col min="25" max="25" width="9.36328125" hidden="1" customWidth="1" outlineLevel="1"/>
    <col min="26" max="27" width="9.36328125" style="142" hidden="1" customWidth="1" outlineLevel="1"/>
    <col min="28" max="28" width="9.36328125" style="143" hidden="1" customWidth="1" outlineLevel="1"/>
    <col min="29" max="29" width="9.36328125" style="126" hidden="1" customWidth="1" outlineLevel="1"/>
    <col min="30" max="36" width="9.36328125" hidden="1" customWidth="1" outlineLevel="1"/>
    <col min="37" max="37" width="10.36328125" bestFit="1" customWidth="1" collapsed="1"/>
    <col min="38" max="48" width="13.453125" bestFit="1" customWidth="1"/>
    <col min="49" max="49" width="11.453125" bestFit="1" customWidth="1"/>
    <col min="50" max="50" width="18.453125" bestFit="1" customWidth="1"/>
  </cols>
  <sheetData>
    <row r="1" spans="1:50" x14ac:dyDescent="0.35">
      <c r="A1" s="335" t="s">
        <v>720</v>
      </c>
      <c r="B1" s="335"/>
      <c r="C1" s="335"/>
      <c r="D1" s="335"/>
      <c r="E1" s="335"/>
      <c r="F1" s="335" t="s">
        <v>481</v>
      </c>
      <c r="G1" s="335" t="s">
        <v>482</v>
      </c>
      <c r="H1" s="335"/>
      <c r="I1" s="335"/>
      <c r="J1" s="335"/>
      <c r="K1" s="335"/>
      <c r="L1" s="335"/>
      <c r="M1" s="335"/>
      <c r="N1" s="335"/>
      <c r="O1" s="335"/>
      <c r="P1" s="335"/>
      <c r="Q1" s="335"/>
      <c r="R1" s="335"/>
      <c r="T1" t="s">
        <v>750</v>
      </c>
      <c r="W1"/>
      <c r="X1"/>
      <c r="Y1" t="s">
        <v>481</v>
      </c>
      <c r="Z1" t="s">
        <v>482</v>
      </c>
      <c r="AA1"/>
      <c r="AB1"/>
      <c r="AC1"/>
    </row>
    <row r="2" spans="1:50" x14ac:dyDescent="0.35">
      <c r="A2" s="335"/>
      <c r="B2" s="335"/>
      <c r="C2" s="335"/>
      <c r="D2" s="335"/>
      <c r="E2" s="335"/>
      <c r="F2" s="335" t="s">
        <v>483</v>
      </c>
      <c r="G2" s="335"/>
      <c r="H2" s="335"/>
      <c r="I2" s="335"/>
      <c r="J2" s="335"/>
      <c r="K2" s="335"/>
      <c r="L2" s="335"/>
      <c r="M2" s="335"/>
      <c r="N2" s="335"/>
      <c r="O2" s="335"/>
      <c r="P2" s="335"/>
      <c r="Q2" s="335"/>
      <c r="R2" s="338" t="s">
        <v>484</v>
      </c>
      <c r="W2"/>
      <c r="X2"/>
      <c r="Y2" t="s">
        <v>483</v>
      </c>
      <c r="Z2"/>
      <c r="AA2"/>
      <c r="AB2"/>
      <c r="AC2"/>
      <c r="AK2" s="201" t="s">
        <v>484</v>
      </c>
    </row>
    <row r="3" spans="1:50" s="201" customFormat="1" ht="15" customHeight="1" x14ac:dyDescent="0.35">
      <c r="A3" s="338" t="s">
        <v>210</v>
      </c>
      <c r="B3" s="338" t="s">
        <v>216</v>
      </c>
      <c r="C3" s="338" t="s">
        <v>211</v>
      </c>
      <c r="D3" s="338" t="s">
        <v>218</v>
      </c>
      <c r="E3" s="339" t="s">
        <v>231</v>
      </c>
      <c r="F3" s="335" t="s">
        <v>378</v>
      </c>
      <c r="G3" s="335" t="s">
        <v>400</v>
      </c>
      <c r="H3" s="335" t="s">
        <v>321</v>
      </c>
      <c r="I3" s="335" t="s">
        <v>294</v>
      </c>
      <c r="J3" s="335" t="s">
        <v>277</v>
      </c>
      <c r="K3" s="335" t="s">
        <v>280</v>
      </c>
      <c r="L3" s="335" t="s">
        <v>281</v>
      </c>
      <c r="M3" s="335" t="s">
        <v>282</v>
      </c>
      <c r="N3" s="335" t="s">
        <v>297</v>
      </c>
      <c r="O3" s="335" t="s">
        <v>303</v>
      </c>
      <c r="P3" s="335" t="s">
        <v>311</v>
      </c>
      <c r="Q3" s="335" t="s">
        <v>330</v>
      </c>
      <c r="R3" s="338"/>
      <c r="S3"/>
      <c r="T3" s="201" t="s">
        <v>210</v>
      </c>
      <c r="U3" s="201" t="s">
        <v>216</v>
      </c>
      <c r="V3" s="201" t="s">
        <v>211</v>
      </c>
      <c r="W3" s="201" t="s">
        <v>218</v>
      </c>
      <c r="X3" s="167" t="s">
        <v>231</v>
      </c>
      <c r="Y3" t="s">
        <v>378</v>
      </c>
      <c r="Z3" t="s">
        <v>400</v>
      </c>
      <c r="AA3" t="s">
        <v>321</v>
      </c>
      <c r="AB3" t="s">
        <v>294</v>
      </c>
      <c r="AC3" t="s">
        <v>277</v>
      </c>
      <c r="AD3" t="s">
        <v>280</v>
      </c>
      <c r="AE3" t="s">
        <v>281</v>
      </c>
      <c r="AF3" t="s">
        <v>282</v>
      </c>
      <c r="AG3" t="s">
        <v>297</v>
      </c>
      <c r="AH3" t="s">
        <v>303</v>
      </c>
      <c r="AI3" t="s">
        <v>311</v>
      </c>
      <c r="AJ3" t="s">
        <v>330</v>
      </c>
      <c r="AL3"/>
      <c r="AM3"/>
      <c r="AN3"/>
      <c r="AO3"/>
      <c r="AP3"/>
      <c r="AQ3"/>
      <c r="AR3"/>
      <c r="AS3"/>
      <c r="AT3"/>
      <c r="AU3"/>
      <c r="AV3"/>
      <c r="AW3"/>
      <c r="AX3"/>
    </row>
    <row r="4" spans="1:50" x14ac:dyDescent="0.35">
      <c r="A4" s="335" t="s">
        <v>46</v>
      </c>
      <c r="B4" s="335" t="s">
        <v>507</v>
      </c>
      <c r="C4" s="335" t="s">
        <v>268</v>
      </c>
      <c r="D4" s="340" t="s">
        <v>272</v>
      </c>
      <c r="E4" s="335">
        <v>17</v>
      </c>
      <c r="F4" s="341"/>
      <c r="G4" s="341">
        <v>51127</v>
      </c>
      <c r="H4" s="341"/>
      <c r="I4" s="341">
        <v>1908.8</v>
      </c>
      <c r="J4" s="341"/>
      <c r="K4" s="341"/>
      <c r="L4" s="341"/>
      <c r="M4" s="341"/>
      <c r="N4" s="341"/>
      <c r="O4" s="341"/>
      <c r="P4" s="341"/>
      <c r="Q4" s="341"/>
      <c r="R4" s="342">
        <v>53035.8</v>
      </c>
      <c r="T4" t="s">
        <v>46</v>
      </c>
      <c r="U4" t="s">
        <v>507</v>
      </c>
      <c r="V4" t="s">
        <v>268</v>
      </c>
      <c r="W4" s="295" t="s">
        <v>272</v>
      </c>
      <c r="X4">
        <v>17</v>
      </c>
      <c r="Y4" s="311"/>
      <c r="Z4" s="311">
        <v>0</v>
      </c>
      <c r="AA4" s="311"/>
      <c r="AB4" s="311">
        <v>1</v>
      </c>
      <c r="AC4" s="311"/>
      <c r="AD4" s="311"/>
      <c r="AE4" s="311"/>
      <c r="AF4" s="311"/>
      <c r="AG4" s="311"/>
      <c r="AH4" s="311"/>
      <c r="AI4" s="311"/>
      <c r="AJ4" s="311"/>
      <c r="AK4" s="312">
        <v>1</v>
      </c>
    </row>
    <row r="5" spans="1:50" x14ac:dyDescent="0.35">
      <c r="A5" s="335"/>
      <c r="B5" s="335" t="s">
        <v>510</v>
      </c>
      <c r="C5" s="335" t="s">
        <v>268</v>
      </c>
      <c r="D5" s="340" t="s">
        <v>272</v>
      </c>
      <c r="E5" s="335">
        <v>22</v>
      </c>
      <c r="F5" s="341"/>
      <c r="G5" s="341"/>
      <c r="H5" s="341"/>
      <c r="I5" s="341"/>
      <c r="J5" s="341"/>
      <c r="K5" s="341"/>
      <c r="L5" s="341"/>
      <c r="M5" s="341">
        <v>89785.840000000011</v>
      </c>
      <c r="N5" s="341">
        <v>80159</v>
      </c>
      <c r="O5" s="341"/>
      <c r="P5" s="341"/>
      <c r="Q5" s="341"/>
      <c r="R5" s="342">
        <v>169944.84000000003</v>
      </c>
      <c r="U5" t="s">
        <v>510</v>
      </c>
      <c r="V5" t="s">
        <v>268</v>
      </c>
      <c r="W5" s="295" t="s">
        <v>272</v>
      </c>
      <c r="X5">
        <v>22</v>
      </c>
      <c r="Y5" s="311"/>
      <c r="Z5" s="311"/>
      <c r="AA5" s="311"/>
      <c r="AB5" s="311"/>
      <c r="AC5" s="311"/>
      <c r="AD5" s="311"/>
      <c r="AE5" s="311"/>
      <c r="AF5" s="311">
        <v>1</v>
      </c>
      <c r="AG5" s="311">
        <v>0</v>
      </c>
      <c r="AH5" s="311"/>
      <c r="AI5" s="311"/>
      <c r="AJ5" s="311"/>
      <c r="AK5" s="312">
        <v>1</v>
      </c>
    </row>
    <row r="6" spans="1:50" x14ac:dyDescent="0.35">
      <c r="A6" s="335"/>
      <c r="B6" s="335" t="s">
        <v>502</v>
      </c>
      <c r="C6" s="335" t="s">
        <v>268</v>
      </c>
      <c r="D6" s="340" t="s">
        <v>272</v>
      </c>
      <c r="E6" s="335">
        <v>25</v>
      </c>
      <c r="F6" s="341"/>
      <c r="G6" s="341"/>
      <c r="H6" s="341"/>
      <c r="I6" s="341">
        <v>56748.11</v>
      </c>
      <c r="J6" s="341">
        <v>87190</v>
      </c>
      <c r="K6" s="341">
        <v>54084</v>
      </c>
      <c r="L6" s="341"/>
      <c r="M6" s="341"/>
      <c r="N6" s="341"/>
      <c r="O6" s="341"/>
      <c r="P6" s="341"/>
      <c r="Q6" s="341"/>
      <c r="R6" s="342">
        <v>198022.11</v>
      </c>
      <c r="U6" t="s">
        <v>502</v>
      </c>
      <c r="V6" t="s">
        <v>268</v>
      </c>
      <c r="W6" s="295" t="s">
        <v>272</v>
      </c>
      <c r="X6">
        <v>25</v>
      </c>
      <c r="Y6" s="311"/>
      <c r="Z6" s="311"/>
      <c r="AA6" s="311"/>
      <c r="AB6" s="311">
        <v>1</v>
      </c>
      <c r="AC6" s="311">
        <v>0</v>
      </c>
      <c r="AD6" s="311">
        <v>0</v>
      </c>
      <c r="AE6" s="311"/>
      <c r="AF6" s="311"/>
      <c r="AG6" s="311"/>
      <c r="AH6" s="311"/>
      <c r="AI6" s="311"/>
      <c r="AJ6" s="311"/>
      <c r="AK6" s="312">
        <v>1</v>
      </c>
    </row>
    <row r="7" spans="1:50" x14ac:dyDescent="0.35">
      <c r="A7" s="335"/>
      <c r="B7" s="335" t="s">
        <v>503</v>
      </c>
      <c r="C7" s="335" t="s">
        <v>268</v>
      </c>
      <c r="D7" s="340" t="s">
        <v>272</v>
      </c>
      <c r="E7" s="335">
        <v>7</v>
      </c>
      <c r="F7" s="341"/>
      <c r="G7" s="341"/>
      <c r="H7" s="341"/>
      <c r="I7" s="341">
        <v>7015.5</v>
      </c>
      <c r="J7" s="341"/>
      <c r="K7" s="341"/>
      <c r="L7" s="341"/>
      <c r="M7" s="341"/>
      <c r="N7" s="341"/>
      <c r="O7" s="341"/>
      <c r="P7" s="341"/>
      <c r="Q7" s="341"/>
      <c r="R7" s="342">
        <v>7015.5</v>
      </c>
      <c r="U7" t="s">
        <v>503</v>
      </c>
      <c r="V7" t="s">
        <v>268</v>
      </c>
      <c r="W7" s="295" t="s">
        <v>272</v>
      </c>
      <c r="X7">
        <v>7</v>
      </c>
      <c r="Y7" s="311"/>
      <c r="Z7" s="311"/>
      <c r="AA7" s="311"/>
      <c r="AB7" s="311">
        <v>1</v>
      </c>
      <c r="AC7" s="311"/>
      <c r="AD7" s="311"/>
      <c r="AE7" s="311"/>
      <c r="AF7" s="311"/>
      <c r="AG7" s="311"/>
      <c r="AH7" s="311"/>
      <c r="AI7" s="311"/>
      <c r="AJ7" s="311"/>
      <c r="AK7" s="312">
        <v>1</v>
      </c>
    </row>
    <row r="8" spans="1:50" x14ac:dyDescent="0.35">
      <c r="A8" s="335"/>
      <c r="B8" s="335" t="s">
        <v>509</v>
      </c>
      <c r="C8" s="335" t="s">
        <v>268</v>
      </c>
      <c r="D8" s="340" t="s">
        <v>272</v>
      </c>
      <c r="E8" s="335">
        <v>30</v>
      </c>
      <c r="F8" s="341">
        <v>362480.94</v>
      </c>
      <c r="G8" s="341">
        <v>33400</v>
      </c>
      <c r="H8" s="341"/>
      <c r="I8" s="341"/>
      <c r="J8" s="341"/>
      <c r="K8" s="341"/>
      <c r="L8" s="341"/>
      <c r="M8" s="341"/>
      <c r="N8" s="341"/>
      <c r="O8" s="341"/>
      <c r="P8" s="341"/>
      <c r="Q8" s="341"/>
      <c r="R8" s="342">
        <v>395880.94</v>
      </c>
      <c r="U8" t="s">
        <v>509</v>
      </c>
      <c r="V8" t="s">
        <v>268</v>
      </c>
      <c r="W8" s="295" t="s">
        <v>272</v>
      </c>
      <c r="X8">
        <v>30</v>
      </c>
      <c r="Y8" s="311">
        <v>1</v>
      </c>
      <c r="Z8" s="311">
        <v>0</v>
      </c>
      <c r="AA8" s="311"/>
      <c r="AB8" s="311"/>
      <c r="AC8" s="311"/>
      <c r="AD8" s="311"/>
      <c r="AE8" s="311"/>
      <c r="AF8" s="311"/>
      <c r="AG8" s="311"/>
      <c r="AH8" s="311"/>
      <c r="AI8" s="311"/>
      <c r="AJ8" s="311"/>
      <c r="AK8" s="312">
        <v>1</v>
      </c>
    </row>
    <row r="9" spans="1:50" x14ac:dyDescent="0.35">
      <c r="A9" s="335"/>
      <c r="B9" s="335" t="s">
        <v>533</v>
      </c>
      <c r="C9" s="335" t="s">
        <v>268</v>
      </c>
      <c r="D9" s="346" t="s">
        <v>309</v>
      </c>
      <c r="E9" s="335">
        <v>50</v>
      </c>
      <c r="F9" s="345"/>
      <c r="G9" s="345"/>
      <c r="H9" s="345"/>
      <c r="I9" s="345"/>
      <c r="J9" s="345"/>
      <c r="K9" s="345"/>
      <c r="L9" s="345"/>
      <c r="M9" s="345"/>
      <c r="N9" s="345"/>
      <c r="O9" s="345">
        <v>97273</v>
      </c>
      <c r="P9" s="345"/>
      <c r="Q9" s="345"/>
      <c r="R9" s="345">
        <v>97273</v>
      </c>
      <c r="U9" t="s">
        <v>533</v>
      </c>
      <c r="V9" t="s">
        <v>268</v>
      </c>
      <c r="W9" s="307" t="s">
        <v>309</v>
      </c>
      <c r="X9">
        <v>50</v>
      </c>
      <c r="Y9" s="314"/>
      <c r="Z9" s="314"/>
      <c r="AA9" s="314"/>
      <c r="AB9" s="314"/>
      <c r="AC9" s="314"/>
      <c r="AD9" s="314"/>
      <c r="AE9" s="314"/>
      <c r="AF9" s="314"/>
      <c r="AG9" s="314"/>
      <c r="AH9" s="314">
        <v>1</v>
      </c>
      <c r="AI9" s="314"/>
      <c r="AJ9" s="314"/>
      <c r="AK9" s="314">
        <v>1</v>
      </c>
    </row>
    <row r="10" spans="1:50" x14ac:dyDescent="0.35">
      <c r="A10" s="335"/>
      <c r="B10" s="335" t="s">
        <v>504</v>
      </c>
      <c r="C10" s="335" t="s">
        <v>268</v>
      </c>
      <c r="D10" s="340" t="s">
        <v>272</v>
      </c>
      <c r="E10" s="335">
        <v>30</v>
      </c>
      <c r="F10" s="341"/>
      <c r="G10" s="341"/>
      <c r="H10" s="341">
        <v>22782.880000000001</v>
      </c>
      <c r="I10" s="341">
        <v>68348.760000000009</v>
      </c>
      <c r="J10" s="341"/>
      <c r="K10" s="341"/>
      <c r="L10" s="341"/>
      <c r="M10" s="341"/>
      <c r="N10" s="341">
        <v>96242</v>
      </c>
      <c r="O10" s="341"/>
      <c r="P10" s="341"/>
      <c r="Q10" s="341"/>
      <c r="R10" s="342">
        <v>187373.64</v>
      </c>
      <c r="U10" t="s">
        <v>504</v>
      </c>
      <c r="V10" t="s">
        <v>268</v>
      </c>
      <c r="W10" s="295" t="s">
        <v>272</v>
      </c>
      <c r="X10">
        <v>30</v>
      </c>
      <c r="Y10" s="311"/>
      <c r="Z10" s="311"/>
      <c r="AA10" s="311">
        <v>1</v>
      </c>
      <c r="AB10" s="311">
        <v>0</v>
      </c>
      <c r="AC10" s="311"/>
      <c r="AD10" s="311"/>
      <c r="AE10" s="311"/>
      <c r="AF10" s="311"/>
      <c r="AG10" s="311">
        <v>0</v>
      </c>
      <c r="AH10" s="311"/>
      <c r="AI10" s="311"/>
      <c r="AJ10" s="311"/>
      <c r="AK10" s="312">
        <v>1</v>
      </c>
    </row>
    <row r="11" spans="1:50" x14ac:dyDescent="0.35">
      <c r="A11" s="335"/>
      <c r="B11" s="335" t="s">
        <v>525</v>
      </c>
      <c r="C11" s="335" t="s">
        <v>268</v>
      </c>
      <c r="D11" s="346" t="s">
        <v>309</v>
      </c>
      <c r="E11" s="335">
        <v>50</v>
      </c>
      <c r="F11" s="345"/>
      <c r="G11" s="345"/>
      <c r="H11" s="345"/>
      <c r="I11" s="345"/>
      <c r="J11" s="345"/>
      <c r="K11" s="345"/>
      <c r="L11" s="345"/>
      <c r="M11" s="345"/>
      <c r="N11" s="345"/>
      <c r="O11" s="345"/>
      <c r="P11" s="345">
        <v>150161</v>
      </c>
      <c r="Q11" s="345">
        <v>57229</v>
      </c>
      <c r="R11" s="345">
        <v>207390</v>
      </c>
      <c r="U11" t="s">
        <v>525</v>
      </c>
      <c r="V11" t="s">
        <v>268</v>
      </c>
      <c r="W11" s="307" t="s">
        <v>309</v>
      </c>
      <c r="X11">
        <v>50</v>
      </c>
      <c r="Y11" s="314"/>
      <c r="Z11" s="314"/>
      <c r="AA11" s="314"/>
      <c r="AB11" s="314"/>
      <c r="AC11" s="314"/>
      <c r="AD11" s="314"/>
      <c r="AE11" s="314"/>
      <c r="AF11" s="314"/>
      <c r="AG11" s="314"/>
      <c r="AH11" s="314"/>
      <c r="AI11" s="314">
        <v>1</v>
      </c>
      <c r="AJ11" s="314">
        <v>0</v>
      </c>
      <c r="AK11" s="314">
        <v>1</v>
      </c>
    </row>
    <row r="12" spans="1:50" x14ac:dyDescent="0.35">
      <c r="A12" s="335"/>
      <c r="B12" s="335" t="s">
        <v>505</v>
      </c>
      <c r="C12" s="335" t="s">
        <v>268</v>
      </c>
      <c r="D12" s="340" t="s">
        <v>272</v>
      </c>
      <c r="E12" s="335">
        <v>28</v>
      </c>
      <c r="F12" s="341"/>
      <c r="G12" s="341"/>
      <c r="H12" s="341"/>
      <c r="I12" s="341"/>
      <c r="J12" s="341">
        <v>178386</v>
      </c>
      <c r="K12" s="341">
        <v>179389</v>
      </c>
      <c r="L12" s="341"/>
      <c r="M12" s="341"/>
      <c r="N12" s="341"/>
      <c r="O12" s="341"/>
      <c r="P12" s="341"/>
      <c r="Q12" s="341"/>
      <c r="R12" s="342">
        <v>357775</v>
      </c>
      <c r="U12" t="s">
        <v>505</v>
      </c>
      <c r="V12" t="s">
        <v>268</v>
      </c>
      <c r="W12" s="295" t="s">
        <v>272</v>
      </c>
      <c r="X12">
        <v>28</v>
      </c>
      <c r="Y12" s="311"/>
      <c r="Z12" s="311"/>
      <c r="AA12" s="311"/>
      <c r="AB12" s="311"/>
      <c r="AC12" s="311">
        <v>1</v>
      </c>
      <c r="AD12" s="311">
        <v>0</v>
      </c>
      <c r="AE12" s="311"/>
      <c r="AF12" s="311"/>
      <c r="AG12" s="311"/>
      <c r="AH12" s="311"/>
      <c r="AI12" s="311"/>
      <c r="AJ12" s="311"/>
      <c r="AK12" s="312">
        <v>1</v>
      </c>
    </row>
    <row r="13" spans="1:50" x14ac:dyDescent="0.35">
      <c r="A13" s="335"/>
      <c r="B13" s="335" t="s">
        <v>535</v>
      </c>
      <c r="C13" s="335" t="s">
        <v>268</v>
      </c>
      <c r="D13" s="346" t="s">
        <v>309</v>
      </c>
      <c r="E13" s="335">
        <v>13</v>
      </c>
      <c r="F13" s="345"/>
      <c r="G13" s="345"/>
      <c r="H13" s="345"/>
      <c r="I13" s="345"/>
      <c r="J13" s="345"/>
      <c r="K13" s="345"/>
      <c r="L13" s="345"/>
      <c r="M13" s="345"/>
      <c r="N13" s="345"/>
      <c r="O13" s="345">
        <v>100243</v>
      </c>
      <c r="P13" s="345"/>
      <c r="Q13" s="345"/>
      <c r="R13" s="345">
        <v>100243</v>
      </c>
      <c r="U13" t="s">
        <v>535</v>
      </c>
      <c r="V13" t="s">
        <v>268</v>
      </c>
      <c r="W13" s="307" t="s">
        <v>309</v>
      </c>
      <c r="X13">
        <v>13</v>
      </c>
      <c r="Y13" s="314"/>
      <c r="Z13" s="314"/>
      <c r="AA13" s="314"/>
      <c r="AB13" s="314"/>
      <c r="AC13" s="314"/>
      <c r="AD13" s="314"/>
      <c r="AE13" s="314"/>
      <c r="AF13" s="314"/>
      <c r="AG13" s="314"/>
      <c r="AH13" s="314">
        <v>1</v>
      </c>
      <c r="AI13" s="314"/>
      <c r="AJ13" s="314"/>
      <c r="AK13" s="314">
        <v>1</v>
      </c>
    </row>
    <row r="14" spans="1:50" x14ac:dyDescent="0.35">
      <c r="A14" s="335"/>
      <c r="B14" s="335" t="s">
        <v>506</v>
      </c>
      <c r="C14" s="335" t="s">
        <v>268</v>
      </c>
      <c r="D14" s="340" t="s">
        <v>272</v>
      </c>
      <c r="E14" s="335">
        <v>48</v>
      </c>
      <c r="F14" s="341"/>
      <c r="G14" s="341"/>
      <c r="H14" s="341">
        <v>21344</v>
      </c>
      <c r="I14" s="341"/>
      <c r="J14" s="341">
        <v>2668</v>
      </c>
      <c r="K14" s="341"/>
      <c r="L14" s="341"/>
      <c r="M14" s="341"/>
      <c r="N14" s="341"/>
      <c r="O14" s="341"/>
      <c r="P14" s="341"/>
      <c r="Q14" s="341"/>
      <c r="R14" s="342">
        <v>24012</v>
      </c>
      <c r="U14" t="s">
        <v>506</v>
      </c>
      <c r="V14" t="s">
        <v>268</v>
      </c>
      <c r="W14" s="295" t="s">
        <v>272</v>
      </c>
      <c r="X14">
        <v>48</v>
      </c>
      <c r="Y14" s="311"/>
      <c r="Z14" s="311"/>
      <c r="AA14" s="311">
        <v>1</v>
      </c>
      <c r="AB14" s="311"/>
      <c r="AC14" s="311">
        <v>0</v>
      </c>
      <c r="AD14" s="311"/>
      <c r="AE14" s="311"/>
      <c r="AF14" s="311"/>
      <c r="AG14" s="311"/>
      <c r="AH14" s="311"/>
      <c r="AI14" s="311"/>
      <c r="AJ14" s="311"/>
      <c r="AK14" s="312">
        <v>1</v>
      </c>
    </row>
    <row r="15" spans="1:50" x14ac:dyDescent="0.35">
      <c r="A15" s="335"/>
      <c r="B15" s="335" t="s">
        <v>512</v>
      </c>
      <c r="C15" s="335" t="s">
        <v>268</v>
      </c>
      <c r="D15" s="340" t="s">
        <v>272</v>
      </c>
      <c r="E15" s="335">
        <v>48</v>
      </c>
      <c r="F15" s="341">
        <v>24407</v>
      </c>
      <c r="G15" s="341">
        <v>80520</v>
      </c>
      <c r="H15" s="341"/>
      <c r="I15" s="341"/>
      <c r="J15" s="341"/>
      <c r="K15" s="341"/>
      <c r="L15" s="341"/>
      <c r="M15" s="341"/>
      <c r="N15" s="341"/>
      <c r="O15" s="341"/>
      <c r="P15" s="341"/>
      <c r="Q15" s="341"/>
      <c r="R15" s="342">
        <v>104927</v>
      </c>
      <c r="U15" t="s">
        <v>512</v>
      </c>
      <c r="V15" t="s">
        <v>268</v>
      </c>
      <c r="W15" s="295" t="s">
        <v>272</v>
      </c>
      <c r="X15">
        <v>48</v>
      </c>
      <c r="Y15" s="311">
        <v>1</v>
      </c>
      <c r="Z15" s="311">
        <v>0</v>
      </c>
      <c r="AA15" s="311"/>
      <c r="AB15" s="311"/>
      <c r="AC15" s="311"/>
      <c r="AD15" s="311"/>
      <c r="AE15" s="311"/>
      <c r="AF15" s="311"/>
      <c r="AG15" s="311"/>
      <c r="AH15" s="311"/>
      <c r="AI15" s="311"/>
      <c r="AJ15" s="311"/>
      <c r="AK15" s="312">
        <v>1</v>
      </c>
    </row>
    <row r="16" spans="1:50" x14ac:dyDescent="0.35">
      <c r="A16" s="335"/>
      <c r="B16" s="335" t="s">
        <v>514</v>
      </c>
      <c r="C16" s="335" t="s">
        <v>268</v>
      </c>
      <c r="D16" s="340" t="s">
        <v>272</v>
      </c>
      <c r="E16" s="335">
        <v>20</v>
      </c>
      <c r="F16" s="341"/>
      <c r="G16" s="341"/>
      <c r="H16" s="341"/>
      <c r="I16" s="341"/>
      <c r="J16" s="341"/>
      <c r="K16" s="341"/>
      <c r="L16" s="341">
        <v>93065</v>
      </c>
      <c r="M16" s="341"/>
      <c r="N16" s="341"/>
      <c r="O16" s="341"/>
      <c r="P16" s="341"/>
      <c r="Q16" s="341"/>
      <c r="R16" s="342">
        <v>93065</v>
      </c>
      <c r="U16" t="s">
        <v>514</v>
      </c>
      <c r="V16" t="s">
        <v>268</v>
      </c>
      <c r="W16" s="295" t="s">
        <v>272</v>
      </c>
      <c r="X16">
        <v>20</v>
      </c>
      <c r="Y16" s="311"/>
      <c r="Z16" s="311"/>
      <c r="AA16" s="311"/>
      <c r="AB16" s="311"/>
      <c r="AC16" s="311"/>
      <c r="AD16" s="311"/>
      <c r="AE16" s="311">
        <v>1</v>
      </c>
      <c r="AF16" s="311"/>
      <c r="AG16" s="311"/>
      <c r="AH16" s="311"/>
      <c r="AI16" s="311"/>
      <c r="AJ16" s="311"/>
      <c r="AK16" s="312">
        <v>1</v>
      </c>
    </row>
    <row r="17" spans="1:50" x14ac:dyDescent="0.35">
      <c r="A17" s="335"/>
      <c r="B17" s="335" t="s">
        <v>516</v>
      </c>
      <c r="C17" s="335" t="s">
        <v>268</v>
      </c>
      <c r="D17" s="340" t="s">
        <v>272</v>
      </c>
      <c r="E17" s="335">
        <v>4</v>
      </c>
      <c r="F17" s="341"/>
      <c r="G17" s="341"/>
      <c r="H17" s="341"/>
      <c r="I17" s="341"/>
      <c r="J17" s="341"/>
      <c r="K17" s="341"/>
      <c r="L17" s="341">
        <v>525145.19999999995</v>
      </c>
      <c r="M17" s="341">
        <v>471952.96</v>
      </c>
      <c r="N17" s="341">
        <v>38212.51</v>
      </c>
      <c r="O17" s="341"/>
      <c r="P17" s="341"/>
      <c r="Q17" s="341"/>
      <c r="R17" s="342">
        <v>1035310.6699999999</v>
      </c>
      <c r="U17" t="s">
        <v>516</v>
      </c>
      <c r="V17" t="s">
        <v>268</v>
      </c>
      <c r="W17" s="295" t="s">
        <v>272</v>
      </c>
      <c r="X17">
        <v>4</v>
      </c>
      <c r="Y17" s="311"/>
      <c r="Z17" s="311"/>
      <c r="AA17" s="311"/>
      <c r="AB17" s="311"/>
      <c r="AC17" s="311"/>
      <c r="AD17" s="311"/>
      <c r="AE17" s="311">
        <v>1</v>
      </c>
      <c r="AF17" s="311">
        <v>0</v>
      </c>
      <c r="AG17" s="311">
        <v>0</v>
      </c>
      <c r="AH17" s="311"/>
      <c r="AI17" s="311"/>
      <c r="AJ17" s="311"/>
      <c r="AK17" s="312">
        <v>1</v>
      </c>
    </row>
    <row r="18" spans="1:50" x14ac:dyDescent="0.35">
      <c r="A18" s="335"/>
      <c r="B18" s="335" t="s">
        <v>531</v>
      </c>
      <c r="C18" s="335" t="s">
        <v>268</v>
      </c>
      <c r="D18" s="346" t="s">
        <v>309</v>
      </c>
      <c r="E18" s="335">
        <v>15</v>
      </c>
      <c r="F18" s="345"/>
      <c r="G18" s="345"/>
      <c r="H18" s="345"/>
      <c r="I18" s="345"/>
      <c r="J18" s="345"/>
      <c r="K18" s="345"/>
      <c r="L18" s="345"/>
      <c r="M18" s="345"/>
      <c r="N18" s="345"/>
      <c r="O18" s="345"/>
      <c r="P18" s="345">
        <v>64112.41</v>
      </c>
      <c r="Q18" s="345"/>
      <c r="R18" s="345">
        <v>64112.41</v>
      </c>
      <c r="U18" t="s">
        <v>531</v>
      </c>
      <c r="V18" t="s">
        <v>268</v>
      </c>
      <c r="W18" s="307" t="s">
        <v>309</v>
      </c>
      <c r="X18">
        <v>15</v>
      </c>
      <c r="Y18" s="314"/>
      <c r="Z18" s="314"/>
      <c r="AA18" s="314"/>
      <c r="AB18" s="314"/>
      <c r="AC18" s="314"/>
      <c r="AD18" s="314"/>
      <c r="AE18" s="314"/>
      <c r="AF18" s="314"/>
      <c r="AG18" s="314"/>
      <c r="AH18" s="314"/>
      <c r="AI18" s="314">
        <v>1</v>
      </c>
      <c r="AJ18" s="314"/>
      <c r="AK18" s="314">
        <v>1</v>
      </c>
    </row>
    <row r="19" spans="1:50" x14ac:dyDescent="0.35">
      <c r="A19" s="335"/>
      <c r="B19" s="335" t="s">
        <v>508</v>
      </c>
      <c r="C19" s="335" t="s">
        <v>268</v>
      </c>
      <c r="D19" s="340" t="s">
        <v>272</v>
      </c>
      <c r="E19" s="335">
        <v>7</v>
      </c>
      <c r="F19" s="341">
        <v>1601</v>
      </c>
      <c r="G19" s="341"/>
      <c r="H19" s="341"/>
      <c r="I19" s="341"/>
      <c r="J19" s="341"/>
      <c r="K19" s="341"/>
      <c r="L19" s="341"/>
      <c r="M19" s="341"/>
      <c r="N19" s="341"/>
      <c r="O19" s="341"/>
      <c r="P19" s="341"/>
      <c r="Q19" s="341"/>
      <c r="R19" s="342">
        <v>1601</v>
      </c>
      <c r="U19" t="s">
        <v>508</v>
      </c>
      <c r="V19" t="s">
        <v>268</v>
      </c>
      <c r="W19" s="295" t="s">
        <v>272</v>
      </c>
      <c r="X19">
        <v>7</v>
      </c>
      <c r="Y19" s="311">
        <v>1</v>
      </c>
      <c r="Z19" s="311"/>
      <c r="AA19" s="311"/>
      <c r="AB19" s="311"/>
      <c r="AC19" s="311"/>
      <c r="AD19" s="311"/>
      <c r="AE19" s="311"/>
      <c r="AF19" s="311"/>
      <c r="AG19" s="311"/>
      <c r="AH19" s="311"/>
      <c r="AI19" s="311"/>
      <c r="AJ19" s="311"/>
      <c r="AK19" s="312">
        <v>1</v>
      </c>
    </row>
    <row r="20" spans="1:50" x14ac:dyDescent="0.35">
      <c r="A20" s="335"/>
      <c r="B20" s="335" t="s">
        <v>530</v>
      </c>
      <c r="C20" s="335" t="s">
        <v>268</v>
      </c>
      <c r="D20" s="340" t="s">
        <v>272</v>
      </c>
      <c r="E20" s="335">
        <v>2</v>
      </c>
      <c r="F20" s="341"/>
      <c r="G20" s="341"/>
      <c r="H20" s="341"/>
      <c r="I20" s="341"/>
      <c r="J20" s="341"/>
      <c r="K20" s="341"/>
      <c r="L20" s="341"/>
      <c r="M20" s="341"/>
      <c r="N20" s="341"/>
      <c r="O20" s="341">
        <v>13541.25</v>
      </c>
      <c r="P20" s="341"/>
      <c r="Q20" s="341"/>
      <c r="R20" s="342">
        <v>13541.25</v>
      </c>
      <c r="U20" t="s">
        <v>530</v>
      </c>
      <c r="V20" t="s">
        <v>268</v>
      </c>
      <c r="W20" s="295" t="s">
        <v>272</v>
      </c>
      <c r="X20">
        <v>2</v>
      </c>
      <c r="Y20" s="311"/>
      <c r="Z20" s="311"/>
      <c r="AA20" s="311"/>
      <c r="AB20" s="311"/>
      <c r="AC20" s="311"/>
      <c r="AD20" s="311"/>
      <c r="AE20" s="311"/>
      <c r="AF20" s="311"/>
      <c r="AG20" s="311"/>
      <c r="AH20" s="311">
        <v>1</v>
      </c>
      <c r="AI20" s="311"/>
      <c r="AJ20" s="311"/>
      <c r="AK20" s="312">
        <v>1</v>
      </c>
    </row>
    <row r="21" spans="1:50" x14ac:dyDescent="0.35">
      <c r="A21" s="335"/>
      <c r="B21" s="335" t="s">
        <v>515</v>
      </c>
      <c r="C21" s="335" t="s">
        <v>268</v>
      </c>
      <c r="D21" s="340" t="s">
        <v>272</v>
      </c>
      <c r="E21" s="335">
        <v>32</v>
      </c>
      <c r="F21" s="341"/>
      <c r="G21" s="341"/>
      <c r="H21" s="341"/>
      <c r="I21" s="341"/>
      <c r="J21" s="341"/>
      <c r="K21" s="341"/>
      <c r="L21" s="341"/>
      <c r="M21" s="341">
        <v>46234.26</v>
      </c>
      <c r="N21" s="341">
        <v>122196</v>
      </c>
      <c r="O21" s="341"/>
      <c r="P21" s="341"/>
      <c r="Q21" s="341"/>
      <c r="R21" s="342">
        <v>168430.26</v>
      </c>
      <c r="U21" t="s">
        <v>515</v>
      </c>
      <c r="V21" t="s">
        <v>268</v>
      </c>
      <c r="W21" s="295" t="s">
        <v>272</v>
      </c>
      <c r="X21">
        <v>32</v>
      </c>
      <c r="Y21" s="311"/>
      <c r="Z21" s="311"/>
      <c r="AA21" s="311"/>
      <c r="AB21" s="311"/>
      <c r="AC21" s="311"/>
      <c r="AD21" s="311"/>
      <c r="AE21" s="311"/>
      <c r="AF21" s="311">
        <v>1</v>
      </c>
      <c r="AG21" s="311">
        <v>0</v>
      </c>
      <c r="AH21" s="311"/>
      <c r="AI21" s="311"/>
      <c r="AJ21" s="311"/>
      <c r="AK21" s="312">
        <v>1</v>
      </c>
    </row>
    <row r="22" spans="1:50" x14ac:dyDescent="0.35">
      <c r="A22" s="335"/>
      <c r="B22" s="335" t="s">
        <v>532</v>
      </c>
      <c r="C22" s="335" t="s">
        <v>268</v>
      </c>
      <c r="D22" s="346" t="s">
        <v>309</v>
      </c>
      <c r="E22" s="335">
        <v>5</v>
      </c>
      <c r="F22" s="345"/>
      <c r="G22" s="345"/>
      <c r="H22" s="345"/>
      <c r="I22" s="345"/>
      <c r="J22" s="345"/>
      <c r="K22" s="345"/>
      <c r="L22" s="345"/>
      <c r="M22" s="345"/>
      <c r="N22" s="345"/>
      <c r="O22" s="345">
        <v>22890.480000000003</v>
      </c>
      <c r="P22" s="345"/>
      <c r="Q22" s="345"/>
      <c r="R22" s="345">
        <v>22890.480000000003</v>
      </c>
      <c r="U22" t="s">
        <v>532</v>
      </c>
      <c r="V22" t="s">
        <v>268</v>
      </c>
      <c r="W22" s="307" t="s">
        <v>309</v>
      </c>
      <c r="X22">
        <v>5</v>
      </c>
      <c r="Y22" s="314"/>
      <c r="Z22" s="314"/>
      <c r="AA22" s="314"/>
      <c r="AB22" s="314"/>
      <c r="AC22" s="314"/>
      <c r="AD22" s="314"/>
      <c r="AE22" s="314"/>
      <c r="AF22" s="314"/>
      <c r="AG22" s="314"/>
      <c r="AH22" s="314">
        <v>1</v>
      </c>
      <c r="AI22" s="314"/>
      <c r="AJ22" s="314"/>
      <c r="AK22" s="314">
        <v>1</v>
      </c>
    </row>
    <row r="23" spans="1:50" x14ac:dyDescent="0.35">
      <c r="A23" s="335"/>
      <c r="B23" s="335" t="s">
        <v>517</v>
      </c>
      <c r="C23" s="335" t="s">
        <v>268</v>
      </c>
      <c r="D23" s="340" t="s">
        <v>272</v>
      </c>
      <c r="E23" s="335">
        <v>12</v>
      </c>
      <c r="F23" s="341"/>
      <c r="G23" s="341"/>
      <c r="H23" s="341"/>
      <c r="I23" s="341"/>
      <c r="J23" s="341"/>
      <c r="K23" s="341"/>
      <c r="L23" s="341"/>
      <c r="M23" s="341">
        <v>22198</v>
      </c>
      <c r="N23" s="341"/>
      <c r="O23" s="341"/>
      <c r="P23" s="341"/>
      <c r="Q23" s="341"/>
      <c r="R23" s="342">
        <v>22198</v>
      </c>
      <c r="U23" t="s">
        <v>517</v>
      </c>
      <c r="V23" t="s">
        <v>268</v>
      </c>
      <c r="W23" s="295" t="s">
        <v>272</v>
      </c>
      <c r="X23">
        <v>12</v>
      </c>
      <c r="Y23" s="311"/>
      <c r="Z23" s="311"/>
      <c r="AA23" s="311"/>
      <c r="AB23" s="311"/>
      <c r="AC23" s="311"/>
      <c r="AD23" s="311"/>
      <c r="AE23" s="311"/>
      <c r="AF23" s="311">
        <v>1</v>
      </c>
      <c r="AG23" s="311"/>
      <c r="AH23" s="311"/>
      <c r="AI23" s="311"/>
      <c r="AJ23" s="311"/>
      <c r="AK23" s="312">
        <v>1</v>
      </c>
    </row>
    <row r="24" spans="1:50" s="122" customFormat="1" x14ac:dyDescent="0.35">
      <c r="A24" s="335"/>
      <c r="B24" s="335" t="s">
        <v>534</v>
      </c>
      <c r="C24" s="335" t="s">
        <v>268</v>
      </c>
      <c r="D24" s="346" t="s">
        <v>309</v>
      </c>
      <c r="E24" s="335">
        <v>24</v>
      </c>
      <c r="F24" s="345"/>
      <c r="G24" s="345"/>
      <c r="H24" s="345"/>
      <c r="I24" s="345"/>
      <c r="J24" s="345"/>
      <c r="K24" s="345"/>
      <c r="L24" s="345"/>
      <c r="M24" s="345"/>
      <c r="N24" s="345"/>
      <c r="O24" s="345"/>
      <c r="P24" s="345">
        <v>48791.869999999995</v>
      </c>
      <c r="Q24" s="345"/>
      <c r="R24" s="345">
        <v>48791.869999999995</v>
      </c>
      <c r="S24"/>
      <c r="T24"/>
      <c r="U24" t="s">
        <v>534</v>
      </c>
      <c r="V24" t="s">
        <v>268</v>
      </c>
      <c r="W24" s="307" t="s">
        <v>309</v>
      </c>
      <c r="X24">
        <v>24</v>
      </c>
      <c r="Y24" s="314"/>
      <c r="Z24" s="314"/>
      <c r="AA24" s="314"/>
      <c r="AB24" s="314"/>
      <c r="AC24" s="314"/>
      <c r="AD24" s="314"/>
      <c r="AE24" s="314"/>
      <c r="AF24" s="314"/>
      <c r="AG24" s="314"/>
      <c r="AH24" s="314"/>
      <c r="AI24" s="314">
        <v>1</v>
      </c>
      <c r="AJ24" s="314"/>
      <c r="AK24" s="314">
        <v>1</v>
      </c>
      <c r="AL24"/>
      <c r="AM24"/>
      <c r="AN24"/>
      <c r="AO24"/>
      <c r="AP24"/>
      <c r="AQ24"/>
      <c r="AR24"/>
      <c r="AS24"/>
      <c r="AT24"/>
      <c r="AU24"/>
      <c r="AV24"/>
      <c r="AW24"/>
      <c r="AX24"/>
    </row>
    <row r="25" spans="1:50" x14ac:dyDescent="0.35">
      <c r="A25" s="335"/>
      <c r="B25" s="335" t="s">
        <v>526</v>
      </c>
      <c r="C25" s="335" t="s">
        <v>268</v>
      </c>
      <c r="D25" s="346" t="s">
        <v>309</v>
      </c>
      <c r="E25" s="335">
        <v>7</v>
      </c>
      <c r="F25" s="345"/>
      <c r="G25" s="345"/>
      <c r="H25" s="345"/>
      <c r="I25" s="345"/>
      <c r="J25" s="345"/>
      <c r="K25" s="345"/>
      <c r="L25" s="345"/>
      <c r="M25" s="345"/>
      <c r="N25" s="345"/>
      <c r="O25" s="345"/>
      <c r="P25" s="345"/>
      <c r="Q25" s="345">
        <v>14883.84</v>
      </c>
      <c r="R25" s="345">
        <v>14883.84</v>
      </c>
      <c r="U25" t="s">
        <v>526</v>
      </c>
      <c r="V25" t="s">
        <v>268</v>
      </c>
      <c r="W25" s="307" t="s">
        <v>309</v>
      </c>
      <c r="X25">
        <v>7</v>
      </c>
      <c r="Y25" s="314"/>
      <c r="Z25" s="314"/>
      <c r="AA25" s="314"/>
      <c r="AB25" s="314"/>
      <c r="AC25" s="314"/>
      <c r="AD25" s="314"/>
      <c r="AE25" s="314"/>
      <c r="AF25" s="314"/>
      <c r="AG25" s="314"/>
      <c r="AH25" s="314"/>
      <c r="AI25" s="314"/>
      <c r="AJ25" s="314">
        <v>1</v>
      </c>
      <c r="AK25" s="314">
        <v>1</v>
      </c>
    </row>
    <row r="26" spans="1:50" x14ac:dyDescent="0.35">
      <c r="A26" s="335"/>
      <c r="B26" s="335" t="s">
        <v>527</v>
      </c>
      <c r="C26" s="335" t="s">
        <v>268</v>
      </c>
      <c r="D26" s="346" t="s">
        <v>309</v>
      </c>
      <c r="E26" s="335">
        <v>2</v>
      </c>
      <c r="F26" s="345"/>
      <c r="G26" s="345"/>
      <c r="H26" s="345"/>
      <c r="I26" s="345"/>
      <c r="J26" s="345"/>
      <c r="K26" s="345"/>
      <c r="L26" s="345"/>
      <c r="M26" s="345"/>
      <c r="N26" s="345"/>
      <c r="O26" s="345"/>
      <c r="P26" s="345">
        <v>10410</v>
      </c>
      <c r="Q26" s="345"/>
      <c r="R26" s="345">
        <v>10410</v>
      </c>
      <c r="U26" t="s">
        <v>527</v>
      </c>
      <c r="V26" t="s">
        <v>268</v>
      </c>
      <c r="W26" s="307" t="s">
        <v>309</v>
      </c>
      <c r="X26">
        <v>2</v>
      </c>
      <c r="Y26" s="314"/>
      <c r="Z26" s="314"/>
      <c r="AA26" s="314"/>
      <c r="AB26" s="314"/>
      <c r="AC26" s="314"/>
      <c r="AD26" s="314"/>
      <c r="AE26" s="314"/>
      <c r="AF26" s="314"/>
      <c r="AG26" s="314"/>
      <c r="AH26" s="314"/>
      <c r="AI26" s="314">
        <v>1</v>
      </c>
      <c r="AJ26" s="314"/>
      <c r="AK26" s="314">
        <v>1</v>
      </c>
    </row>
    <row r="27" spans="1:50" x14ac:dyDescent="0.35">
      <c r="A27" s="335"/>
      <c r="B27" s="335" t="s">
        <v>528</v>
      </c>
      <c r="C27" s="335" t="s">
        <v>268</v>
      </c>
      <c r="D27" s="346" t="s">
        <v>309</v>
      </c>
      <c r="E27" s="335">
        <v>5</v>
      </c>
      <c r="F27" s="345"/>
      <c r="G27" s="345"/>
      <c r="H27" s="345"/>
      <c r="I27" s="345"/>
      <c r="J27" s="345"/>
      <c r="K27" s="345"/>
      <c r="L27" s="345"/>
      <c r="M27" s="345"/>
      <c r="N27" s="345"/>
      <c r="O27" s="345"/>
      <c r="P27" s="345">
        <v>17615.419999999998</v>
      </c>
      <c r="Q27" s="345"/>
      <c r="R27" s="345">
        <v>17615.419999999998</v>
      </c>
      <c r="U27" t="s">
        <v>528</v>
      </c>
      <c r="V27" t="s">
        <v>268</v>
      </c>
      <c r="W27" s="307" t="s">
        <v>309</v>
      </c>
      <c r="X27">
        <v>5</v>
      </c>
      <c r="Y27" s="314"/>
      <c r="Z27" s="314"/>
      <c r="AA27" s="314"/>
      <c r="AB27" s="314"/>
      <c r="AC27" s="314"/>
      <c r="AD27" s="314"/>
      <c r="AE27" s="314"/>
      <c r="AF27" s="314"/>
      <c r="AG27" s="314"/>
      <c r="AH27" s="314"/>
      <c r="AI27" s="314">
        <v>1</v>
      </c>
      <c r="AJ27" s="314"/>
      <c r="AK27" s="314">
        <v>1</v>
      </c>
    </row>
    <row r="28" spans="1:50" x14ac:dyDescent="0.35">
      <c r="A28" s="335"/>
      <c r="B28" s="335" t="s">
        <v>529</v>
      </c>
      <c r="C28" s="335" t="s">
        <v>268</v>
      </c>
      <c r="D28" s="346" t="s">
        <v>309</v>
      </c>
      <c r="E28" s="335">
        <v>1</v>
      </c>
      <c r="F28" s="345"/>
      <c r="G28" s="345"/>
      <c r="H28" s="345"/>
      <c r="I28" s="345"/>
      <c r="J28" s="345"/>
      <c r="K28" s="345"/>
      <c r="L28" s="345"/>
      <c r="M28" s="345"/>
      <c r="N28" s="345"/>
      <c r="O28" s="345"/>
      <c r="P28" s="345"/>
      <c r="Q28" s="345">
        <v>3202</v>
      </c>
      <c r="R28" s="345">
        <v>3202</v>
      </c>
      <c r="U28" t="s">
        <v>529</v>
      </c>
      <c r="V28" t="s">
        <v>268</v>
      </c>
      <c r="W28" s="307" t="s">
        <v>309</v>
      </c>
      <c r="X28">
        <v>1</v>
      </c>
      <c r="Y28" s="314"/>
      <c r="Z28" s="314"/>
      <c r="AA28" s="314"/>
      <c r="AB28" s="314"/>
      <c r="AC28" s="314"/>
      <c r="AD28" s="314"/>
      <c r="AE28" s="314"/>
      <c r="AF28" s="314"/>
      <c r="AG28" s="314"/>
      <c r="AH28" s="314"/>
      <c r="AI28" s="314"/>
      <c r="AJ28" s="314">
        <v>1</v>
      </c>
      <c r="AK28" s="314">
        <v>1</v>
      </c>
    </row>
    <row r="29" spans="1:50" x14ac:dyDescent="0.35">
      <c r="A29" s="335"/>
      <c r="B29" s="335" t="s">
        <v>1598</v>
      </c>
      <c r="C29" s="335" t="s">
        <v>268</v>
      </c>
      <c r="D29" s="347" t="s">
        <v>477</v>
      </c>
      <c r="E29" s="335">
        <v>3</v>
      </c>
      <c r="F29" s="343"/>
      <c r="G29" s="343"/>
      <c r="H29" s="343"/>
      <c r="I29" s="343"/>
      <c r="J29" s="343"/>
      <c r="K29" s="343"/>
      <c r="L29" s="343"/>
      <c r="M29" s="343"/>
      <c r="N29" s="343"/>
      <c r="O29" s="343"/>
      <c r="P29" s="343"/>
      <c r="Q29" s="343">
        <v>2680</v>
      </c>
      <c r="R29" s="343">
        <v>2680</v>
      </c>
      <c r="U29" t="s">
        <v>1598</v>
      </c>
      <c r="V29" t="s">
        <v>268</v>
      </c>
      <c r="W29" s="308" t="s">
        <v>477</v>
      </c>
      <c r="X29">
        <v>3</v>
      </c>
      <c r="Y29" s="313"/>
      <c r="Z29" s="313"/>
      <c r="AA29" s="313"/>
      <c r="AB29" s="313"/>
      <c r="AC29" s="313"/>
      <c r="AD29" s="313"/>
      <c r="AE29" s="313"/>
      <c r="AF29" s="313"/>
      <c r="AG29" s="313"/>
      <c r="AH29" s="313"/>
      <c r="AI29" s="313"/>
      <c r="AJ29" s="313">
        <v>1</v>
      </c>
      <c r="AK29" s="313">
        <v>1</v>
      </c>
    </row>
    <row r="30" spans="1:50" x14ac:dyDescent="0.35">
      <c r="A30" s="335" t="s">
        <v>518</v>
      </c>
      <c r="B30" s="335"/>
      <c r="C30" s="335"/>
      <c r="D30" s="335"/>
      <c r="E30" s="335"/>
      <c r="F30" s="344">
        <v>388488.94</v>
      </c>
      <c r="G30" s="344">
        <v>165047</v>
      </c>
      <c r="H30" s="344">
        <v>44126.880000000005</v>
      </c>
      <c r="I30" s="344">
        <v>134021.17000000001</v>
      </c>
      <c r="J30" s="344">
        <v>268244</v>
      </c>
      <c r="K30" s="344">
        <v>233473</v>
      </c>
      <c r="L30" s="344">
        <v>618210.19999999995</v>
      </c>
      <c r="M30" s="344">
        <v>630171.06000000006</v>
      </c>
      <c r="N30" s="344">
        <v>336809.51</v>
      </c>
      <c r="O30" s="344">
        <v>233947.73</v>
      </c>
      <c r="P30" s="344">
        <v>291090.7</v>
      </c>
      <c r="Q30" s="344">
        <v>77994.84</v>
      </c>
      <c r="R30" s="348">
        <v>3421625.03</v>
      </c>
      <c r="T30" t="s">
        <v>518</v>
      </c>
      <c r="W30"/>
      <c r="X30"/>
      <c r="Y30" s="309">
        <v>3</v>
      </c>
      <c r="Z30" s="309">
        <v>0</v>
      </c>
      <c r="AA30" s="309">
        <v>2</v>
      </c>
      <c r="AB30" s="309">
        <v>3</v>
      </c>
      <c r="AC30" s="309">
        <v>1</v>
      </c>
      <c r="AD30" s="309">
        <v>0</v>
      </c>
      <c r="AE30" s="309">
        <v>2</v>
      </c>
      <c r="AF30" s="309">
        <v>3</v>
      </c>
      <c r="AG30" s="309">
        <v>0</v>
      </c>
      <c r="AH30" s="309">
        <v>4</v>
      </c>
      <c r="AI30" s="309">
        <v>5</v>
      </c>
      <c r="AJ30" s="309">
        <v>3</v>
      </c>
      <c r="AK30" s="315">
        <v>26</v>
      </c>
    </row>
    <row r="31" spans="1:50" x14ac:dyDescent="0.35">
      <c r="A31" s="335" t="s">
        <v>59</v>
      </c>
      <c r="B31" s="335" t="s">
        <v>492</v>
      </c>
      <c r="C31" s="335" t="s">
        <v>268</v>
      </c>
      <c r="D31" s="340" t="s">
        <v>272</v>
      </c>
      <c r="E31" s="335">
        <v>26</v>
      </c>
      <c r="F31" s="341"/>
      <c r="G31" s="341"/>
      <c r="H31" s="341"/>
      <c r="I31" s="341"/>
      <c r="J31" s="341"/>
      <c r="K31" s="341">
        <v>1004676</v>
      </c>
      <c r="L31" s="341">
        <v>969712.83000000007</v>
      </c>
      <c r="M31" s="341">
        <v>326460</v>
      </c>
      <c r="N31" s="341"/>
      <c r="O31" s="341"/>
      <c r="P31" s="341"/>
      <c r="Q31" s="341"/>
      <c r="R31" s="342">
        <v>2300848.83</v>
      </c>
      <c r="T31" t="s">
        <v>59</v>
      </c>
      <c r="U31" t="s">
        <v>492</v>
      </c>
      <c r="V31" t="s">
        <v>268</v>
      </c>
      <c r="W31" s="295" t="s">
        <v>272</v>
      </c>
      <c r="X31">
        <v>26</v>
      </c>
      <c r="Y31" s="311"/>
      <c r="Z31" s="311"/>
      <c r="AA31" s="311"/>
      <c r="AB31" s="311"/>
      <c r="AC31" s="311"/>
      <c r="AD31" s="311">
        <v>1</v>
      </c>
      <c r="AE31" s="311">
        <v>0</v>
      </c>
      <c r="AF31" s="311">
        <v>0</v>
      </c>
      <c r="AG31" s="311"/>
      <c r="AH31" s="311"/>
      <c r="AI31" s="311"/>
      <c r="AJ31" s="311"/>
      <c r="AK31" s="312">
        <v>1</v>
      </c>
    </row>
    <row r="32" spans="1:50" x14ac:dyDescent="0.35">
      <c r="A32" s="335"/>
      <c r="B32" s="335" t="s">
        <v>486</v>
      </c>
      <c r="C32" s="335" t="s">
        <v>268</v>
      </c>
      <c r="D32" s="340" t="s">
        <v>272</v>
      </c>
      <c r="E32" s="335">
        <v>1</v>
      </c>
      <c r="F32" s="341"/>
      <c r="G32" s="341"/>
      <c r="H32" s="341"/>
      <c r="I32" s="341"/>
      <c r="J32" s="341"/>
      <c r="K32" s="341"/>
      <c r="L32" s="341">
        <v>1375.5</v>
      </c>
      <c r="M32" s="341"/>
      <c r="N32" s="341"/>
      <c r="O32" s="341"/>
      <c r="P32" s="341"/>
      <c r="Q32" s="341"/>
      <c r="R32" s="342">
        <v>1375.5</v>
      </c>
      <c r="U32" t="s">
        <v>486</v>
      </c>
      <c r="V32" t="s">
        <v>268</v>
      </c>
      <c r="W32" s="295" t="s">
        <v>272</v>
      </c>
      <c r="X32">
        <v>1</v>
      </c>
      <c r="Y32" s="311"/>
      <c r="Z32" s="311"/>
      <c r="AA32" s="311"/>
      <c r="AB32" s="311"/>
      <c r="AC32" s="311"/>
      <c r="AD32" s="311"/>
      <c r="AE32" s="311">
        <v>1</v>
      </c>
      <c r="AF32" s="311"/>
      <c r="AG32" s="311"/>
      <c r="AH32" s="311"/>
      <c r="AI32" s="311"/>
      <c r="AJ32" s="311"/>
      <c r="AK32" s="312">
        <v>1</v>
      </c>
    </row>
    <row r="33" spans="1:37" x14ac:dyDescent="0.35">
      <c r="A33" s="335"/>
      <c r="B33" s="335" t="s">
        <v>487</v>
      </c>
      <c r="C33" s="335" t="s">
        <v>268</v>
      </c>
      <c r="D33" s="340" t="s">
        <v>272</v>
      </c>
      <c r="E33" s="335">
        <v>26</v>
      </c>
      <c r="F33" s="341">
        <v>71837</v>
      </c>
      <c r="G33" s="341"/>
      <c r="H33" s="341"/>
      <c r="I33" s="341">
        <v>30383.55</v>
      </c>
      <c r="J33" s="341"/>
      <c r="K33" s="341"/>
      <c r="L33" s="341"/>
      <c r="M33" s="341"/>
      <c r="N33" s="341"/>
      <c r="O33" s="341"/>
      <c r="P33" s="341"/>
      <c r="Q33" s="341"/>
      <c r="R33" s="342">
        <v>102220.55</v>
      </c>
      <c r="U33" t="s">
        <v>487</v>
      </c>
      <c r="V33" t="s">
        <v>268</v>
      </c>
      <c r="W33" s="295" t="s">
        <v>272</v>
      </c>
      <c r="X33">
        <v>26</v>
      </c>
      <c r="Y33" s="311">
        <v>0</v>
      </c>
      <c r="Z33" s="311"/>
      <c r="AA33" s="311"/>
      <c r="AB33" s="311">
        <v>1</v>
      </c>
      <c r="AC33" s="311"/>
      <c r="AD33" s="311"/>
      <c r="AE33" s="311"/>
      <c r="AF33" s="311"/>
      <c r="AG33" s="311"/>
      <c r="AH33" s="311"/>
      <c r="AI33" s="311"/>
      <c r="AJ33" s="311"/>
      <c r="AK33" s="312">
        <v>1</v>
      </c>
    </row>
    <row r="34" spans="1:37" x14ac:dyDescent="0.35">
      <c r="A34" s="335"/>
      <c r="B34" s="335" t="s">
        <v>489</v>
      </c>
      <c r="C34" s="335" t="s">
        <v>268</v>
      </c>
      <c r="D34" s="340" t="s">
        <v>272</v>
      </c>
      <c r="E34" s="335">
        <v>50</v>
      </c>
      <c r="F34" s="341"/>
      <c r="G34" s="341"/>
      <c r="H34" s="341"/>
      <c r="I34" s="341"/>
      <c r="J34" s="341"/>
      <c r="K34" s="341"/>
      <c r="L34" s="341">
        <v>269518</v>
      </c>
      <c r="M34" s="341">
        <v>760037</v>
      </c>
      <c r="N34" s="341">
        <v>131612</v>
      </c>
      <c r="O34" s="341"/>
      <c r="P34" s="341"/>
      <c r="Q34" s="341"/>
      <c r="R34" s="342">
        <v>1161167</v>
      </c>
      <c r="U34" t="s">
        <v>489</v>
      </c>
      <c r="V34" t="s">
        <v>268</v>
      </c>
      <c r="W34" s="295" t="s">
        <v>272</v>
      </c>
      <c r="X34">
        <v>50</v>
      </c>
      <c r="Y34" s="311"/>
      <c r="Z34" s="311"/>
      <c r="AA34" s="311"/>
      <c r="AB34" s="311"/>
      <c r="AC34" s="311"/>
      <c r="AD34" s="311"/>
      <c r="AE34" s="311">
        <v>1</v>
      </c>
      <c r="AF34" s="311">
        <v>0</v>
      </c>
      <c r="AG34" s="311">
        <v>0</v>
      </c>
      <c r="AH34" s="311"/>
      <c r="AI34" s="311"/>
      <c r="AJ34" s="311"/>
      <c r="AK34" s="312">
        <v>1</v>
      </c>
    </row>
    <row r="35" spans="1:37" x14ac:dyDescent="0.35">
      <c r="A35" s="335"/>
      <c r="B35" s="335" t="s">
        <v>485</v>
      </c>
      <c r="C35" s="335" t="s">
        <v>268</v>
      </c>
      <c r="D35" s="340" t="s">
        <v>272</v>
      </c>
      <c r="E35" s="335">
        <v>18</v>
      </c>
      <c r="F35" s="341"/>
      <c r="G35" s="341"/>
      <c r="H35" s="341"/>
      <c r="I35" s="341"/>
      <c r="J35" s="341"/>
      <c r="K35" s="341"/>
      <c r="L35" s="341">
        <v>110307</v>
      </c>
      <c r="M35" s="341">
        <v>53695.14</v>
      </c>
      <c r="N35" s="341"/>
      <c r="O35" s="341"/>
      <c r="P35" s="341"/>
      <c r="Q35" s="341"/>
      <c r="R35" s="342">
        <v>164002.14000000001</v>
      </c>
      <c r="U35" t="s">
        <v>485</v>
      </c>
      <c r="V35" t="s">
        <v>268</v>
      </c>
      <c r="W35" s="295" t="s">
        <v>272</v>
      </c>
      <c r="X35">
        <v>18</v>
      </c>
      <c r="Y35" s="311"/>
      <c r="Z35" s="311"/>
      <c r="AA35" s="311"/>
      <c r="AB35" s="311"/>
      <c r="AC35" s="311"/>
      <c r="AD35" s="311"/>
      <c r="AE35" s="311">
        <v>1</v>
      </c>
      <c r="AF35" s="311">
        <v>0</v>
      </c>
      <c r="AG35" s="311"/>
      <c r="AH35" s="311"/>
      <c r="AI35" s="311"/>
      <c r="AJ35" s="311"/>
      <c r="AK35" s="312">
        <v>1</v>
      </c>
    </row>
    <row r="36" spans="1:37" x14ac:dyDescent="0.35">
      <c r="A36" s="335"/>
      <c r="B36" s="335" t="s">
        <v>500</v>
      </c>
      <c r="C36" s="335" t="s">
        <v>268</v>
      </c>
      <c r="D36" s="340" t="s">
        <v>272</v>
      </c>
      <c r="E36" s="335">
        <v>12</v>
      </c>
      <c r="F36" s="341"/>
      <c r="G36" s="341"/>
      <c r="H36" s="341"/>
      <c r="I36" s="341"/>
      <c r="J36" s="341"/>
      <c r="K36" s="341"/>
      <c r="L36" s="341"/>
      <c r="M36" s="341">
        <v>203436.49</v>
      </c>
      <c r="N36" s="341"/>
      <c r="O36" s="341"/>
      <c r="P36" s="341"/>
      <c r="Q36" s="341"/>
      <c r="R36" s="342">
        <v>203436.49</v>
      </c>
      <c r="U36" t="s">
        <v>500</v>
      </c>
      <c r="V36" t="s">
        <v>268</v>
      </c>
      <c r="W36" s="295" t="s">
        <v>272</v>
      </c>
      <c r="X36">
        <v>12</v>
      </c>
      <c r="Y36" s="311"/>
      <c r="Z36" s="311"/>
      <c r="AA36" s="311"/>
      <c r="AB36" s="311"/>
      <c r="AC36" s="311"/>
      <c r="AD36" s="311"/>
      <c r="AE36" s="311"/>
      <c r="AF36" s="311">
        <v>1</v>
      </c>
      <c r="AG36" s="311"/>
      <c r="AH36" s="311"/>
      <c r="AI36" s="311"/>
      <c r="AJ36" s="311"/>
      <c r="AK36" s="312">
        <v>1</v>
      </c>
    </row>
    <row r="37" spans="1:37" x14ac:dyDescent="0.35">
      <c r="A37" s="335"/>
      <c r="B37" s="335" t="s">
        <v>499</v>
      </c>
      <c r="C37" s="335" t="s">
        <v>268</v>
      </c>
      <c r="D37" s="340" t="s">
        <v>272</v>
      </c>
      <c r="E37" s="335">
        <v>1</v>
      </c>
      <c r="F37" s="341"/>
      <c r="G37" s="341"/>
      <c r="H37" s="341">
        <v>4200</v>
      </c>
      <c r="I37" s="341"/>
      <c r="J37" s="341"/>
      <c r="K37" s="341"/>
      <c r="L37" s="341"/>
      <c r="M37" s="341"/>
      <c r="N37" s="341"/>
      <c r="O37" s="341"/>
      <c r="P37" s="341"/>
      <c r="Q37" s="341"/>
      <c r="R37" s="342">
        <v>4200</v>
      </c>
      <c r="U37" t="s">
        <v>499</v>
      </c>
      <c r="V37" t="s">
        <v>268</v>
      </c>
      <c r="W37" s="295" t="s">
        <v>272</v>
      </c>
      <c r="X37">
        <v>1</v>
      </c>
      <c r="Y37" s="311"/>
      <c r="Z37" s="311"/>
      <c r="AA37" s="311">
        <v>1</v>
      </c>
      <c r="AB37" s="311"/>
      <c r="AC37" s="311"/>
      <c r="AD37" s="311"/>
      <c r="AE37" s="311"/>
      <c r="AF37" s="311"/>
      <c r="AG37" s="311"/>
      <c r="AH37" s="311"/>
      <c r="AI37" s="311"/>
      <c r="AJ37" s="311"/>
      <c r="AK37" s="312">
        <v>1</v>
      </c>
    </row>
    <row r="38" spans="1:37" x14ac:dyDescent="0.35">
      <c r="A38" s="335"/>
      <c r="B38" s="335" t="s">
        <v>488</v>
      </c>
      <c r="C38" s="335" t="s">
        <v>268</v>
      </c>
      <c r="D38" s="340" t="s">
        <v>272</v>
      </c>
      <c r="E38" s="335">
        <v>9</v>
      </c>
      <c r="F38" s="341"/>
      <c r="G38" s="341"/>
      <c r="H38" s="341"/>
      <c r="I38" s="341">
        <v>54061.599999999999</v>
      </c>
      <c r="J38" s="341"/>
      <c r="K38" s="341"/>
      <c r="L38" s="341"/>
      <c r="M38" s="341"/>
      <c r="N38" s="341"/>
      <c r="O38" s="341"/>
      <c r="P38" s="341"/>
      <c r="Q38" s="341"/>
      <c r="R38" s="342">
        <v>54061.599999999999</v>
      </c>
      <c r="U38" t="s">
        <v>488</v>
      </c>
      <c r="V38" t="s">
        <v>268</v>
      </c>
      <c r="W38" s="295" t="s">
        <v>272</v>
      </c>
      <c r="X38">
        <v>9</v>
      </c>
      <c r="Y38" s="311"/>
      <c r="Z38" s="311"/>
      <c r="AA38" s="311"/>
      <c r="AB38" s="311">
        <v>1</v>
      </c>
      <c r="AC38" s="311"/>
      <c r="AD38" s="311"/>
      <c r="AE38" s="311"/>
      <c r="AF38" s="311"/>
      <c r="AG38" s="311"/>
      <c r="AH38" s="311"/>
      <c r="AI38" s="311"/>
      <c r="AJ38" s="311"/>
      <c r="AK38" s="312">
        <v>1</v>
      </c>
    </row>
    <row r="39" spans="1:37" x14ac:dyDescent="0.35">
      <c r="A39" s="335"/>
      <c r="B39" s="335" t="s">
        <v>497</v>
      </c>
      <c r="C39" s="335" t="s">
        <v>268</v>
      </c>
      <c r="D39" s="340" t="s">
        <v>272</v>
      </c>
      <c r="E39" s="335">
        <v>11</v>
      </c>
      <c r="F39" s="341"/>
      <c r="G39" s="341"/>
      <c r="H39" s="341"/>
      <c r="I39" s="341"/>
      <c r="J39" s="341"/>
      <c r="K39" s="341"/>
      <c r="L39" s="341"/>
      <c r="M39" s="341"/>
      <c r="N39" s="341">
        <v>74720</v>
      </c>
      <c r="O39" s="341"/>
      <c r="P39" s="341"/>
      <c r="Q39" s="341"/>
      <c r="R39" s="342">
        <v>74720</v>
      </c>
      <c r="U39" t="s">
        <v>497</v>
      </c>
      <c r="V39" t="s">
        <v>268</v>
      </c>
      <c r="W39" s="295" t="s">
        <v>272</v>
      </c>
      <c r="X39">
        <v>11</v>
      </c>
      <c r="Y39" s="311"/>
      <c r="Z39" s="311"/>
      <c r="AA39" s="311"/>
      <c r="AB39" s="311"/>
      <c r="AC39" s="311"/>
      <c r="AD39" s="311"/>
      <c r="AE39" s="311"/>
      <c r="AF39" s="311"/>
      <c r="AG39" s="311">
        <v>1</v>
      </c>
      <c r="AH39" s="311"/>
      <c r="AI39" s="311"/>
      <c r="AJ39" s="311"/>
      <c r="AK39" s="312">
        <v>1</v>
      </c>
    </row>
    <row r="40" spans="1:37" x14ac:dyDescent="0.35">
      <c r="A40" s="335"/>
      <c r="B40" s="335"/>
      <c r="C40" s="335"/>
      <c r="D40" s="346" t="s">
        <v>309</v>
      </c>
      <c r="E40" s="335">
        <v>11</v>
      </c>
      <c r="F40" s="345"/>
      <c r="G40" s="345"/>
      <c r="H40" s="345"/>
      <c r="I40" s="345"/>
      <c r="J40" s="345"/>
      <c r="K40" s="345"/>
      <c r="L40" s="345"/>
      <c r="M40" s="345"/>
      <c r="N40" s="345"/>
      <c r="O40" s="345">
        <v>127455</v>
      </c>
      <c r="P40" s="345"/>
      <c r="Q40" s="345"/>
      <c r="R40" s="345">
        <v>127455</v>
      </c>
      <c r="W40" s="307" t="s">
        <v>309</v>
      </c>
      <c r="X40">
        <v>11</v>
      </c>
      <c r="Y40" s="314"/>
      <c r="Z40" s="314"/>
      <c r="AA40" s="314"/>
      <c r="AB40" s="314"/>
      <c r="AC40" s="314"/>
      <c r="AD40" s="314"/>
      <c r="AE40" s="314"/>
      <c r="AF40" s="314"/>
      <c r="AG40" s="314"/>
      <c r="AH40" s="314">
        <v>0</v>
      </c>
      <c r="AI40" s="314"/>
      <c r="AJ40" s="314"/>
      <c r="AK40" s="314">
        <v>0</v>
      </c>
    </row>
    <row r="41" spans="1:37" x14ac:dyDescent="0.35">
      <c r="A41" s="335"/>
      <c r="B41" s="335" t="s">
        <v>494</v>
      </c>
      <c r="C41" s="335" t="s">
        <v>268</v>
      </c>
      <c r="D41" s="340" t="s">
        <v>272</v>
      </c>
      <c r="E41" s="335">
        <v>1</v>
      </c>
      <c r="F41" s="341"/>
      <c r="G41" s="341"/>
      <c r="H41" s="341"/>
      <c r="I41" s="341"/>
      <c r="J41" s="341"/>
      <c r="K41" s="341">
        <v>12309</v>
      </c>
      <c r="L41" s="341"/>
      <c r="M41" s="341"/>
      <c r="N41" s="341"/>
      <c r="O41" s="341"/>
      <c r="P41" s="341"/>
      <c r="Q41" s="341"/>
      <c r="R41" s="342">
        <v>12309</v>
      </c>
      <c r="U41" t="s">
        <v>494</v>
      </c>
      <c r="V41" t="s">
        <v>268</v>
      </c>
      <c r="W41" s="295" t="s">
        <v>272</v>
      </c>
      <c r="X41">
        <v>1</v>
      </c>
      <c r="Y41" s="311"/>
      <c r="Z41" s="311"/>
      <c r="AA41" s="311"/>
      <c r="AB41" s="311"/>
      <c r="AC41" s="311"/>
      <c r="AD41" s="311">
        <v>1</v>
      </c>
      <c r="AE41" s="311"/>
      <c r="AF41" s="311"/>
      <c r="AG41" s="311"/>
      <c r="AH41" s="311"/>
      <c r="AI41" s="311"/>
      <c r="AJ41" s="311"/>
      <c r="AK41" s="312">
        <v>1</v>
      </c>
    </row>
    <row r="42" spans="1:37" x14ac:dyDescent="0.35">
      <c r="A42" s="335"/>
      <c r="B42" s="335" t="s">
        <v>520</v>
      </c>
      <c r="C42" s="335" t="s">
        <v>268</v>
      </c>
      <c r="D42" s="346" t="s">
        <v>309</v>
      </c>
      <c r="E42" s="335">
        <v>38</v>
      </c>
      <c r="F42" s="345"/>
      <c r="G42" s="345"/>
      <c r="H42" s="345"/>
      <c r="I42" s="345"/>
      <c r="J42" s="345"/>
      <c r="K42" s="345"/>
      <c r="L42" s="345"/>
      <c r="M42" s="345"/>
      <c r="N42" s="345"/>
      <c r="O42" s="345"/>
      <c r="P42" s="345">
        <v>239023</v>
      </c>
      <c r="Q42" s="345">
        <v>72450.760000000068</v>
      </c>
      <c r="R42" s="345">
        <v>311473.76000000007</v>
      </c>
      <c r="U42" t="s">
        <v>520</v>
      </c>
      <c r="V42" t="s">
        <v>268</v>
      </c>
      <c r="W42" s="307" t="s">
        <v>309</v>
      </c>
      <c r="X42">
        <v>38</v>
      </c>
      <c r="Y42" s="314"/>
      <c r="Z42" s="314"/>
      <c r="AA42" s="314"/>
      <c r="AB42" s="314"/>
      <c r="AC42" s="314"/>
      <c r="AD42" s="314"/>
      <c r="AE42" s="314"/>
      <c r="AF42" s="314"/>
      <c r="AG42" s="314"/>
      <c r="AH42" s="314"/>
      <c r="AI42" s="314">
        <v>1</v>
      </c>
      <c r="AJ42" s="314">
        <v>0</v>
      </c>
      <c r="AK42" s="314">
        <v>1</v>
      </c>
    </row>
    <row r="43" spans="1:37" x14ac:dyDescent="0.35">
      <c r="A43" s="335"/>
      <c r="B43" s="335" t="s">
        <v>496</v>
      </c>
      <c r="C43" s="335" t="s">
        <v>268</v>
      </c>
      <c r="D43" s="340" t="s">
        <v>272</v>
      </c>
      <c r="E43" s="335">
        <v>1</v>
      </c>
      <c r="F43" s="341"/>
      <c r="G43" s="341"/>
      <c r="H43" s="341"/>
      <c r="I43" s="341">
        <v>1672</v>
      </c>
      <c r="J43" s="341"/>
      <c r="K43" s="341"/>
      <c r="L43" s="341"/>
      <c r="M43" s="341"/>
      <c r="N43" s="341"/>
      <c r="O43" s="341"/>
      <c r="P43" s="341"/>
      <c r="Q43" s="341"/>
      <c r="R43" s="342">
        <v>1672</v>
      </c>
      <c r="U43" t="s">
        <v>496</v>
      </c>
      <c r="V43" t="s">
        <v>268</v>
      </c>
      <c r="W43" s="295" t="s">
        <v>272</v>
      </c>
      <c r="X43">
        <v>1</v>
      </c>
      <c r="Y43" s="311"/>
      <c r="Z43" s="311"/>
      <c r="AA43" s="311"/>
      <c r="AB43" s="311">
        <v>1</v>
      </c>
      <c r="AC43" s="311"/>
      <c r="AD43" s="311"/>
      <c r="AE43" s="311"/>
      <c r="AF43" s="311"/>
      <c r="AG43" s="311"/>
      <c r="AH43" s="311"/>
      <c r="AI43" s="311"/>
      <c r="AJ43" s="311"/>
      <c r="AK43" s="312">
        <v>1</v>
      </c>
    </row>
    <row r="44" spans="1:37" x14ac:dyDescent="0.35">
      <c r="A44" s="335"/>
      <c r="B44" s="335" t="s">
        <v>524</v>
      </c>
      <c r="C44" s="335" t="s">
        <v>268</v>
      </c>
      <c r="D44" s="340" t="s">
        <v>272</v>
      </c>
      <c r="E44" s="335">
        <v>18</v>
      </c>
      <c r="F44" s="341"/>
      <c r="G44" s="341"/>
      <c r="H44" s="341"/>
      <c r="I44" s="341"/>
      <c r="J44" s="341"/>
      <c r="K44" s="341"/>
      <c r="L44" s="341"/>
      <c r="M44" s="341"/>
      <c r="N44" s="341">
        <v>149029</v>
      </c>
      <c r="O44" s="341"/>
      <c r="P44" s="341"/>
      <c r="Q44" s="341"/>
      <c r="R44" s="342">
        <v>149029</v>
      </c>
      <c r="U44" t="s">
        <v>524</v>
      </c>
      <c r="V44" t="s">
        <v>268</v>
      </c>
      <c r="W44" s="295" t="s">
        <v>272</v>
      </c>
      <c r="X44">
        <v>18</v>
      </c>
      <c r="Y44" s="311"/>
      <c r="Z44" s="311"/>
      <c r="AA44" s="311"/>
      <c r="AB44" s="311"/>
      <c r="AC44" s="311"/>
      <c r="AD44" s="311"/>
      <c r="AE44" s="311"/>
      <c r="AF44" s="311"/>
      <c r="AG44" s="311">
        <v>1</v>
      </c>
      <c r="AH44" s="311"/>
      <c r="AI44" s="311"/>
      <c r="AJ44" s="311"/>
      <c r="AK44" s="312">
        <v>1</v>
      </c>
    </row>
    <row r="45" spans="1:37" x14ac:dyDescent="0.35">
      <c r="A45" s="335"/>
      <c r="B45" s="335" t="s">
        <v>495</v>
      </c>
      <c r="C45" s="335" t="s">
        <v>268</v>
      </c>
      <c r="D45" s="340" t="s">
        <v>272</v>
      </c>
      <c r="E45" s="335">
        <v>1</v>
      </c>
      <c r="F45" s="341"/>
      <c r="G45" s="341"/>
      <c r="H45" s="341"/>
      <c r="I45" s="341"/>
      <c r="J45" s="341"/>
      <c r="K45" s="341"/>
      <c r="L45" s="341"/>
      <c r="M45" s="341">
        <v>1142.75</v>
      </c>
      <c r="N45" s="341"/>
      <c r="O45" s="341"/>
      <c r="P45" s="341"/>
      <c r="Q45" s="341"/>
      <c r="R45" s="342">
        <v>1142.75</v>
      </c>
      <c r="U45" t="s">
        <v>495</v>
      </c>
      <c r="V45" t="s">
        <v>268</v>
      </c>
      <c r="W45" s="295" t="s">
        <v>272</v>
      </c>
      <c r="X45">
        <v>1</v>
      </c>
      <c r="Y45" s="311"/>
      <c r="Z45" s="311"/>
      <c r="AA45" s="311"/>
      <c r="AB45" s="311"/>
      <c r="AC45" s="311"/>
      <c r="AD45" s="311"/>
      <c r="AE45" s="311"/>
      <c r="AF45" s="311">
        <v>1</v>
      </c>
      <c r="AG45" s="311"/>
      <c r="AH45" s="311"/>
      <c r="AI45" s="311"/>
      <c r="AJ45" s="311"/>
      <c r="AK45" s="312">
        <v>1</v>
      </c>
    </row>
    <row r="46" spans="1:37" x14ac:dyDescent="0.35">
      <c r="A46" s="335"/>
      <c r="B46" s="335" t="s">
        <v>498</v>
      </c>
      <c r="C46" s="335" t="s">
        <v>268</v>
      </c>
      <c r="D46" s="340" t="s">
        <v>272</v>
      </c>
      <c r="E46" s="335">
        <v>2</v>
      </c>
      <c r="F46" s="341">
        <v>5432.2</v>
      </c>
      <c r="G46" s="341"/>
      <c r="H46" s="341"/>
      <c r="I46" s="341"/>
      <c r="J46" s="341"/>
      <c r="K46" s="341"/>
      <c r="L46" s="341"/>
      <c r="M46" s="341"/>
      <c r="N46" s="341"/>
      <c r="O46" s="341"/>
      <c r="P46" s="341"/>
      <c r="Q46" s="341"/>
      <c r="R46" s="342">
        <v>5432.2</v>
      </c>
      <c r="U46" t="s">
        <v>498</v>
      </c>
      <c r="V46" t="s">
        <v>268</v>
      </c>
      <c r="W46" s="295" t="s">
        <v>272</v>
      </c>
      <c r="X46">
        <v>2</v>
      </c>
      <c r="Y46" s="311">
        <v>1</v>
      </c>
      <c r="Z46" s="311"/>
      <c r="AA46" s="311"/>
      <c r="AB46" s="311"/>
      <c r="AC46" s="311"/>
      <c r="AD46" s="311"/>
      <c r="AE46" s="311"/>
      <c r="AF46" s="311"/>
      <c r="AG46" s="311"/>
      <c r="AH46" s="311"/>
      <c r="AI46" s="311"/>
      <c r="AJ46" s="311"/>
      <c r="AK46" s="312">
        <v>1</v>
      </c>
    </row>
    <row r="47" spans="1:37" x14ac:dyDescent="0.35">
      <c r="A47" s="335"/>
      <c r="B47" s="335" t="s">
        <v>522</v>
      </c>
      <c r="C47" s="335" t="s">
        <v>268</v>
      </c>
      <c r="D47" s="340" t="s">
        <v>272</v>
      </c>
      <c r="E47" s="335">
        <v>1</v>
      </c>
      <c r="F47" s="341"/>
      <c r="G47" s="341"/>
      <c r="H47" s="341"/>
      <c r="I47" s="341"/>
      <c r="J47" s="341"/>
      <c r="K47" s="341"/>
      <c r="L47" s="341"/>
      <c r="M47" s="341"/>
      <c r="N47" s="341">
        <v>13398</v>
      </c>
      <c r="O47" s="341"/>
      <c r="P47" s="341"/>
      <c r="Q47" s="341"/>
      <c r="R47" s="342">
        <v>13398</v>
      </c>
      <c r="U47" t="s">
        <v>522</v>
      </c>
      <c r="V47" t="s">
        <v>268</v>
      </c>
      <c r="W47" s="295" t="s">
        <v>272</v>
      </c>
      <c r="X47">
        <v>1</v>
      </c>
      <c r="Y47" s="311"/>
      <c r="Z47" s="311"/>
      <c r="AA47" s="311"/>
      <c r="AB47" s="311"/>
      <c r="AC47" s="311"/>
      <c r="AD47" s="311"/>
      <c r="AE47" s="311"/>
      <c r="AF47" s="311"/>
      <c r="AG47" s="311">
        <v>1</v>
      </c>
      <c r="AH47" s="311"/>
      <c r="AI47" s="311"/>
      <c r="AJ47" s="311"/>
      <c r="AK47" s="312">
        <v>1</v>
      </c>
    </row>
    <row r="48" spans="1:37" x14ac:dyDescent="0.35">
      <c r="A48" s="335"/>
      <c r="B48" s="335" t="s">
        <v>490</v>
      </c>
      <c r="C48" s="335" t="s">
        <v>268</v>
      </c>
      <c r="D48" s="340" t="s">
        <v>272</v>
      </c>
      <c r="E48" s="335">
        <v>1</v>
      </c>
      <c r="F48" s="341"/>
      <c r="G48" s="341"/>
      <c r="H48" s="341"/>
      <c r="I48" s="341"/>
      <c r="J48" s="341"/>
      <c r="K48" s="341"/>
      <c r="L48" s="341">
        <v>499.5</v>
      </c>
      <c r="M48" s="341"/>
      <c r="N48" s="341"/>
      <c r="O48" s="341"/>
      <c r="P48" s="341"/>
      <c r="Q48" s="341"/>
      <c r="R48" s="342">
        <v>499.5</v>
      </c>
      <c r="U48" t="s">
        <v>490</v>
      </c>
      <c r="V48" t="s">
        <v>268</v>
      </c>
      <c r="W48" s="295" t="s">
        <v>272</v>
      </c>
      <c r="X48">
        <v>1</v>
      </c>
      <c r="Y48" s="311"/>
      <c r="Z48" s="311"/>
      <c r="AA48" s="311"/>
      <c r="AB48" s="311"/>
      <c r="AC48" s="311"/>
      <c r="AD48" s="311"/>
      <c r="AE48" s="311">
        <v>1</v>
      </c>
      <c r="AF48" s="311"/>
      <c r="AG48" s="311"/>
      <c r="AH48" s="311"/>
      <c r="AI48" s="311"/>
      <c r="AJ48" s="311"/>
      <c r="AK48" s="312">
        <v>1</v>
      </c>
    </row>
    <row r="49" spans="1:50" x14ac:dyDescent="0.35">
      <c r="A49" s="335"/>
      <c r="B49" s="335" t="s">
        <v>491</v>
      </c>
      <c r="C49" s="335" t="s">
        <v>268</v>
      </c>
      <c r="D49" s="340" t="s">
        <v>272</v>
      </c>
      <c r="E49" s="335">
        <v>1</v>
      </c>
      <c r="F49" s="341"/>
      <c r="G49" s="341"/>
      <c r="H49" s="341"/>
      <c r="I49" s="341"/>
      <c r="J49" s="341"/>
      <c r="K49" s="341"/>
      <c r="L49" s="341">
        <v>1466</v>
      </c>
      <c r="M49" s="341"/>
      <c r="N49" s="341"/>
      <c r="O49" s="341"/>
      <c r="P49" s="341"/>
      <c r="Q49" s="341"/>
      <c r="R49" s="342">
        <v>1466</v>
      </c>
      <c r="U49" t="s">
        <v>491</v>
      </c>
      <c r="V49" t="s">
        <v>268</v>
      </c>
      <c r="W49" s="295" t="s">
        <v>272</v>
      </c>
      <c r="X49">
        <v>1</v>
      </c>
      <c r="Y49" s="311"/>
      <c r="Z49" s="311"/>
      <c r="AA49" s="311"/>
      <c r="AB49" s="311"/>
      <c r="AC49" s="311"/>
      <c r="AD49" s="311"/>
      <c r="AE49" s="311">
        <v>1</v>
      </c>
      <c r="AF49" s="311"/>
      <c r="AG49" s="311"/>
      <c r="AH49" s="311"/>
      <c r="AI49" s="311"/>
      <c r="AJ49" s="311"/>
      <c r="AK49" s="312">
        <v>1</v>
      </c>
    </row>
    <row r="50" spans="1:50" x14ac:dyDescent="0.35">
      <c r="A50" s="335"/>
      <c r="B50" s="335" t="s">
        <v>521</v>
      </c>
      <c r="C50" s="335" t="s">
        <v>268</v>
      </c>
      <c r="D50" s="346" t="s">
        <v>309</v>
      </c>
      <c r="E50" s="335">
        <v>1</v>
      </c>
      <c r="F50" s="345"/>
      <c r="G50" s="345"/>
      <c r="H50" s="345"/>
      <c r="I50" s="345"/>
      <c r="J50" s="345"/>
      <c r="K50" s="345"/>
      <c r="L50" s="345"/>
      <c r="M50" s="345"/>
      <c r="N50" s="345"/>
      <c r="O50" s="345"/>
      <c r="P50" s="345"/>
      <c r="Q50" s="345">
        <v>6068.79</v>
      </c>
      <c r="R50" s="345">
        <v>6068.79</v>
      </c>
      <c r="U50" t="s">
        <v>521</v>
      </c>
      <c r="V50" t="s">
        <v>268</v>
      </c>
      <c r="W50" s="307" t="s">
        <v>309</v>
      </c>
      <c r="X50">
        <v>1</v>
      </c>
      <c r="Y50" s="314"/>
      <c r="Z50" s="314"/>
      <c r="AA50" s="314"/>
      <c r="AB50" s="314"/>
      <c r="AC50" s="314"/>
      <c r="AD50" s="314"/>
      <c r="AE50" s="314"/>
      <c r="AF50" s="314"/>
      <c r="AG50" s="314"/>
      <c r="AH50" s="314"/>
      <c r="AI50" s="314"/>
      <c r="AJ50" s="314">
        <v>1</v>
      </c>
      <c r="AK50" s="314">
        <v>1</v>
      </c>
    </row>
    <row r="51" spans="1:50" x14ac:dyDescent="0.35">
      <c r="A51" s="335"/>
      <c r="B51" s="335" t="s">
        <v>493</v>
      </c>
      <c r="C51" s="335" t="s">
        <v>268</v>
      </c>
      <c r="D51" s="340" t="s">
        <v>272</v>
      </c>
      <c r="E51" s="335">
        <v>26</v>
      </c>
      <c r="F51" s="341"/>
      <c r="G51" s="341"/>
      <c r="H51" s="341"/>
      <c r="I51" s="341"/>
      <c r="J51" s="341">
        <v>153379</v>
      </c>
      <c r="K51" s="341"/>
      <c r="L51" s="341"/>
      <c r="M51" s="341"/>
      <c r="N51" s="341"/>
      <c r="O51" s="341"/>
      <c r="P51" s="341"/>
      <c r="Q51" s="341"/>
      <c r="R51" s="342">
        <v>153379</v>
      </c>
      <c r="U51" t="s">
        <v>493</v>
      </c>
      <c r="V51" t="s">
        <v>268</v>
      </c>
      <c r="W51" s="295" t="s">
        <v>272</v>
      </c>
      <c r="X51">
        <v>26</v>
      </c>
      <c r="Y51" s="311"/>
      <c r="Z51" s="311"/>
      <c r="AA51" s="311"/>
      <c r="AB51" s="311"/>
      <c r="AC51" s="311">
        <v>1</v>
      </c>
      <c r="AD51" s="311"/>
      <c r="AE51" s="311"/>
      <c r="AF51" s="311"/>
      <c r="AG51" s="311"/>
      <c r="AH51" s="311"/>
      <c r="AI51" s="311"/>
      <c r="AJ51" s="311"/>
      <c r="AK51" s="312">
        <v>1</v>
      </c>
    </row>
    <row r="52" spans="1:50" s="113" customFormat="1" x14ac:dyDescent="0.35">
      <c r="A52" s="335"/>
      <c r="B52" s="335" t="s">
        <v>523</v>
      </c>
      <c r="C52" s="335" t="s">
        <v>268</v>
      </c>
      <c r="D52" s="346" t="s">
        <v>309</v>
      </c>
      <c r="E52" s="335">
        <v>1</v>
      </c>
      <c r="F52" s="345"/>
      <c r="G52" s="345"/>
      <c r="H52" s="345"/>
      <c r="I52" s="345"/>
      <c r="J52" s="345"/>
      <c r="K52" s="345"/>
      <c r="L52" s="345"/>
      <c r="M52" s="345"/>
      <c r="N52" s="345"/>
      <c r="O52" s="345"/>
      <c r="P52" s="345">
        <v>5839.5599999999995</v>
      </c>
      <c r="Q52" s="345"/>
      <c r="R52" s="345">
        <v>5839.5599999999995</v>
      </c>
      <c r="S52"/>
      <c r="T52"/>
      <c r="U52" t="s">
        <v>523</v>
      </c>
      <c r="V52" t="s">
        <v>268</v>
      </c>
      <c r="W52" s="307" t="s">
        <v>309</v>
      </c>
      <c r="X52">
        <v>1</v>
      </c>
      <c r="Y52" s="314"/>
      <c r="Z52" s="314"/>
      <c r="AA52" s="314"/>
      <c r="AB52" s="314"/>
      <c r="AC52" s="314"/>
      <c r="AD52" s="314"/>
      <c r="AE52" s="314"/>
      <c r="AF52" s="314"/>
      <c r="AG52" s="314"/>
      <c r="AH52" s="314"/>
      <c r="AI52" s="314">
        <v>1</v>
      </c>
      <c r="AJ52" s="314"/>
      <c r="AK52" s="314">
        <v>1</v>
      </c>
      <c r="AL52"/>
      <c r="AM52"/>
      <c r="AN52"/>
      <c r="AO52"/>
      <c r="AP52"/>
      <c r="AQ52"/>
      <c r="AR52"/>
      <c r="AS52"/>
      <c r="AT52"/>
      <c r="AU52"/>
      <c r="AV52"/>
      <c r="AW52"/>
      <c r="AX52"/>
    </row>
    <row r="53" spans="1:50" x14ac:dyDescent="0.35">
      <c r="A53" s="335"/>
      <c r="B53" s="335" t="s">
        <v>1564</v>
      </c>
      <c r="C53" s="335" t="s">
        <v>268</v>
      </c>
      <c r="D53" s="346" t="s">
        <v>309</v>
      </c>
      <c r="E53" s="335">
        <v>1</v>
      </c>
      <c r="F53" s="345"/>
      <c r="G53" s="345"/>
      <c r="H53" s="345"/>
      <c r="I53" s="345"/>
      <c r="J53" s="345"/>
      <c r="K53" s="345"/>
      <c r="L53" s="345"/>
      <c r="M53" s="345"/>
      <c r="N53" s="345"/>
      <c r="O53" s="345"/>
      <c r="P53" s="345">
        <v>3454</v>
      </c>
      <c r="Q53" s="345"/>
      <c r="R53" s="345">
        <v>3454</v>
      </c>
      <c r="U53" t="s">
        <v>1564</v>
      </c>
      <c r="V53" t="s">
        <v>268</v>
      </c>
      <c r="W53" s="307" t="s">
        <v>309</v>
      </c>
      <c r="X53">
        <v>1</v>
      </c>
      <c r="Y53" s="314"/>
      <c r="Z53" s="314"/>
      <c r="AA53" s="314"/>
      <c r="AB53" s="314"/>
      <c r="AC53" s="314"/>
      <c r="AD53" s="314"/>
      <c r="AE53" s="314"/>
      <c r="AF53" s="314"/>
      <c r="AG53" s="314"/>
      <c r="AH53" s="314"/>
      <c r="AI53" s="314">
        <v>1</v>
      </c>
      <c r="AJ53" s="314"/>
      <c r="AK53" s="314">
        <v>1</v>
      </c>
    </row>
    <row r="54" spans="1:50" x14ac:dyDescent="0.35">
      <c r="A54" s="335" t="s">
        <v>501</v>
      </c>
      <c r="B54" s="335"/>
      <c r="C54" s="335"/>
      <c r="D54" s="335"/>
      <c r="E54" s="335"/>
      <c r="F54" s="336">
        <v>77269.2</v>
      </c>
      <c r="G54" s="336"/>
      <c r="H54" s="336">
        <v>4200</v>
      </c>
      <c r="I54" s="336">
        <v>86117.15</v>
      </c>
      <c r="J54" s="336">
        <v>153379</v>
      </c>
      <c r="K54" s="336">
        <v>1016985</v>
      </c>
      <c r="L54" s="336">
        <v>1352878.83</v>
      </c>
      <c r="M54" s="336">
        <v>1344771.38</v>
      </c>
      <c r="N54" s="336">
        <v>368759</v>
      </c>
      <c r="O54" s="336">
        <v>127455</v>
      </c>
      <c r="P54" s="336">
        <v>248316.56</v>
      </c>
      <c r="Q54" s="336">
        <v>78519.550000000061</v>
      </c>
      <c r="R54" s="348">
        <v>4858650.669999999</v>
      </c>
      <c r="T54" t="s">
        <v>501</v>
      </c>
      <c r="W54"/>
      <c r="X54"/>
      <c r="Y54" s="309">
        <v>1</v>
      </c>
      <c r="Z54" s="309"/>
      <c r="AA54" s="309">
        <v>1</v>
      </c>
      <c r="AB54" s="309">
        <v>3</v>
      </c>
      <c r="AC54" s="309">
        <v>1</v>
      </c>
      <c r="AD54" s="309">
        <v>2</v>
      </c>
      <c r="AE54" s="309">
        <v>5</v>
      </c>
      <c r="AF54" s="309">
        <v>2</v>
      </c>
      <c r="AG54" s="309">
        <v>3</v>
      </c>
      <c r="AH54" s="309">
        <v>0</v>
      </c>
      <c r="AI54" s="309">
        <v>3</v>
      </c>
      <c r="AJ54" s="309">
        <v>1</v>
      </c>
      <c r="AK54" s="315">
        <v>22</v>
      </c>
    </row>
    <row r="55" spans="1:50" x14ac:dyDescent="0.35">
      <c r="A55" s="335" t="s">
        <v>484</v>
      </c>
      <c r="B55" s="335"/>
      <c r="C55" s="335"/>
      <c r="D55" s="335"/>
      <c r="E55" s="335"/>
      <c r="F55" s="336">
        <v>465758.14</v>
      </c>
      <c r="G55" s="336">
        <v>165047</v>
      </c>
      <c r="H55" s="336">
        <v>48326.880000000005</v>
      </c>
      <c r="I55" s="336">
        <v>220138.32</v>
      </c>
      <c r="J55" s="336">
        <v>421623</v>
      </c>
      <c r="K55" s="336">
        <v>1250458</v>
      </c>
      <c r="L55" s="336">
        <v>1971089.03</v>
      </c>
      <c r="M55" s="336">
        <v>1974942.44</v>
      </c>
      <c r="N55" s="336">
        <v>705568.51</v>
      </c>
      <c r="O55" s="336">
        <v>361402.73</v>
      </c>
      <c r="P55" s="336">
        <v>539407.26</v>
      </c>
      <c r="Q55" s="336">
        <v>156514.39000000007</v>
      </c>
      <c r="R55" s="337">
        <v>8280275.6999999983</v>
      </c>
      <c r="T55" t="s">
        <v>484</v>
      </c>
      <c r="W55"/>
      <c r="X55"/>
      <c r="Y55" s="309">
        <v>4</v>
      </c>
      <c r="Z55" s="309">
        <v>0</v>
      </c>
      <c r="AA55" s="309">
        <v>3</v>
      </c>
      <c r="AB55" s="309">
        <v>6</v>
      </c>
      <c r="AC55" s="309">
        <v>2</v>
      </c>
      <c r="AD55" s="309">
        <v>2</v>
      </c>
      <c r="AE55" s="309">
        <v>7</v>
      </c>
      <c r="AF55" s="309">
        <v>5</v>
      </c>
      <c r="AG55" s="309">
        <v>3</v>
      </c>
      <c r="AH55" s="309">
        <v>4</v>
      </c>
      <c r="AI55" s="309">
        <v>8</v>
      </c>
      <c r="AJ55" s="309">
        <v>4</v>
      </c>
      <c r="AK55" s="310">
        <v>48</v>
      </c>
    </row>
    <row r="56" spans="1:50" x14ac:dyDescent="0.35">
      <c r="D56"/>
      <c r="E56"/>
      <c r="G56"/>
      <c r="H56"/>
      <c r="I56"/>
      <c r="J56"/>
      <c r="W56"/>
      <c r="X56"/>
      <c r="Z56"/>
      <c r="AA56"/>
      <c r="AB56"/>
      <c r="AC56"/>
    </row>
    <row r="57" spans="1:50" x14ac:dyDescent="0.35">
      <c r="D57"/>
      <c r="E57"/>
      <c r="G57"/>
      <c r="H57"/>
      <c r="I57"/>
      <c r="J57"/>
      <c r="W57"/>
      <c r="X57"/>
      <c r="Z57"/>
      <c r="AA57"/>
      <c r="AB57"/>
      <c r="AC57"/>
    </row>
    <row r="58" spans="1:50" x14ac:dyDescent="0.35">
      <c r="D58"/>
      <c r="E58"/>
      <c r="G58"/>
      <c r="H58"/>
      <c r="I58"/>
      <c r="J58"/>
      <c r="W58"/>
      <c r="X58"/>
      <c r="Z58"/>
      <c r="AA58"/>
      <c r="AB58"/>
      <c r="AC58"/>
    </row>
    <row r="59" spans="1:50" x14ac:dyDescent="0.35">
      <c r="D59"/>
      <c r="E59"/>
      <c r="G59"/>
      <c r="H59"/>
      <c r="I59"/>
      <c r="J59"/>
      <c r="W59"/>
      <c r="X59"/>
      <c r="Z59"/>
      <c r="AA59"/>
      <c r="AB59"/>
      <c r="AC59"/>
    </row>
    <row r="60" spans="1:50" x14ac:dyDescent="0.35">
      <c r="D60"/>
      <c r="E60"/>
      <c r="G60"/>
      <c r="H60"/>
      <c r="I60"/>
      <c r="J60"/>
      <c r="W60"/>
      <c r="X60"/>
      <c r="Z60"/>
      <c r="AA60"/>
      <c r="AB60"/>
      <c r="AC60"/>
    </row>
    <row r="61" spans="1:50" x14ac:dyDescent="0.35">
      <c r="D61"/>
      <c r="E61"/>
      <c r="G61"/>
      <c r="H61"/>
      <c r="I61"/>
      <c r="J61"/>
      <c r="W61"/>
      <c r="X61"/>
      <c r="Z61"/>
      <c r="AA61"/>
      <c r="AB61"/>
      <c r="AC61"/>
    </row>
    <row r="62" spans="1:50" x14ac:dyDescent="0.35">
      <c r="D62"/>
      <c r="E62"/>
      <c r="G62"/>
      <c r="H62"/>
      <c r="I62"/>
      <c r="J62"/>
      <c r="W62"/>
      <c r="X62"/>
      <c r="Z62"/>
      <c r="AA62"/>
      <c r="AB62"/>
      <c r="AC62"/>
    </row>
    <row r="63" spans="1:50" x14ac:dyDescent="0.35">
      <c r="D63"/>
      <c r="E63"/>
      <c r="G63"/>
      <c r="H63"/>
      <c r="I63"/>
      <c r="J63"/>
      <c r="W63"/>
      <c r="X63"/>
      <c r="Z63"/>
      <c r="AA63"/>
      <c r="AB63"/>
      <c r="AC63"/>
    </row>
    <row r="64" spans="1:50" x14ac:dyDescent="0.35">
      <c r="D64"/>
      <c r="E64"/>
      <c r="G64"/>
      <c r="H64"/>
      <c r="I64"/>
      <c r="J64"/>
      <c r="W64"/>
      <c r="X64"/>
      <c r="Z64"/>
      <c r="AA64"/>
      <c r="AB64"/>
      <c r="AC64"/>
    </row>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sheetData>
  <conditionalFormatting sqref="E1:H2 E3:E115 E116:H1048576">
    <cfRule type="cellIs" dxfId="86" priority="3" operator="equal">
      <formula>"no"</formula>
    </cfRule>
  </conditionalFormatting>
  <conditionalFormatting sqref="X1:AA2 X3:X115 X116:AA1048576">
    <cfRule type="cellIs" dxfId="85" priority="1" operator="equal">
      <formula>"no"</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6124-C2C5-4061-A623-85D5C1BA47E3}">
  <sheetPr>
    <tabColor rgb="FFFF0000"/>
  </sheetPr>
  <dimension ref="A1:AX115"/>
  <sheetViews>
    <sheetView zoomScale="60" zoomScaleNormal="60" workbookViewId="0">
      <pane xSplit="6" ySplit="3" topLeftCell="G16" activePane="bottomRight" state="frozen"/>
      <selection pane="topRight" activeCell="G1" sqref="G1"/>
      <selection pane="bottomLeft" activeCell="A6" sqref="A6"/>
      <selection pane="bottomRight" activeCell="P41" sqref="P41"/>
    </sheetView>
  </sheetViews>
  <sheetFormatPr defaultRowHeight="14.5" outlineLevelCol="1" x14ac:dyDescent="0.35"/>
  <cols>
    <col min="1" max="1" width="15.453125" customWidth="1" outlineLevel="1"/>
    <col min="2" max="2" width="46.54296875" customWidth="1" outlineLevel="1"/>
    <col min="3" max="3" width="10.54296875" customWidth="1" outlineLevel="1"/>
    <col min="4" max="4" width="17.453125" style="13" customWidth="1" outlineLevel="1"/>
    <col min="5" max="5" width="19.453125" style="115" customWidth="1" outlineLevel="1"/>
    <col min="6" max="6" width="10.36328125" customWidth="1" outlineLevel="1"/>
    <col min="7" max="8" width="10.36328125" style="142" customWidth="1" outlineLevel="1"/>
    <col min="9" max="9" width="10.36328125" style="143" customWidth="1" outlineLevel="1"/>
    <col min="10" max="10" width="10.36328125" style="126" customWidth="1" outlineLevel="1"/>
    <col min="11" max="16" width="10.36328125" customWidth="1" outlineLevel="1"/>
    <col min="17" max="17" width="11.453125" customWidth="1" outlineLevel="1"/>
    <col min="18" max="18" width="12" customWidth="1"/>
    <col min="19" max="19" width="12" hidden="1" customWidth="1" outlineLevel="1"/>
    <col min="20" max="20" width="15.453125" hidden="1" customWidth="1" outlineLevel="1"/>
    <col min="21" max="21" width="46.54296875" hidden="1" customWidth="1" outlineLevel="1"/>
    <col min="22" max="22" width="10.54296875" hidden="1" customWidth="1" outlineLevel="1"/>
    <col min="23" max="23" width="17.453125" style="13" hidden="1" customWidth="1" outlineLevel="1"/>
    <col min="24" max="24" width="19.453125" style="115" hidden="1" customWidth="1" outlineLevel="1"/>
    <col min="25" max="25" width="9.36328125" hidden="1" customWidth="1" outlineLevel="1"/>
    <col min="26" max="27" width="9.36328125" style="142" hidden="1" customWidth="1" outlineLevel="1"/>
    <col min="28" max="28" width="9.36328125" style="143" hidden="1" customWidth="1" outlineLevel="1"/>
    <col min="29" max="29" width="9.36328125" style="126" hidden="1" customWidth="1" outlineLevel="1"/>
    <col min="30" max="35" width="9.36328125" hidden="1" customWidth="1" outlineLevel="1"/>
    <col min="36" max="36" width="10.36328125" customWidth="1" collapsed="1"/>
    <col min="37" max="37" width="10.54296875" customWidth="1"/>
    <col min="38" max="48" width="13.453125" bestFit="1" customWidth="1"/>
    <col min="49" max="49" width="11.453125" bestFit="1" customWidth="1"/>
    <col min="50" max="50" width="18.453125" bestFit="1" customWidth="1"/>
  </cols>
  <sheetData>
    <row r="1" spans="1:50" x14ac:dyDescent="0.35">
      <c r="A1" s="335" t="s">
        <v>720</v>
      </c>
      <c r="B1" s="335"/>
      <c r="C1" s="335"/>
      <c r="D1" s="335"/>
      <c r="E1" s="335"/>
      <c r="F1" s="335" t="s">
        <v>481</v>
      </c>
      <c r="G1" s="335" t="s">
        <v>482</v>
      </c>
      <c r="H1" s="335"/>
      <c r="I1" s="335"/>
      <c r="J1" s="335"/>
      <c r="K1" s="335"/>
      <c r="L1" s="335"/>
      <c r="M1" s="335"/>
      <c r="N1" s="335"/>
      <c r="O1" s="335"/>
      <c r="P1" s="335"/>
      <c r="Q1" s="335"/>
      <c r="T1" s="335" t="s">
        <v>750</v>
      </c>
      <c r="U1" s="335"/>
      <c r="V1" s="335"/>
      <c r="W1" s="335"/>
      <c r="X1" s="335"/>
      <c r="Y1" s="335" t="s">
        <v>481</v>
      </c>
      <c r="Z1" s="335" t="s">
        <v>482</v>
      </c>
      <c r="AA1" s="335"/>
      <c r="AB1" s="335"/>
      <c r="AC1" s="335"/>
      <c r="AD1" s="335"/>
      <c r="AE1" s="335"/>
      <c r="AF1" s="335"/>
      <c r="AG1" s="335"/>
      <c r="AH1" s="335"/>
      <c r="AI1" s="335"/>
      <c r="AJ1" s="335"/>
    </row>
    <row r="2" spans="1:50" x14ac:dyDescent="0.35">
      <c r="A2" s="335"/>
      <c r="B2" s="335"/>
      <c r="C2" s="335"/>
      <c r="D2" s="335"/>
      <c r="E2" s="335"/>
      <c r="F2" s="335" t="s">
        <v>721</v>
      </c>
      <c r="G2" s="335"/>
      <c r="H2" s="335"/>
      <c r="I2" s="335"/>
      <c r="J2" s="335"/>
      <c r="K2" s="335"/>
      <c r="L2" s="335"/>
      <c r="M2" s="335"/>
      <c r="N2" s="335"/>
      <c r="O2" s="335"/>
      <c r="P2" s="335"/>
      <c r="Q2" s="338" t="s">
        <v>484</v>
      </c>
      <c r="T2" s="335"/>
      <c r="U2" s="335"/>
      <c r="V2" s="335"/>
      <c r="W2" s="335"/>
      <c r="X2" s="335"/>
      <c r="Y2" s="335" t="s">
        <v>721</v>
      </c>
      <c r="Z2" s="335"/>
      <c r="AA2" s="335"/>
      <c r="AB2" s="335"/>
      <c r="AC2" s="335"/>
      <c r="AD2" s="335"/>
      <c r="AE2" s="335"/>
      <c r="AF2" s="335"/>
      <c r="AG2" s="335"/>
      <c r="AH2" s="335"/>
      <c r="AI2" s="335"/>
      <c r="AJ2" s="338" t="s">
        <v>484</v>
      </c>
    </row>
    <row r="3" spans="1:50" s="201" customFormat="1" ht="15" customHeight="1" x14ac:dyDescent="0.35">
      <c r="A3" s="338" t="s">
        <v>210</v>
      </c>
      <c r="B3" s="338" t="s">
        <v>216</v>
      </c>
      <c r="C3" s="338" t="s">
        <v>211</v>
      </c>
      <c r="D3" s="338" t="s">
        <v>218</v>
      </c>
      <c r="E3" s="339" t="s">
        <v>231</v>
      </c>
      <c r="F3" s="335" t="s">
        <v>315</v>
      </c>
      <c r="G3" s="335" t="s">
        <v>345</v>
      </c>
      <c r="H3" s="335" t="s">
        <v>336</v>
      </c>
      <c r="I3" s="335" t="s">
        <v>328</v>
      </c>
      <c r="J3" s="335" t="s">
        <v>286</v>
      </c>
      <c r="K3" s="335" t="s">
        <v>288</v>
      </c>
      <c r="L3" s="335" t="s">
        <v>289</v>
      </c>
      <c r="M3" s="335" t="s">
        <v>370</v>
      </c>
      <c r="N3" s="335" t="s">
        <v>341</v>
      </c>
      <c r="O3" s="335" t="s">
        <v>355</v>
      </c>
      <c r="P3" s="335" t="s">
        <v>356</v>
      </c>
      <c r="Q3" s="338"/>
      <c r="R3"/>
      <c r="S3"/>
      <c r="T3" s="338" t="s">
        <v>210</v>
      </c>
      <c r="U3" s="338" t="s">
        <v>216</v>
      </c>
      <c r="V3" s="338" t="s">
        <v>211</v>
      </c>
      <c r="W3" s="338" t="s">
        <v>218</v>
      </c>
      <c r="X3" s="339" t="s">
        <v>231</v>
      </c>
      <c r="Y3" s="335" t="s">
        <v>286</v>
      </c>
      <c r="Z3" s="335" t="s">
        <v>288</v>
      </c>
      <c r="AA3" s="335" t="s">
        <v>289</v>
      </c>
      <c r="AB3" s="335" t="s">
        <v>328</v>
      </c>
      <c r="AC3" s="335" t="s">
        <v>315</v>
      </c>
      <c r="AD3" s="335" t="s">
        <v>336</v>
      </c>
      <c r="AE3" s="335" t="s">
        <v>341</v>
      </c>
      <c r="AF3" s="335" t="s">
        <v>345</v>
      </c>
      <c r="AG3" s="335" t="s">
        <v>355</v>
      </c>
      <c r="AH3" s="335" t="s">
        <v>356</v>
      </c>
      <c r="AI3" s="335" t="s">
        <v>370</v>
      </c>
      <c r="AJ3" s="338"/>
      <c r="AK3"/>
      <c r="AL3"/>
      <c r="AM3"/>
      <c r="AN3"/>
      <c r="AO3"/>
      <c r="AP3"/>
      <c r="AQ3"/>
      <c r="AR3"/>
      <c r="AS3"/>
      <c r="AT3"/>
      <c r="AU3"/>
      <c r="AV3"/>
      <c r="AW3"/>
      <c r="AX3"/>
    </row>
    <row r="4" spans="1:50" x14ac:dyDescent="0.35">
      <c r="A4" s="335" t="s">
        <v>46</v>
      </c>
      <c r="B4" s="335" t="s">
        <v>722</v>
      </c>
      <c r="C4" s="335" t="s">
        <v>268</v>
      </c>
      <c r="D4" s="350" t="s">
        <v>284</v>
      </c>
      <c r="E4" s="335">
        <v>16</v>
      </c>
      <c r="F4" s="349"/>
      <c r="G4" s="349"/>
      <c r="H4" s="349"/>
      <c r="I4" s="349"/>
      <c r="J4" s="349"/>
      <c r="K4" s="349"/>
      <c r="L4" s="349"/>
      <c r="M4" s="349"/>
      <c r="N4" s="349">
        <v>1160820</v>
      </c>
      <c r="O4" s="349"/>
      <c r="P4" s="349"/>
      <c r="Q4" s="349">
        <v>1160820</v>
      </c>
      <c r="T4" s="335" t="s">
        <v>59</v>
      </c>
      <c r="U4" s="335" t="s">
        <v>739</v>
      </c>
      <c r="V4" s="335" t="s">
        <v>268</v>
      </c>
      <c r="W4" s="350" t="s">
        <v>284</v>
      </c>
      <c r="X4" s="335">
        <v>12</v>
      </c>
      <c r="Y4" s="353"/>
      <c r="Z4" s="353">
        <v>1</v>
      </c>
      <c r="AA4" s="353"/>
      <c r="AB4" s="353"/>
      <c r="AC4" s="353"/>
      <c r="AD4" s="353"/>
      <c r="AE4" s="353"/>
      <c r="AF4" s="353"/>
      <c r="AG4" s="353"/>
      <c r="AH4" s="353"/>
      <c r="AI4" s="353"/>
      <c r="AJ4" s="353">
        <v>1</v>
      </c>
    </row>
    <row r="5" spans="1:50" x14ac:dyDescent="0.35">
      <c r="A5" s="335"/>
      <c r="B5" s="335" t="s">
        <v>723</v>
      </c>
      <c r="C5" s="335" t="s">
        <v>268</v>
      </c>
      <c r="D5" s="350" t="s">
        <v>284</v>
      </c>
      <c r="E5" s="335">
        <v>117</v>
      </c>
      <c r="F5" s="349"/>
      <c r="G5" s="349"/>
      <c r="H5" s="349"/>
      <c r="I5" s="349"/>
      <c r="J5" s="349"/>
      <c r="K5" s="349"/>
      <c r="L5" s="349"/>
      <c r="M5" s="349"/>
      <c r="N5" s="349">
        <v>1044666.66666667</v>
      </c>
      <c r="O5" s="349">
        <v>1044666.66666667</v>
      </c>
      <c r="P5" s="349">
        <v>1044666.66666667</v>
      </c>
      <c r="Q5" s="349">
        <v>3134000.0000000102</v>
      </c>
      <c r="T5" s="335"/>
      <c r="U5" s="335" t="s">
        <v>746</v>
      </c>
      <c r="V5" s="335" t="s">
        <v>268</v>
      </c>
      <c r="W5" s="350" t="s">
        <v>284</v>
      </c>
      <c r="X5" s="335">
        <v>27</v>
      </c>
      <c r="Y5" s="353">
        <v>1</v>
      </c>
      <c r="Z5" s="353">
        <v>0</v>
      </c>
      <c r="AA5" s="353">
        <v>0</v>
      </c>
      <c r="AB5" s="353"/>
      <c r="AC5" s="353"/>
      <c r="AD5" s="353"/>
      <c r="AE5" s="353"/>
      <c r="AF5" s="353"/>
      <c r="AG5" s="353"/>
      <c r="AH5" s="353"/>
      <c r="AI5" s="353"/>
      <c r="AJ5" s="353">
        <v>1</v>
      </c>
    </row>
    <row r="6" spans="1:50" x14ac:dyDescent="0.35">
      <c r="A6" s="335"/>
      <c r="B6" s="335" t="s">
        <v>724</v>
      </c>
      <c r="C6" s="335" t="s">
        <v>268</v>
      </c>
      <c r="D6" s="350" t="s">
        <v>284</v>
      </c>
      <c r="E6" s="335">
        <v>9</v>
      </c>
      <c r="F6" s="349"/>
      <c r="G6" s="349"/>
      <c r="H6" s="349"/>
      <c r="I6" s="349">
        <v>401117</v>
      </c>
      <c r="J6" s="349">
        <v>401117</v>
      </c>
      <c r="K6" s="349"/>
      <c r="L6" s="349"/>
      <c r="M6" s="349"/>
      <c r="N6" s="349"/>
      <c r="O6" s="349"/>
      <c r="P6" s="349"/>
      <c r="Q6" s="349">
        <v>802234</v>
      </c>
      <c r="T6" s="335"/>
      <c r="U6" s="335" t="s">
        <v>736</v>
      </c>
      <c r="V6" s="335" t="s">
        <v>268</v>
      </c>
      <c r="W6" s="350" t="s">
        <v>284</v>
      </c>
      <c r="X6" s="335">
        <v>24</v>
      </c>
      <c r="Y6" s="353">
        <v>0</v>
      </c>
      <c r="Z6" s="353"/>
      <c r="AA6" s="353"/>
      <c r="AB6" s="353">
        <v>1</v>
      </c>
      <c r="AC6" s="353"/>
      <c r="AD6" s="353"/>
      <c r="AE6" s="353"/>
      <c r="AF6" s="353"/>
      <c r="AG6" s="353"/>
      <c r="AH6" s="353"/>
      <c r="AI6" s="353"/>
      <c r="AJ6" s="353">
        <v>1</v>
      </c>
    </row>
    <row r="7" spans="1:50" x14ac:dyDescent="0.35">
      <c r="A7" s="335"/>
      <c r="B7" s="335" t="s">
        <v>725</v>
      </c>
      <c r="C7" s="335" t="s">
        <v>268</v>
      </c>
      <c r="D7" s="350" t="s">
        <v>284</v>
      </c>
      <c r="E7" s="335">
        <v>12</v>
      </c>
      <c r="F7" s="349"/>
      <c r="G7" s="349"/>
      <c r="H7" s="349"/>
      <c r="I7" s="349">
        <v>1155469</v>
      </c>
      <c r="J7" s="349">
        <v>1155469</v>
      </c>
      <c r="K7" s="349">
        <v>1155469</v>
      </c>
      <c r="L7" s="349"/>
      <c r="M7" s="349"/>
      <c r="N7" s="349"/>
      <c r="O7" s="349"/>
      <c r="P7" s="349"/>
      <c r="Q7" s="349">
        <v>3466407</v>
      </c>
      <c r="T7" s="335"/>
      <c r="U7" s="335" t="s">
        <v>738</v>
      </c>
      <c r="V7" s="335" t="s">
        <v>268</v>
      </c>
      <c r="W7" s="346" t="s">
        <v>309</v>
      </c>
      <c r="X7" s="335">
        <v>36</v>
      </c>
      <c r="Y7" s="354"/>
      <c r="Z7" s="354"/>
      <c r="AA7" s="354"/>
      <c r="AB7" s="354"/>
      <c r="AC7" s="354">
        <v>1</v>
      </c>
      <c r="AD7" s="354"/>
      <c r="AE7" s="354"/>
      <c r="AF7" s="354"/>
      <c r="AG7" s="354"/>
      <c r="AH7" s="354"/>
      <c r="AI7" s="354"/>
      <c r="AJ7" s="354">
        <v>1</v>
      </c>
    </row>
    <row r="8" spans="1:50" x14ac:dyDescent="0.35">
      <c r="A8" s="335"/>
      <c r="B8" s="335" t="s">
        <v>726</v>
      </c>
      <c r="C8" s="335" t="s">
        <v>268</v>
      </c>
      <c r="D8" s="350" t="s">
        <v>284</v>
      </c>
      <c r="E8" s="335">
        <v>5</v>
      </c>
      <c r="F8" s="349"/>
      <c r="G8" s="349"/>
      <c r="H8" s="349"/>
      <c r="I8" s="349"/>
      <c r="J8" s="349"/>
      <c r="K8" s="349"/>
      <c r="L8" s="349"/>
      <c r="M8" s="349">
        <v>750000</v>
      </c>
      <c r="N8" s="349">
        <v>750000</v>
      </c>
      <c r="O8" s="349"/>
      <c r="P8" s="349"/>
      <c r="Q8" s="349">
        <v>1500000</v>
      </c>
      <c r="T8" s="335"/>
      <c r="U8" s="335" t="s">
        <v>737</v>
      </c>
      <c r="V8" s="335" t="s">
        <v>268</v>
      </c>
      <c r="W8" s="350" t="s">
        <v>284</v>
      </c>
      <c r="X8" s="335">
        <v>14</v>
      </c>
      <c r="Y8" s="353"/>
      <c r="Z8" s="353"/>
      <c r="AA8" s="353"/>
      <c r="AB8" s="353"/>
      <c r="AC8" s="353"/>
      <c r="AD8" s="353">
        <v>1</v>
      </c>
      <c r="AE8" s="353"/>
      <c r="AF8" s="353"/>
      <c r="AG8" s="353"/>
      <c r="AH8" s="353"/>
      <c r="AI8" s="353"/>
      <c r="AJ8" s="353">
        <v>1</v>
      </c>
    </row>
    <row r="9" spans="1:50" x14ac:dyDescent="0.35">
      <c r="A9" s="335"/>
      <c r="B9" s="335" t="s">
        <v>727</v>
      </c>
      <c r="C9" s="335" t="s">
        <v>268</v>
      </c>
      <c r="D9" s="350" t="s">
        <v>284</v>
      </c>
      <c r="E9" s="335">
        <v>4</v>
      </c>
      <c r="F9" s="349"/>
      <c r="G9" s="303">
        <v>179782</v>
      </c>
      <c r="H9" s="349"/>
      <c r="I9" s="349"/>
      <c r="J9" s="349"/>
      <c r="K9" s="349"/>
      <c r="L9" s="349"/>
      <c r="M9" s="349"/>
      <c r="N9" s="349"/>
      <c r="O9" s="349"/>
      <c r="P9" s="349"/>
      <c r="Q9" s="349">
        <v>179782</v>
      </c>
      <c r="T9" s="335"/>
      <c r="U9" s="335" t="s">
        <v>740</v>
      </c>
      <c r="V9" s="335" t="s">
        <v>268</v>
      </c>
      <c r="W9" s="350" t="s">
        <v>284</v>
      </c>
      <c r="X9" s="335" t="s">
        <v>292</v>
      </c>
      <c r="Y9" s="353"/>
      <c r="Z9" s="353"/>
      <c r="AA9" s="353"/>
      <c r="AB9" s="353"/>
      <c r="AC9" s="353"/>
      <c r="AD9" s="353"/>
      <c r="AE9" s="353"/>
      <c r="AF9" s="353"/>
      <c r="AG9" s="353"/>
      <c r="AH9" s="353"/>
      <c r="AI9" s="353">
        <v>1</v>
      </c>
      <c r="AJ9" s="353">
        <v>1</v>
      </c>
    </row>
    <row r="10" spans="1:50" x14ac:dyDescent="0.35">
      <c r="A10" s="335"/>
      <c r="B10" s="335" t="s">
        <v>728</v>
      </c>
      <c r="C10" s="335" t="s">
        <v>268</v>
      </c>
      <c r="D10" s="350" t="s">
        <v>284</v>
      </c>
      <c r="E10" s="335">
        <v>9</v>
      </c>
      <c r="F10" s="349"/>
      <c r="G10" s="349"/>
      <c r="H10" s="349">
        <v>897832</v>
      </c>
      <c r="I10" s="349"/>
      <c r="J10" s="349"/>
      <c r="K10" s="349"/>
      <c r="L10" s="349"/>
      <c r="M10" s="349"/>
      <c r="N10" s="349"/>
      <c r="O10" s="349"/>
      <c r="P10" s="349"/>
      <c r="Q10" s="349">
        <v>897832</v>
      </c>
      <c r="T10" s="335"/>
      <c r="U10" s="335" t="s">
        <v>749</v>
      </c>
      <c r="V10" s="335" t="s">
        <v>268</v>
      </c>
      <c r="W10" s="346" t="s">
        <v>309</v>
      </c>
      <c r="X10" s="335">
        <v>8</v>
      </c>
      <c r="Y10" s="354"/>
      <c r="Z10" s="354"/>
      <c r="AA10" s="354"/>
      <c r="AB10" s="354"/>
      <c r="AC10" s="354"/>
      <c r="AD10" s="354"/>
      <c r="AE10" s="354"/>
      <c r="AF10" s="354">
        <v>1</v>
      </c>
      <c r="AG10" s="354"/>
      <c r="AH10" s="354"/>
      <c r="AI10" s="354"/>
      <c r="AJ10" s="354">
        <v>1</v>
      </c>
    </row>
    <row r="11" spans="1:50" x14ac:dyDescent="0.35">
      <c r="A11" s="335"/>
      <c r="B11" s="335" t="s">
        <v>729</v>
      </c>
      <c r="C11" s="335" t="s">
        <v>268</v>
      </c>
      <c r="D11" s="350" t="s">
        <v>284</v>
      </c>
      <c r="E11" s="335">
        <v>23</v>
      </c>
      <c r="F11" s="349"/>
      <c r="G11" s="349"/>
      <c r="H11" s="349"/>
      <c r="I11" s="349"/>
      <c r="J11" s="349">
        <v>596794</v>
      </c>
      <c r="K11" s="349"/>
      <c r="L11" s="349"/>
      <c r="M11" s="349"/>
      <c r="N11" s="349"/>
      <c r="O11" s="349"/>
      <c r="P11" s="349"/>
      <c r="Q11" s="349">
        <v>596794</v>
      </c>
      <c r="T11" s="335"/>
      <c r="U11" s="335" t="s">
        <v>741</v>
      </c>
      <c r="V11" s="335" t="s">
        <v>268</v>
      </c>
      <c r="W11" s="350" t="s">
        <v>284</v>
      </c>
      <c r="X11" s="335">
        <v>2</v>
      </c>
      <c r="Y11" s="353"/>
      <c r="Z11" s="353"/>
      <c r="AA11" s="353"/>
      <c r="AB11" s="353"/>
      <c r="AC11" s="353">
        <v>1</v>
      </c>
      <c r="AD11" s="353"/>
      <c r="AE11" s="353"/>
      <c r="AF11" s="353"/>
      <c r="AG11" s="353"/>
      <c r="AH11" s="353"/>
      <c r="AI11" s="353"/>
      <c r="AJ11" s="353">
        <v>1</v>
      </c>
    </row>
    <row r="12" spans="1:50" x14ac:dyDescent="0.35">
      <c r="A12" s="335"/>
      <c r="B12" s="335" t="s">
        <v>730</v>
      </c>
      <c r="C12" s="335" t="s">
        <v>268</v>
      </c>
      <c r="D12" s="350" t="s">
        <v>284</v>
      </c>
      <c r="E12" s="335">
        <v>30</v>
      </c>
      <c r="F12" s="349"/>
      <c r="G12" s="349"/>
      <c r="H12" s="303">
        <v>361028.77</v>
      </c>
      <c r="I12" s="349"/>
      <c r="J12" s="349"/>
      <c r="K12" s="349"/>
      <c r="L12" s="349"/>
      <c r="M12" s="349"/>
      <c r="N12" s="349"/>
      <c r="O12" s="349"/>
      <c r="P12" s="349"/>
      <c r="Q12" s="349">
        <v>361028.77</v>
      </c>
      <c r="T12" s="335"/>
      <c r="U12" s="335" t="s">
        <v>748</v>
      </c>
      <c r="V12" s="335" t="s">
        <v>268</v>
      </c>
      <c r="W12" s="346" t="s">
        <v>309</v>
      </c>
      <c r="X12" s="335">
        <v>2</v>
      </c>
      <c r="Y12" s="354"/>
      <c r="Z12" s="354"/>
      <c r="AA12" s="354"/>
      <c r="AB12" s="354"/>
      <c r="AC12" s="354">
        <v>1</v>
      </c>
      <c r="AD12" s="354"/>
      <c r="AE12" s="354"/>
      <c r="AF12" s="354"/>
      <c r="AG12" s="354"/>
      <c r="AH12" s="354"/>
      <c r="AI12" s="354"/>
      <c r="AJ12" s="354">
        <v>1</v>
      </c>
    </row>
    <row r="13" spans="1:50" x14ac:dyDescent="0.35">
      <c r="A13" s="335"/>
      <c r="B13" s="335" t="s">
        <v>731</v>
      </c>
      <c r="C13" s="335" t="s">
        <v>268</v>
      </c>
      <c r="D13" s="350" t="s">
        <v>284</v>
      </c>
      <c r="E13" s="335">
        <v>4</v>
      </c>
      <c r="F13" s="349"/>
      <c r="G13" s="303">
        <v>210727.22</v>
      </c>
      <c r="H13" s="349"/>
      <c r="I13" s="349"/>
      <c r="J13" s="349"/>
      <c r="K13" s="349"/>
      <c r="L13" s="349"/>
      <c r="M13" s="349"/>
      <c r="N13" s="349"/>
      <c r="O13" s="349"/>
      <c r="P13" s="349"/>
      <c r="Q13" s="349">
        <v>210727.22</v>
      </c>
      <c r="T13" s="335"/>
      <c r="U13" s="335" t="s">
        <v>742</v>
      </c>
      <c r="V13" s="335" t="s">
        <v>268</v>
      </c>
      <c r="W13" s="350" t="s">
        <v>284</v>
      </c>
      <c r="X13" s="335">
        <v>2</v>
      </c>
      <c r="Y13" s="353"/>
      <c r="Z13" s="353"/>
      <c r="AA13" s="353"/>
      <c r="AB13" s="353"/>
      <c r="AC13" s="353">
        <v>1</v>
      </c>
      <c r="AD13" s="353"/>
      <c r="AE13" s="353"/>
      <c r="AF13" s="353"/>
      <c r="AG13" s="353"/>
      <c r="AH13" s="353"/>
      <c r="AI13" s="353"/>
      <c r="AJ13" s="353">
        <v>1</v>
      </c>
    </row>
    <row r="14" spans="1:50" x14ac:dyDescent="0.35">
      <c r="A14" s="335"/>
      <c r="B14" s="335" t="s">
        <v>732</v>
      </c>
      <c r="C14" s="335" t="s">
        <v>268</v>
      </c>
      <c r="D14" s="346" t="s">
        <v>309</v>
      </c>
      <c r="E14" s="335">
        <v>35</v>
      </c>
      <c r="F14" s="345">
        <v>83963.209999999992</v>
      </c>
      <c r="G14" s="345"/>
      <c r="H14" s="345"/>
      <c r="I14" s="345"/>
      <c r="J14" s="345"/>
      <c r="K14" s="345"/>
      <c r="L14" s="345"/>
      <c r="M14" s="345"/>
      <c r="N14" s="345"/>
      <c r="O14" s="345"/>
      <c r="P14" s="345"/>
      <c r="Q14" s="345">
        <v>83963.209999999992</v>
      </c>
      <c r="T14" s="335"/>
      <c r="U14" s="335" t="s">
        <v>743</v>
      </c>
      <c r="V14" s="335" t="s">
        <v>268</v>
      </c>
      <c r="W14" s="350" t="s">
        <v>284</v>
      </c>
      <c r="X14" s="335">
        <v>18</v>
      </c>
      <c r="Y14" s="353"/>
      <c r="Z14" s="353"/>
      <c r="AA14" s="353"/>
      <c r="AB14" s="353">
        <v>1</v>
      </c>
      <c r="AC14" s="353"/>
      <c r="AD14" s="353"/>
      <c r="AE14" s="353"/>
      <c r="AF14" s="353"/>
      <c r="AG14" s="353"/>
      <c r="AH14" s="353"/>
      <c r="AI14" s="353"/>
      <c r="AJ14" s="353">
        <v>1</v>
      </c>
    </row>
    <row r="15" spans="1:50" x14ac:dyDescent="0.35">
      <c r="A15" s="335"/>
      <c r="B15" s="335" t="s">
        <v>733</v>
      </c>
      <c r="C15" s="335" t="s">
        <v>268</v>
      </c>
      <c r="D15" s="350" t="s">
        <v>284</v>
      </c>
      <c r="E15" s="335" t="s">
        <v>292</v>
      </c>
      <c r="F15" s="349"/>
      <c r="G15" s="349"/>
      <c r="H15" s="349"/>
      <c r="I15" s="349">
        <v>1000000</v>
      </c>
      <c r="J15" s="349">
        <v>1000000</v>
      </c>
      <c r="K15" s="349">
        <v>1000000</v>
      </c>
      <c r="L15" s="349"/>
      <c r="M15" s="349"/>
      <c r="N15" s="349"/>
      <c r="O15" s="349"/>
      <c r="P15" s="349"/>
      <c r="Q15" s="349">
        <v>3000000</v>
      </c>
      <c r="T15" s="335"/>
      <c r="U15" s="335" t="s">
        <v>744</v>
      </c>
      <c r="V15" s="335" t="s">
        <v>268</v>
      </c>
      <c r="W15" s="350" t="s">
        <v>284</v>
      </c>
      <c r="X15" s="335">
        <v>12</v>
      </c>
      <c r="Y15" s="353"/>
      <c r="Z15" s="353">
        <v>1</v>
      </c>
      <c r="AA15" s="353">
        <v>0</v>
      </c>
      <c r="AB15" s="353"/>
      <c r="AC15" s="353"/>
      <c r="AD15" s="353"/>
      <c r="AE15" s="353"/>
      <c r="AF15" s="353"/>
      <c r="AG15" s="353"/>
      <c r="AH15" s="353"/>
      <c r="AI15" s="353"/>
      <c r="AJ15" s="353">
        <v>1</v>
      </c>
    </row>
    <row r="16" spans="1:50" x14ac:dyDescent="0.35">
      <c r="A16" s="335"/>
      <c r="B16" s="335" t="s">
        <v>1599</v>
      </c>
      <c r="C16" s="335" t="s">
        <v>268</v>
      </c>
      <c r="D16" s="347" t="s">
        <v>477</v>
      </c>
      <c r="E16" s="335">
        <v>1</v>
      </c>
      <c r="F16" s="343"/>
      <c r="G16" s="343">
        <v>2908</v>
      </c>
      <c r="H16" s="343"/>
      <c r="I16" s="343"/>
      <c r="J16" s="343"/>
      <c r="K16" s="343"/>
      <c r="L16" s="343"/>
      <c r="M16" s="343"/>
      <c r="N16" s="343"/>
      <c r="O16" s="343"/>
      <c r="P16" s="343"/>
      <c r="Q16" s="343">
        <v>2908</v>
      </c>
      <c r="T16" s="335"/>
      <c r="U16" s="335" t="s">
        <v>745</v>
      </c>
      <c r="V16" s="335" t="s">
        <v>268</v>
      </c>
      <c r="W16" s="350" t="s">
        <v>284</v>
      </c>
      <c r="X16" s="335" t="s">
        <v>292</v>
      </c>
      <c r="Y16" s="353">
        <v>1</v>
      </c>
      <c r="Z16" s="353"/>
      <c r="AA16" s="353"/>
      <c r="AB16" s="353"/>
      <c r="AC16" s="353"/>
      <c r="AD16" s="353"/>
      <c r="AE16" s="353"/>
      <c r="AF16" s="353"/>
      <c r="AG16" s="353"/>
      <c r="AH16" s="353"/>
      <c r="AI16" s="353"/>
      <c r="AJ16" s="353">
        <v>1</v>
      </c>
    </row>
    <row r="17" spans="1:50" x14ac:dyDescent="0.35">
      <c r="A17" s="335"/>
      <c r="B17" s="335" t="s">
        <v>734</v>
      </c>
      <c r="C17" s="335" t="s">
        <v>268</v>
      </c>
      <c r="D17" s="347" t="s">
        <v>477</v>
      </c>
      <c r="E17" s="335">
        <v>27</v>
      </c>
      <c r="F17" s="343">
        <v>27000</v>
      </c>
      <c r="G17" s="304">
        <v>50770.729999999996</v>
      </c>
      <c r="H17" s="343"/>
      <c r="I17" s="343"/>
      <c r="J17" s="343"/>
      <c r="K17" s="343"/>
      <c r="L17" s="343"/>
      <c r="M17" s="343"/>
      <c r="N17" s="343"/>
      <c r="O17" s="343"/>
      <c r="P17" s="343"/>
      <c r="Q17" s="343">
        <v>77770.73</v>
      </c>
      <c r="T17" s="335"/>
      <c r="U17" s="335" t="s">
        <v>792</v>
      </c>
      <c r="V17" s="335" t="s">
        <v>268</v>
      </c>
      <c r="W17" s="335" t="s">
        <v>477</v>
      </c>
      <c r="X17" s="335">
        <v>1</v>
      </c>
      <c r="Y17" s="351"/>
      <c r="Z17" s="351"/>
      <c r="AA17" s="351"/>
      <c r="AB17" s="351"/>
      <c r="AC17" s="351">
        <v>1</v>
      </c>
      <c r="AD17" s="351"/>
      <c r="AE17" s="351"/>
      <c r="AF17" s="351"/>
      <c r="AG17" s="351"/>
      <c r="AH17" s="351"/>
      <c r="AI17" s="351"/>
      <c r="AJ17" s="352">
        <v>1</v>
      </c>
    </row>
    <row r="18" spans="1:50" x14ac:dyDescent="0.35">
      <c r="A18" s="335"/>
      <c r="B18" s="335" t="s">
        <v>735</v>
      </c>
      <c r="C18" s="335" t="s">
        <v>268</v>
      </c>
      <c r="D18" s="350" t="s">
        <v>284</v>
      </c>
      <c r="E18" s="335">
        <v>2</v>
      </c>
      <c r="F18" s="349"/>
      <c r="G18" s="349"/>
      <c r="H18" s="303">
        <v>41833</v>
      </c>
      <c r="I18" s="349"/>
      <c r="J18" s="349"/>
      <c r="K18" s="349"/>
      <c r="L18" s="349"/>
      <c r="M18" s="349"/>
      <c r="N18" s="349"/>
      <c r="O18" s="349"/>
      <c r="P18" s="349"/>
      <c r="Q18" s="349">
        <v>41833</v>
      </c>
      <c r="T18" s="335"/>
      <c r="U18" s="335" t="s">
        <v>1603</v>
      </c>
      <c r="V18" s="335" t="s">
        <v>268</v>
      </c>
      <c r="W18" s="350" t="s">
        <v>284</v>
      </c>
      <c r="X18" s="335">
        <v>50</v>
      </c>
      <c r="Y18" s="353"/>
      <c r="Z18" s="353"/>
      <c r="AA18" s="353"/>
      <c r="AB18" s="353"/>
      <c r="AC18" s="353"/>
      <c r="AD18" s="353"/>
      <c r="AE18" s="353"/>
      <c r="AF18" s="353"/>
      <c r="AG18" s="353"/>
      <c r="AH18" s="353"/>
      <c r="AI18" s="353">
        <v>1</v>
      </c>
      <c r="AJ18" s="353">
        <v>1</v>
      </c>
    </row>
    <row r="19" spans="1:50" x14ac:dyDescent="0.35">
      <c r="A19" s="335"/>
      <c r="B19" s="335" t="s">
        <v>1602</v>
      </c>
      <c r="C19" s="335" t="s">
        <v>268</v>
      </c>
      <c r="D19" s="347" t="s">
        <v>477</v>
      </c>
      <c r="E19" s="335">
        <v>2</v>
      </c>
      <c r="F19" s="343"/>
      <c r="G19" s="343">
        <v>333776</v>
      </c>
      <c r="H19" s="343"/>
      <c r="I19" s="343"/>
      <c r="J19" s="343"/>
      <c r="K19" s="343"/>
      <c r="L19" s="343"/>
      <c r="M19" s="343"/>
      <c r="N19" s="343"/>
      <c r="O19" s="343"/>
      <c r="P19" s="343"/>
      <c r="Q19" s="343">
        <v>333776</v>
      </c>
      <c r="T19" s="335"/>
      <c r="U19" s="335" t="s">
        <v>1620</v>
      </c>
      <c r="V19" s="335" t="s">
        <v>268</v>
      </c>
      <c r="W19" s="350" t="s">
        <v>284</v>
      </c>
      <c r="X19" s="335">
        <v>7</v>
      </c>
      <c r="Y19" s="353"/>
      <c r="Z19" s="353"/>
      <c r="AA19" s="353"/>
      <c r="AB19" s="353"/>
      <c r="AC19" s="353"/>
      <c r="AD19" s="353">
        <v>1</v>
      </c>
      <c r="AE19" s="353"/>
      <c r="AF19" s="353"/>
      <c r="AG19" s="353"/>
      <c r="AH19" s="353"/>
      <c r="AI19" s="353"/>
      <c r="AJ19" s="353">
        <v>1</v>
      </c>
    </row>
    <row r="20" spans="1:50" x14ac:dyDescent="0.35">
      <c r="A20" s="335" t="s">
        <v>518</v>
      </c>
      <c r="B20" s="335"/>
      <c r="C20" s="335"/>
      <c r="D20" s="335"/>
      <c r="E20" s="335"/>
      <c r="F20" s="344">
        <v>110963.20999999999</v>
      </c>
      <c r="G20" s="344">
        <v>777963.95</v>
      </c>
      <c r="H20" s="344">
        <v>1300693.77</v>
      </c>
      <c r="I20" s="344">
        <v>2556586</v>
      </c>
      <c r="J20" s="344">
        <v>3153380</v>
      </c>
      <c r="K20" s="344">
        <v>2155469</v>
      </c>
      <c r="L20" s="344"/>
      <c r="M20" s="344">
        <v>750000</v>
      </c>
      <c r="N20" s="344">
        <v>2955486.6666666698</v>
      </c>
      <c r="O20" s="344">
        <v>1044666.66666667</v>
      </c>
      <c r="P20" s="344">
        <v>1044666.66666667</v>
      </c>
      <c r="Q20" s="348">
        <v>15849875.930000013</v>
      </c>
      <c r="T20" s="335" t="s">
        <v>501</v>
      </c>
      <c r="U20" s="335"/>
      <c r="V20" s="335"/>
      <c r="W20" s="335"/>
      <c r="X20" s="335"/>
      <c r="Y20" s="351">
        <v>2</v>
      </c>
      <c r="Z20" s="351">
        <v>2</v>
      </c>
      <c r="AA20" s="351">
        <v>0</v>
      </c>
      <c r="AB20" s="351">
        <v>2</v>
      </c>
      <c r="AC20" s="351">
        <v>5</v>
      </c>
      <c r="AD20" s="351">
        <v>2</v>
      </c>
      <c r="AE20" s="351"/>
      <c r="AF20" s="351">
        <v>1</v>
      </c>
      <c r="AG20" s="351"/>
      <c r="AH20" s="351"/>
      <c r="AI20" s="351">
        <v>2</v>
      </c>
      <c r="AJ20" s="355">
        <v>16</v>
      </c>
    </row>
    <row r="21" spans="1:50" x14ac:dyDescent="0.35">
      <c r="A21" s="335" t="s">
        <v>59</v>
      </c>
      <c r="B21" s="335" t="s">
        <v>736</v>
      </c>
      <c r="C21" s="335" t="s">
        <v>268</v>
      </c>
      <c r="D21" s="350" t="s">
        <v>284</v>
      </c>
      <c r="E21" s="335">
        <v>24</v>
      </c>
      <c r="F21" s="349"/>
      <c r="G21" s="349"/>
      <c r="H21" s="349"/>
      <c r="I21" s="349">
        <v>537160</v>
      </c>
      <c r="J21" s="349">
        <v>537158.51</v>
      </c>
      <c r="K21" s="349"/>
      <c r="L21" s="349"/>
      <c r="M21" s="349"/>
      <c r="N21" s="349"/>
      <c r="O21" s="349"/>
      <c r="P21" s="349"/>
      <c r="Q21" s="349">
        <v>1074318.51</v>
      </c>
      <c r="T21" s="335" t="s">
        <v>46</v>
      </c>
      <c r="U21" s="335" t="s">
        <v>722</v>
      </c>
      <c r="V21" s="335" t="s">
        <v>268</v>
      </c>
      <c r="W21" s="350" t="s">
        <v>284</v>
      </c>
      <c r="X21" s="335">
        <v>16</v>
      </c>
      <c r="Y21" s="353"/>
      <c r="Z21" s="353"/>
      <c r="AA21" s="353"/>
      <c r="AB21" s="353"/>
      <c r="AC21" s="353"/>
      <c r="AD21" s="353"/>
      <c r="AE21" s="353">
        <v>1</v>
      </c>
      <c r="AF21" s="353"/>
      <c r="AG21" s="353"/>
      <c r="AH21" s="353"/>
      <c r="AI21" s="353"/>
      <c r="AJ21" s="353">
        <v>1</v>
      </c>
    </row>
    <row r="22" spans="1:50" x14ac:dyDescent="0.35">
      <c r="A22" s="335"/>
      <c r="B22" s="335" t="s">
        <v>737</v>
      </c>
      <c r="C22" s="335" t="s">
        <v>268</v>
      </c>
      <c r="D22" s="350" t="s">
        <v>284</v>
      </c>
      <c r="E22" s="335">
        <v>14</v>
      </c>
      <c r="F22" s="349"/>
      <c r="G22" s="349"/>
      <c r="H22" s="349">
        <v>228581</v>
      </c>
      <c r="I22" s="349"/>
      <c r="J22" s="349"/>
      <c r="K22" s="349"/>
      <c r="L22" s="349"/>
      <c r="M22" s="349"/>
      <c r="N22" s="349"/>
      <c r="O22" s="349"/>
      <c r="P22" s="349"/>
      <c r="Q22" s="349">
        <v>228581</v>
      </c>
      <c r="T22" s="335"/>
      <c r="U22" s="335" t="s">
        <v>723</v>
      </c>
      <c r="V22" s="335" t="s">
        <v>268</v>
      </c>
      <c r="W22" s="350" t="s">
        <v>284</v>
      </c>
      <c r="X22" s="335">
        <v>117</v>
      </c>
      <c r="Y22" s="353"/>
      <c r="Z22" s="353"/>
      <c r="AA22" s="353"/>
      <c r="AB22" s="353"/>
      <c r="AC22" s="353"/>
      <c r="AD22" s="353"/>
      <c r="AE22" s="353">
        <v>1</v>
      </c>
      <c r="AF22" s="353"/>
      <c r="AG22" s="353">
        <v>0</v>
      </c>
      <c r="AH22" s="353">
        <v>0</v>
      </c>
      <c r="AI22" s="353"/>
      <c r="AJ22" s="353">
        <v>1</v>
      </c>
    </row>
    <row r="23" spans="1:50" x14ac:dyDescent="0.35">
      <c r="A23" s="335"/>
      <c r="B23" s="335" t="s">
        <v>738</v>
      </c>
      <c r="C23" s="335" t="s">
        <v>268</v>
      </c>
      <c r="D23" s="346" t="s">
        <v>309</v>
      </c>
      <c r="E23" s="335">
        <v>36</v>
      </c>
      <c r="F23" s="345">
        <v>535191</v>
      </c>
      <c r="G23" s="345"/>
      <c r="H23" s="345"/>
      <c r="I23" s="345"/>
      <c r="J23" s="345"/>
      <c r="K23" s="345"/>
      <c r="L23" s="345"/>
      <c r="M23" s="345"/>
      <c r="N23" s="345"/>
      <c r="O23" s="345"/>
      <c r="P23" s="345"/>
      <c r="Q23" s="345">
        <v>535191</v>
      </c>
      <c r="T23" s="335"/>
      <c r="U23" s="335" t="s">
        <v>724</v>
      </c>
      <c r="V23" s="335" t="s">
        <v>268</v>
      </c>
      <c r="W23" s="350" t="s">
        <v>284</v>
      </c>
      <c r="X23" s="335">
        <v>9</v>
      </c>
      <c r="Y23" s="353">
        <v>0</v>
      </c>
      <c r="Z23" s="353"/>
      <c r="AA23" s="353"/>
      <c r="AB23" s="353">
        <v>1</v>
      </c>
      <c r="AC23" s="353"/>
      <c r="AD23" s="353"/>
      <c r="AE23" s="353"/>
      <c r="AF23" s="353"/>
      <c r="AG23" s="353"/>
      <c r="AH23" s="353"/>
      <c r="AI23" s="353"/>
      <c r="AJ23" s="353">
        <v>1</v>
      </c>
    </row>
    <row r="24" spans="1:50" s="122" customFormat="1" x14ac:dyDescent="0.35">
      <c r="A24" s="335"/>
      <c r="B24" s="335" t="s">
        <v>739</v>
      </c>
      <c r="C24" s="335" t="s">
        <v>268</v>
      </c>
      <c r="D24" s="350" t="s">
        <v>284</v>
      </c>
      <c r="E24" s="335">
        <v>12</v>
      </c>
      <c r="F24" s="349"/>
      <c r="G24" s="349"/>
      <c r="H24" s="349"/>
      <c r="I24" s="349"/>
      <c r="J24" s="349"/>
      <c r="K24" s="349">
        <v>143556.08999999997</v>
      </c>
      <c r="L24" s="349"/>
      <c r="M24" s="349"/>
      <c r="N24" s="349"/>
      <c r="O24" s="349"/>
      <c r="P24" s="349"/>
      <c r="Q24" s="349">
        <v>143556.08999999997</v>
      </c>
      <c r="R24"/>
      <c r="S24"/>
      <c r="T24" s="335"/>
      <c r="U24" s="335" t="s">
        <v>725</v>
      </c>
      <c r="V24" s="335" t="s">
        <v>268</v>
      </c>
      <c r="W24" s="350" t="s">
        <v>284</v>
      </c>
      <c r="X24" s="335">
        <v>12</v>
      </c>
      <c r="Y24" s="353">
        <v>0</v>
      </c>
      <c r="Z24" s="353">
        <v>0</v>
      </c>
      <c r="AA24" s="353"/>
      <c r="AB24" s="353">
        <v>1</v>
      </c>
      <c r="AC24" s="353"/>
      <c r="AD24" s="353"/>
      <c r="AE24" s="353"/>
      <c r="AF24" s="353"/>
      <c r="AG24" s="353"/>
      <c r="AH24" s="353"/>
      <c r="AI24" s="353"/>
      <c r="AJ24" s="353">
        <v>1</v>
      </c>
      <c r="AK24"/>
      <c r="AL24"/>
      <c r="AM24"/>
      <c r="AN24"/>
      <c r="AO24"/>
      <c r="AP24"/>
      <c r="AQ24"/>
      <c r="AR24"/>
      <c r="AS24"/>
      <c r="AT24"/>
      <c r="AU24"/>
      <c r="AV24"/>
      <c r="AW24"/>
      <c r="AX24"/>
    </row>
    <row r="25" spans="1:50" x14ac:dyDescent="0.35">
      <c r="A25" s="335"/>
      <c r="B25" s="335" t="s">
        <v>740</v>
      </c>
      <c r="C25" s="335" t="s">
        <v>268</v>
      </c>
      <c r="D25" s="350" t="s">
        <v>284</v>
      </c>
      <c r="E25" s="335" t="s">
        <v>292</v>
      </c>
      <c r="F25" s="349"/>
      <c r="G25" s="349"/>
      <c r="H25" s="349"/>
      <c r="I25" s="349"/>
      <c r="J25" s="349"/>
      <c r="K25" s="349"/>
      <c r="L25" s="349"/>
      <c r="M25" s="349">
        <v>1000000</v>
      </c>
      <c r="N25" s="349"/>
      <c r="O25" s="349"/>
      <c r="P25" s="349"/>
      <c r="Q25" s="349">
        <v>1000000</v>
      </c>
      <c r="T25" s="335"/>
      <c r="U25" s="335" t="s">
        <v>726</v>
      </c>
      <c r="V25" s="335" t="s">
        <v>268</v>
      </c>
      <c r="W25" s="350" t="s">
        <v>284</v>
      </c>
      <c r="X25" s="335">
        <v>5</v>
      </c>
      <c r="Y25" s="353"/>
      <c r="Z25" s="353"/>
      <c r="AA25" s="353"/>
      <c r="AB25" s="353"/>
      <c r="AC25" s="353"/>
      <c r="AD25" s="353"/>
      <c r="AE25" s="353">
        <v>0</v>
      </c>
      <c r="AF25" s="353"/>
      <c r="AG25" s="353"/>
      <c r="AH25" s="353"/>
      <c r="AI25" s="353">
        <v>1</v>
      </c>
      <c r="AJ25" s="353">
        <v>1</v>
      </c>
    </row>
    <row r="26" spans="1:50" x14ac:dyDescent="0.35">
      <c r="A26" s="335"/>
      <c r="B26" s="335" t="s">
        <v>741</v>
      </c>
      <c r="C26" s="335" t="s">
        <v>268</v>
      </c>
      <c r="D26" s="350" t="s">
        <v>284</v>
      </c>
      <c r="E26" s="335">
        <v>2</v>
      </c>
      <c r="F26" s="349">
        <v>4003.5</v>
      </c>
      <c r="G26" s="349"/>
      <c r="H26" s="349"/>
      <c r="I26" s="349"/>
      <c r="J26" s="349"/>
      <c r="K26" s="349"/>
      <c r="L26" s="349"/>
      <c r="M26" s="349"/>
      <c r="N26" s="349"/>
      <c r="O26" s="349"/>
      <c r="P26" s="349"/>
      <c r="Q26" s="349">
        <v>4003.5</v>
      </c>
      <c r="T26" s="335"/>
      <c r="U26" s="335" t="s">
        <v>727</v>
      </c>
      <c r="V26" s="335" t="s">
        <v>268</v>
      </c>
      <c r="W26" s="350" t="s">
        <v>284</v>
      </c>
      <c r="X26" s="335">
        <v>4</v>
      </c>
      <c r="Y26" s="353"/>
      <c r="Z26" s="353"/>
      <c r="AA26" s="353"/>
      <c r="AB26" s="353"/>
      <c r="AC26" s="353"/>
      <c r="AD26" s="353"/>
      <c r="AE26" s="353"/>
      <c r="AF26" s="353">
        <v>1</v>
      </c>
      <c r="AG26" s="353"/>
      <c r="AH26" s="353"/>
      <c r="AI26" s="353"/>
      <c r="AJ26" s="353">
        <v>1</v>
      </c>
    </row>
    <row r="27" spans="1:50" x14ac:dyDescent="0.35">
      <c r="A27" s="335"/>
      <c r="B27" s="335" t="s">
        <v>742</v>
      </c>
      <c r="C27" s="335" t="s">
        <v>268</v>
      </c>
      <c r="D27" s="350" t="s">
        <v>284</v>
      </c>
      <c r="E27" s="335">
        <v>2</v>
      </c>
      <c r="F27" s="349">
        <v>8455.52</v>
      </c>
      <c r="G27" s="349"/>
      <c r="H27" s="349"/>
      <c r="I27" s="349"/>
      <c r="J27" s="349"/>
      <c r="K27" s="349"/>
      <c r="L27" s="349"/>
      <c r="M27" s="349"/>
      <c r="N27" s="349"/>
      <c r="O27" s="349"/>
      <c r="P27" s="349"/>
      <c r="Q27" s="349">
        <v>8455.52</v>
      </c>
      <c r="T27" s="335"/>
      <c r="U27" s="335" t="s">
        <v>728</v>
      </c>
      <c r="V27" s="335" t="s">
        <v>268</v>
      </c>
      <c r="W27" s="350" t="s">
        <v>284</v>
      </c>
      <c r="X27" s="335">
        <v>9</v>
      </c>
      <c r="Y27" s="353"/>
      <c r="Z27" s="353"/>
      <c r="AA27" s="353"/>
      <c r="AB27" s="353"/>
      <c r="AC27" s="353"/>
      <c r="AD27" s="353">
        <v>1</v>
      </c>
      <c r="AE27" s="353"/>
      <c r="AF27" s="353"/>
      <c r="AG27" s="353"/>
      <c r="AH27" s="353"/>
      <c r="AI27" s="353"/>
      <c r="AJ27" s="353">
        <v>1</v>
      </c>
    </row>
    <row r="28" spans="1:50" x14ac:dyDescent="0.35">
      <c r="A28" s="335"/>
      <c r="B28" s="335" t="s">
        <v>743</v>
      </c>
      <c r="C28" s="335" t="s">
        <v>268</v>
      </c>
      <c r="D28" s="350" t="s">
        <v>284</v>
      </c>
      <c r="E28" s="335">
        <v>18</v>
      </c>
      <c r="F28" s="349"/>
      <c r="G28" s="349"/>
      <c r="H28" s="349"/>
      <c r="I28" s="349">
        <v>299970.28999999998</v>
      </c>
      <c r="J28" s="349"/>
      <c r="K28" s="349"/>
      <c r="L28" s="349"/>
      <c r="M28" s="349"/>
      <c r="N28" s="349"/>
      <c r="O28" s="349"/>
      <c r="P28" s="349"/>
      <c r="Q28" s="349">
        <v>299970.28999999998</v>
      </c>
      <c r="T28" s="335"/>
      <c r="U28" s="335" t="s">
        <v>729</v>
      </c>
      <c r="V28" s="335" t="s">
        <v>268</v>
      </c>
      <c r="W28" s="350" t="s">
        <v>284</v>
      </c>
      <c r="X28" s="335">
        <v>23</v>
      </c>
      <c r="Y28" s="353">
        <v>1</v>
      </c>
      <c r="Z28" s="353"/>
      <c r="AA28" s="353"/>
      <c r="AB28" s="353"/>
      <c r="AC28" s="353"/>
      <c r="AD28" s="353"/>
      <c r="AE28" s="353"/>
      <c r="AF28" s="353"/>
      <c r="AG28" s="353"/>
      <c r="AH28" s="353"/>
      <c r="AI28" s="353"/>
      <c r="AJ28" s="353">
        <v>1</v>
      </c>
    </row>
    <row r="29" spans="1:50" x14ac:dyDescent="0.35">
      <c r="A29" s="335"/>
      <c r="B29" s="335" t="s">
        <v>744</v>
      </c>
      <c r="C29" s="335" t="s">
        <v>268</v>
      </c>
      <c r="D29" s="350" t="s">
        <v>284</v>
      </c>
      <c r="E29" s="335">
        <v>12</v>
      </c>
      <c r="F29" s="349"/>
      <c r="G29" s="349"/>
      <c r="H29" s="349"/>
      <c r="I29" s="349"/>
      <c r="J29" s="349"/>
      <c r="K29" s="349">
        <v>271502.5</v>
      </c>
      <c r="L29" s="349">
        <v>271502.5</v>
      </c>
      <c r="M29" s="349"/>
      <c r="N29" s="349"/>
      <c r="O29" s="349"/>
      <c r="P29" s="349"/>
      <c r="Q29" s="349">
        <v>543005</v>
      </c>
      <c r="T29" s="335"/>
      <c r="U29" s="335" t="s">
        <v>730</v>
      </c>
      <c r="V29" s="335" t="s">
        <v>268</v>
      </c>
      <c r="W29" s="350" t="s">
        <v>284</v>
      </c>
      <c r="X29" s="335">
        <v>30</v>
      </c>
      <c r="Y29" s="353"/>
      <c r="Z29" s="353"/>
      <c r="AA29" s="353"/>
      <c r="AB29" s="353"/>
      <c r="AC29" s="353"/>
      <c r="AD29" s="353">
        <v>1</v>
      </c>
      <c r="AE29" s="353"/>
      <c r="AF29" s="353"/>
      <c r="AG29" s="353"/>
      <c r="AH29" s="353"/>
      <c r="AI29" s="353"/>
      <c r="AJ29" s="353">
        <v>1</v>
      </c>
    </row>
    <row r="30" spans="1:50" x14ac:dyDescent="0.35">
      <c r="A30" s="335"/>
      <c r="B30" s="335" t="s">
        <v>745</v>
      </c>
      <c r="C30" s="335" t="s">
        <v>268</v>
      </c>
      <c r="D30" s="350" t="s">
        <v>284</v>
      </c>
      <c r="E30" s="335" t="s">
        <v>292</v>
      </c>
      <c r="F30" s="349"/>
      <c r="G30" s="349"/>
      <c r="H30" s="349"/>
      <c r="I30" s="349"/>
      <c r="J30" s="349">
        <v>228194</v>
      </c>
      <c r="K30" s="349"/>
      <c r="L30" s="349"/>
      <c r="M30" s="349"/>
      <c r="N30" s="349"/>
      <c r="O30" s="349"/>
      <c r="P30" s="349"/>
      <c r="Q30" s="349">
        <v>228194</v>
      </c>
      <c r="T30" s="335"/>
      <c r="U30" s="335" t="s">
        <v>731</v>
      </c>
      <c r="V30" s="335" t="s">
        <v>268</v>
      </c>
      <c r="W30" s="350" t="s">
        <v>284</v>
      </c>
      <c r="X30" s="335">
        <v>4</v>
      </c>
      <c r="Y30" s="353"/>
      <c r="Z30" s="353"/>
      <c r="AA30" s="353"/>
      <c r="AB30" s="353"/>
      <c r="AC30" s="353"/>
      <c r="AD30" s="353"/>
      <c r="AE30" s="353"/>
      <c r="AF30" s="353">
        <v>1</v>
      </c>
      <c r="AG30" s="353"/>
      <c r="AH30" s="353"/>
      <c r="AI30" s="353"/>
      <c r="AJ30" s="353">
        <v>1</v>
      </c>
    </row>
    <row r="31" spans="1:50" x14ac:dyDescent="0.35">
      <c r="A31" s="335"/>
      <c r="B31" s="335" t="s">
        <v>746</v>
      </c>
      <c r="C31" s="335" t="s">
        <v>268</v>
      </c>
      <c r="D31" s="350" t="s">
        <v>284</v>
      </c>
      <c r="E31" s="335">
        <v>27</v>
      </c>
      <c r="F31" s="349"/>
      <c r="G31" s="349"/>
      <c r="H31" s="349"/>
      <c r="I31" s="349"/>
      <c r="J31" s="349">
        <v>1000000</v>
      </c>
      <c r="K31" s="349">
        <v>1000000</v>
      </c>
      <c r="L31" s="349">
        <v>936224.52</v>
      </c>
      <c r="M31" s="349"/>
      <c r="N31" s="349"/>
      <c r="O31" s="349"/>
      <c r="P31" s="349"/>
      <c r="Q31" s="349">
        <v>2936224.52</v>
      </c>
      <c r="T31" s="335"/>
      <c r="U31" s="335" t="s">
        <v>732</v>
      </c>
      <c r="V31" s="335" t="s">
        <v>268</v>
      </c>
      <c r="W31" s="346" t="s">
        <v>309</v>
      </c>
      <c r="X31" s="335">
        <v>35</v>
      </c>
      <c r="Y31" s="354"/>
      <c r="Z31" s="354"/>
      <c r="AA31" s="354"/>
      <c r="AB31" s="354"/>
      <c r="AC31" s="354">
        <v>1</v>
      </c>
      <c r="AD31" s="354"/>
      <c r="AE31" s="354"/>
      <c r="AF31" s="354"/>
      <c r="AG31" s="354"/>
      <c r="AH31" s="354"/>
      <c r="AI31" s="354"/>
      <c r="AJ31" s="354">
        <v>1</v>
      </c>
    </row>
    <row r="32" spans="1:50" x14ac:dyDescent="0.35">
      <c r="A32" s="335"/>
      <c r="B32" s="335" t="s">
        <v>748</v>
      </c>
      <c r="C32" s="335" t="s">
        <v>268</v>
      </c>
      <c r="D32" s="346" t="s">
        <v>309</v>
      </c>
      <c r="E32" s="335">
        <v>2</v>
      </c>
      <c r="F32" s="345">
        <v>3240</v>
      </c>
      <c r="G32" s="345"/>
      <c r="H32" s="345"/>
      <c r="I32" s="345"/>
      <c r="J32" s="345"/>
      <c r="K32" s="345"/>
      <c r="L32" s="345"/>
      <c r="M32" s="345"/>
      <c r="N32" s="345"/>
      <c r="O32" s="345"/>
      <c r="P32" s="345"/>
      <c r="Q32" s="345">
        <v>3240</v>
      </c>
      <c r="T32" s="335"/>
      <c r="U32" s="335" t="s">
        <v>733</v>
      </c>
      <c r="V32" s="335" t="s">
        <v>268</v>
      </c>
      <c r="W32" s="350" t="s">
        <v>284</v>
      </c>
      <c r="X32" s="335" t="s">
        <v>292</v>
      </c>
      <c r="Y32" s="353">
        <v>0</v>
      </c>
      <c r="Z32" s="353">
        <v>0</v>
      </c>
      <c r="AA32" s="353"/>
      <c r="AB32" s="353">
        <v>1</v>
      </c>
      <c r="AC32" s="353"/>
      <c r="AD32" s="353"/>
      <c r="AE32" s="353"/>
      <c r="AF32" s="353"/>
      <c r="AG32" s="353"/>
      <c r="AH32" s="353"/>
      <c r="AI32" s="353"/>
      <c r="AJ32" s="353">
        <v>1</v>
      </c>
    </row>
    <row r="33" spans="1:36" x14ac:dyDescent="0.35">
      <c r="A33" s="335"/>
      <c r="B33" s="335" t="s">
        <v>749</v>
      </c>
      <c r="C33" s="335" t="s">
        <v>268</v>
      </c>
      <c r="D33" s="346" t="s">
        <v>309</v>
      </c>
      <c r="E33" s="335">
        <v>8</v>
      </c>
      <c r="F33" s="345"/>
      <c r="G33" s="345">
        <v>36622.71</v>
      </c>
      <c r="H33" s="345"/>
      <c r="I33" s="345"/>
      <c r="J33" s="345"/>
      <c r="K33" s="345"/>
      <c r="L33" s="345"/>
      <c r="M33" s="345"/>
      <c r="N33" s="345"/>
      <c r="O33" s="345"/>
      <c r="P33" s="345"/>
      <c r="Q33" s="345">
        <v>36622.71</v>
      </c>
      <c r="T33" s="335"/>
      <c r="U33" s="335" t="s">
        <v>1599</v>
      </c>
      <c r="V33" s="335" t="s">
        <v>268</v>
      </c>
      <c r="W33" s="335" t="s">
        <v>477</v>
      </c>
      <c r="X33" s="335">
        <v>1</v>
      </c>
      <c r="Y33" s="351"/>
      <c r="Z33" s="351"/>
      <c r="AA33" s="351"/>
      <c r="AB33" s="351"/>
      <c r="AC33" s="351"/>
      <c r="AD33" s="351"/>
      <c r="AE33" s="351"/>
      <c r="AF33" s="351">
        <v>1</v>
      </c>
      <c r="AG33" s="351"/>
      <c r="AH33" s="351"/>
      <c r="AI33" s="351"/>
      <c r="AJ33" s="352">
        <v>1</v>
      </c>
    </row>
    <row r="34" spans="1:36" x14ac:dyDescent="0.35">
      <c r="A34" s="335"/>
      <c r="B34" s="335" t="s">
        <v>792</v>
      </c>
      <c r="C34" s="335" t="s">
        <v>268</v>
      </c>
      <c r="D34" s="347" t="s">
        <v>477</v>
      </c>
      <c r="E34" s="335">
        <v>1</v>
      </c>
      <c r="F34" s="343">
        <v>2190.15</v>
      </c>
      <c r="G34" s="343"/>
      <c r="H34" s="343"/>
      <c r="I34" s="343"/>
      <c r="J34" s="343"/>
      <c r="K34" s="343"/>
      <c r="L34" s="343"/>
      <c r="M34" s="343"/>
      <c r="N34" s="343"/>
      <c r="O34" s="343"/>
      <c r="P34" s="343"/>
      <c r="Q34" s="343">
        <v>2190.15</v>
      </c>
      <c r="T34" s="335"/>
      <c r="U34" s="335" t="s">
        <v>734</v>
      </c>
      <c r="V34" s="335" t="s">
        <v>268</v>
      </c>
      <c r="W34" s="335" t="s">
        <v>477</v>
      </c>
      <c r="X34" s="335">
        <v>27</v>
      </c>
      <c r="Y34" s="351"/>
      <c r="Z34" s="351"/>
      <c r="AA34" s="351"/>
      <c r="AB34" s="351"/>
      <c r="AC34" s="351">
        <v>1</v>
      </c>
      <c r="AD34" s="351"/>
      <c r="AE34" s="351"/>
      <c r="AF34" s="351">
        <v>0</v>
      </c>
      <c r="AG34" s="351"/>
      <c r="AH34" s="351"/>
      <c r="AI34" s="351"/>
      <c r="AJ34" s="352">
        <v>1</v>
      </c>
    </row>
    <row r="35" spans="1:36" x14ac:dyDescent="0.35">
      <c r="A35" s="335"/>
      <c r="B35" s="335" t="s">
        <v>1603</v>
      </c>
      <c r="C35" s="335" t="s">
        <v>268</v>
      </c>
      <c r="D35" s="350" t="s">
        <v>284</v>
      </c>
      <c r="E35" s="335">
        <v>50</v>
      </c>
      <c r="F35" s="349"/>
      <c r="G35" s="349"/>
      <c r="H35" s="349"/>
      <c r="I35" s="349"/>
      <c r="J35" s="349"/>
      <c r="K35" s="349"/>
      <c r="L35" s="349"/>
      <c r="M35" s="349">
        <v>358530.94</v>
      </c>
      <c r="N35" s="349"/>
      <c r="O35" s="349"/>
      <c r="P35" s="349"/>
      <c r="Q35" s="349">
        <v>358530.94</v>
      </c>
      <c r="T35" s="335"/>
      <c r="U35" s="335" t="s">
        <v>735</v>
      </c>
      <c r="V35" s="335" t="s">
        <v>268</v>
      </c>
      <c r="W35" s="350" t="s">
        <v>284</v>
      </c>
      <c r="X35" s="335">
        <v>2</v>
      </c>
      <c r="Y35" s="353"/>
      <c r="Z35" s="353"/>
      <c r="AA35" s="353"/>
      <c r="AB35" s="353"/>
      <c r="AC35" s="353"/>
      <c r="AD35" s="353">
        <v>1</v>
      </c>
      <c r="AE35" s="353"/>
      <c r="AF35" s="353"/>
      <c r="AG35" s="353"/>
      <c r="AH35" s="353"/>
      <c r="AI35" s="353"/>
      <c r="AJ35" s="353">
        <v>1</v>
      </c>
    </row>
    <row r="36" spans="1:36" x14ac:dyDescent="0.35">
      <c r="A36" s="335"/>
      <c r="B36" s="335" t="s">
        <v>1620</v>
      </c>
      <c r="C36" s="335" t="s">
        <v>268</v>
      </c>
      <c r="D36" s="350" t="s">
        <v>284</v>
      </c>
      <c r="E36" s="335">
        <v>7</v>
      </c>
      <c r="F36" s="349"/>
      <c r="G36" s="349"/>
      <c r="H36" s="349">
        <v>38935.43</v>
      </c>
      <c r="I36" s="349"/>
      <c r="J36" s="349"/>
      <c r="K36" s="349"/>
      <c r="L36" s="349"/>
      <c r="M36" s="349"/>
      <c r="N36" s="349"/>
      <c r="O36" s="349"/>
      <c r="P36" s="349"/>
      <c r="Q36" s="349">
        <v>38935.43</v>
      </c>
      <c r="T36" s="335"/>
      <c r="U36" s="335" t="s">
        <v>1602</v>
      </c>
      <c r="V36" s="335" t="s">
        <v>268</v>
      </c>
      <c r="W36" s="335" t="s">
        <v>477</v>
      </c>
      <c r="X36" s="335">
        <v>2</v>
      </c>
      <c r="Y36" s="351"/>
      <c r="Z36" s="351"/>
      <c r="AA36" s="351"/>
      <c r="AB36" s="351"/>
      <c r="AC36" s="351"/>
      <c r="AD36" s="351"/>
      <c r="AE36" s="351"/>
      <c r="AF36" s="351">
        <v>1</v>
      </c>
      <c r="AG36" s="351"/>
      <c r="AH36" s="351"/>
      <c r="AI36" s="351"/>
      <c r="AJ36" s="352">
        <v>1</v>
      </c>
    </row>
    <row r="37" spans="1:36" x14ac:dyDescent="0.35">
      <c r="A37" s="335" t="s">
        <v>501</v>
      </c>
      <c r="B37" s="335"/>
      <c r="C37" s="335"/>
      <c r="D37" s="335"/>
      <c r="E37" s="335"/>
      <c r="F37" s="336">
        <v>553080.17000000004</v>
      </c>
      <c r="G37" s="336">
        <v>36622.71</v>
      </c>
      <c r="H37" s="336">
        <v>267516.43</v>
      </c>
      <c r="I37" s="336">
        <v>837130.29</v>
      </c>
      <c r="J37" s="336">
        <v>1765352.51</v>
      </c>
      <c r="K37" s="336">
        <v>1415058.5899999999</v>
      </c>
      <c r="L37" s="336">
        <v>1207727.02</v>
      </c>
      <c r="M37" s="336">
        <v>1358530.94</v>
      </c>
      <c r="N37" s="336"/>
      <c r="O37" s="336"/>
      <c r="P37" s="336"/>
      <c r="Q37" s="348">
        <v>7441018.6600000001</v>
      </c>
      <c r="T37" s="335" t="s">
        <v>518</v>
      </c>
      <c r="U37" s="335"/>
      <c r="V37" s="335"/>
      <c r="W37" s="335"/>
      <c r="X37" s="335"/>
      <c r="Y37" s="351">
        <v>1</v>
      </c>
      <c r="Z37" s="351">
        <v>0</v>
      </c>
      <c r="AA37" s="351"/>
      <c r="AB37" s="351">
        <v>3</v>
      </c>
      <c r="AC37" s="351">
        <v>2</v>
      </c>
      <c r="AD37" s="351">
        <v>3</v>
      </c>
      <c r="AE37" s="351">
        <v>2</v>
      </c>
      <c r="AF37" s="351">
        <v>4</v>
      </c>
      <c r="AG37" s="351">
        <v>0</v>
      </c>
      <c r="AH37" s="351">
        <v>0</v>
      </c>
      <c r="AI37" s="351">
        <v>1</v>
      </c>
      <c r="AJ37" s="352">
        <v>16</v>
      </c>
    </row>
    <row r="38" spans="1:36" x14ac:dyDescent="0.35">
      <c r="A38" s="335" t="s">
        <v>484</v>
      </c>
      <c r="B38" s="335"/>
      <c r="C38" s="335"/>
      <c r="D38" s="335"/>
      <c r="E38" s="335"/>
      <c r="F38" s="336">
        <v>664043.38</v>
      </c>
      <c r="G38" s="336">
        <v>814586.65999999992</v>
      </c>
      <c r="H38" s="336">
        <v>1568210.2</v>
      </c>
      <c r="I38" s="336">
        <v>3393716.29</v>
      </c>
      <c r="J38" s="336">
        <v>4918732.51</v>
      </c>
      <c r="K38" s="336">
        <v>3570527.59</v>
      </c>
      <c r="L38" s="336">
        <v>1207727.02</v>
      </c>
      <c r="M38" s="336">
        <v>2108530.94</v>
      </c>
      <c r="N38" s="336">
        <v>2955486.6666666698</v>
      </c>
      <c r="O38" s="336">
        <v>1044666.66666667</v>
      </c>
      <c r="P38" s="336">
        <v>1044666.66666667</v>
      </c>
      <c r="Q38" s="337">
        <v>23290894.590000011</v>
      </c>
      <c r="T38" s="335" t="s">
        <v>484</v>
      </c>
      <c r="U38" s="335"/>
      <c r="V38" s="335"/>
      <c r="W38" s="335"/>
      <c r="X38" s="335"/>
      <c r="Y38" s="351">
        <v>3</v>
      </c>
      <c r="Z38" s="351">
        <v>2</v>
      </c>
      <c r="AA38" s="351">
        <v>0</v>
      </c>
      <c r="AB38" s="351">
        <v>5</v>
      </c>
      <c r="AC38" s="351">
        <v>7</v>
      </c>
      <c r="AD38" s="351">
        <v>5</v>
      </c>
      <c r="AE38" s="351">
        <v>2</v>
      </c>
      <c r="AF38" s="351">
        <v>5</v>
      </c>
      <c r="AG38" s="351">
        <v>0</v>
      </c>
      <c r="AH38" s="351">
        <v>0</v>
      </c>
      <c r="AI38" s="351">
        <v>3</v>
      </c>
      <c r="AJ38" s="352">
        <v>32</v>
      </c>
    </row>
    <row r="39" spans="1:36" x14ac:dyDescent="0.35">
      <c r="D39"/>
      <c r="E39"/>
      <c r="G39"/>
      <c r="H39"/>
      <c r="I39"/>
      <c r="J39"/>
      <c r="W39"/>
      <c r="X39"/>
      <c r="Z39"/>
      <c r="AA39"/>
      <c r="AB39"/>
      <c r="AC39"/>
    </row>
    <row r="40" spans="1:36" x14ac:dyDescent="0.35">
      <c r="D40"/>
      <c r="E40"/>
      <c r="G40"/>
      <c r="H40"/>
      <c r="I40"/>
      <c r="J40"/>
      <c r="W40"/>
      <c r="X40"/>
      <c r="Z40"/>
      <c r="AA40"/>
      <c r="AB40"/>
      <c r="AC40"/>
    </row>
    <row r="41" spans="1:36" x14ac:dyDescent="0.35">
      <c r="D41"/>
      <c r="E41"/>
      <c r="G41"/>
      <c r="H41"/>
      <c r="I41"/>
      <c r="J41"/>
      <c r="W41"/>
      <c r="X41"/>
      <c r="Z41"/>
      <c r="AA41"/>
      <c r="AB41"/>
      <c r="AC41"/>
    </row>
    <row r="42" spans="1:36" x14ac:dyDescent="0.35">
      <c r="D42"/>
      <c r="E42"/>
      <c r="G42"/>
      <c r="H42"/>
      <c r="I42"/>
      <c r="J42"/>
      <c r="W42"/>
      <c r="X42"/>
      <c r="Z42"/>
      <c r="AA42"/>
      <c r="AB42"/>
      <c r="AC42"/>
    </row>
    <row r="43" spans="1:36" x14ac:dyDescent="0.35">
      <c r="D43"/>
      <c r="E43"/>
      <c r="G43"/>
      <c r="H43"/>
      <c r="I43"/>
      <c r="J43"/>
      <c r="W43"/>
      <c r="X43"/>
      <c r="Z43"/>
      <c r="AA43"/>
      <c r="AB43"/>
      <c r="AC43"/>
    </row>
    <row r="44" spans="1:36" x14ac:dyDescent="0.35">
      <c r="D44"/>
      <c r="E44"/>
      <c r="G44"/>
      <c r="H44"/>
      <c r="I44"/>
      <c r="J44"/>
      <c r="W44"/>
      <c r="X44"/>
      <c r="Z44"/>
      <c r="AA44"/>
      <c r="AB44"/>
      <c r="AC44"/>
    </row>
    <row r="45" spans="1:36" x14ac:dyDescent="0.35">
      <c r="D45"/>
      <c r="E45"/>
      <c r="G45"/>
      <c r="H45"/>
      <c r="I45"/>
      <c r="J45"/>
      <c r="W45"/>
      <c r="X45"/>
      <c r="Z45"/>
      <c r="AA45"/>
      <c r="AB45"/>
      <c r="AC45"/>
    </row>
    <row r="46" spans="1:36" x14ac:dyDescent="0.35">
      <c r="D46"/>
      <c r="E46"/>
      <c r="G46"/>
      <c r="H46"/>
      <c r="I46"/>
      <c r="J46"/>
      <c r="W46"/>
      <c r="X46"/>
      <c r="Z46"/>
      <c r="AA46"/>
      <c r="AB46"/>
      <c r="AC46"/>
    </row>
    <row r="47" spans="1:36" x14ac:dyDescent="0.35">
      <c r="D47"/>
      <c r="E47"/>
      <c r="G47"/>
      <c r="H47"/>
      <c r="I47"/>
      <c r="J47"/>
      <c r="W47"/>
      <c r="X47"/>
      <c r="Z47"/>
      <c r="AA47"/>
      <c r="AB47"/>
      <c r="AC47"/>
    </row>
    <row r="48" spans="1:36" x14ac:dyDescent="0.35">
      <c r="D48"/>
      <c r="E48"/>
      <c r="G48"/>
      <c r="H48"/>
      <c r="I48"/>
      <c r="J48"/>
      <c r="W48"/>
      <c r="X48"/>
      <c r="Z48"/>
      <c r="AA48"/>
      <c r="AB48"/>
      <c r="AC48"/>
    </row>
    <row r="49" spans="1:50" x14ac:dyDescent="0.35">
      <c r="D49"/>
      <c r="E49"/>
      <c r="G49"/>
      <c r="H49"/>
      <c r="I49"/>
      <c r="J49"/>
      <c r="W49"/>
      <c r="X49"/>
      <c r="Z49"/>
      <c r="AA49"/>
      <c r="AB49"/>
      <c r="AC49"/>
    </row>
    <row r="50" spans="1:50" x14ac:dyDescent="0.35">
      <c r="D50"/>
      <c r="E50"/>
      <c r="G50"/>
      <c r="H50"/>
      <c r="I50"/>
      <c r="J50"/>
      <c r="W50"/>
      <c r="X50"/>
      <c r="Z50"/>
      <c r="AA50"/>
      <c r="AB50"/>
      <c r="AC50"/>
    </row>
    <row r="51" spans="1:50" x14ac:dyDescent="0.35">
      <c r="D51"/>
      <c r="E51"/>
      <c r="G51"/>
      <c r="H51"/>
      <c r="I51"/>
      <c r="J51"/>
      <c r="W51"/>
      <c r="X51"/>
      <c r="Z51"/>
      <c r="AA51"/>
      <c r="AB51"/>
      <c r="AC51"/>
    </row>
    <row r="52" spans="1:50" s="113" customFormat="1" x14ac:dyDescent="0.35">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row>
    <row r="53" spans="1:50" x14ac:dyDescent="0.35">
      <c r="D53"/>
      <c r="E53"/>
      <c r="G53"/>
      <c r="H53"/>
      <c r="I53"/>
      <c r="J53"/>
      <c r="W53"/>
      <c r="X53"/>
      <c r="Z53"/>
      <c r="AA53"/>
      <c r="AB53"/>
      <c r="AC53"/>
    </row>
    <row r="54" spans="1:50" x14ac:dyDescent="0.35">
      <c r="D54"/>
      <c r="E54"/>
      <c r="G54"/>
      <c r="H54"/>
      <c r="I54"/>
      <c r="J54"/>
      <c r="W54"/>
      <c r="X54"/>
      <c r="Z54"/>
      <c r="AA54"/>
      <c r="AB54"/>
      <c r="AC54"/>
    </row>
    <row r="55" spans="1:50" x14ac:dyDescent="0.35">
      <c r="D55"/>
      <c r="E55"/>
      <c r="G55"/>
      <c r="H55"/>
      <c r="I55"/>
      <c r="J55"/>
      <c r="W55"/>
      <c r="X55"/>
      <c r="Z55"/>
      <c r="AA55"/>
      <c r="AB55"/>
      <c r="AC55"/>
    </row>
    <row r="56" spans="1:50" x14ac:dyDescent="0.35">
      <c r="D56"/>
      <c r="E56"/>
      <c r="G56"/>
      <c r="H56"/>
      <c r="I56"/>
      <c r="J56"/>
      <c r="W56"/>
      <c r="X56"/>
      <c r="Z56"/>
      <c r="AA56"/>
      <c r="AB56"/>
      <c r="AC56"/>
    </row>
    <row r="57" spans="1:50" x14ac:dyDescent="0.35">
      <c r="D57"/>
      <c r="E57"/>
      <c r="G57"/>
      <c r="H57"/>
      <c r="I57"/>
      <c r="J57"/>
      <c r="W57"/>
      <c r="X57"/>
      <c r="Z57"/>
      <c r="AA57"/>
      <c r="AB57"/>
      <c r="AC57"/>
    </row>
    <row r="58" spans="1:50" x14ac:dyDescent="0.35">
      <c r="D58"/>
      <c r="E58"/>
      <c r="G58"/>
      <c r="H58"/>
      <c r="I58"/>
      <c r="J58"/>
      <c r="W58"/>
      <c r="X58"/>
      <c r="Z58"/>
      <c r="AA58"/>
      <c r="AB58"/>
      <c r="AC58"/>
    </row>
    <row r="59" spans="1:50" x14ac:dyDescent="0.35">
      <c r="D59"/>
      <c r="E59"/>
      <c r="G59"/>
      <c r="H59"/>
      <c r="I59"/>
      <c r="J59"/>
      <c r="W59"/>
      <c r="X59"/>
      <c r="Z59"/>
      <c r="AA59"/>
      <c r="AB59"/>
      <c r="AC59"/>
    </row>
    <row r="60" spans="1:50" x14ac:dyDescent="0.35">
      <c r="D60"/>
      <c r="E60"/>
      <c r="G60"/>
      <c r="H60"/>
      <c r="I60"/>
      <c r="J60"/>
      <c r="W60"/>
      <c r="X60"/>
      <c r="Z60"/>
      <c r="AA60"/>
      <c r="AB60"/>
      <c r="AC60"/>
    </row>
    <row r="61" spans="1:50" x14ac:dyDescent="0.35">
      <c r="D61"/>
      <c r="E61"/>
      <c r="G61"/>
      <c r="H61"/>
      <c r="I61"/>
      <c r="J61"/>
      <c r="W61"/>
      <c r="X61"/>
      <c r="Z61"/>
      <c r="AA61"/>
      <c r="AB61"/>
      <c r="AC61"/>
    </row>
    <row r="62" spans="1:50" x14ac:dyDescent="0.35">
      <c r="D62"/>
      <c r="E62"/>
      <c r="G62"/>
      <c r="H62"/>
      <c r="I62"/>
      <c r="J62"/>
      <c r="W62"/>
      <c r="X62"/>
      <c r="Z62"/>
      <c r="AA62"/>
      <c r="AB62"/>
      <c r="AC62"/>
    </row>
    <row r="63" spans="1:50" x14ac:dyDescent="0.35">
      <c r="D63"/>
      <c r="E63"/>
      <c r="G63"/>
      <c r="H63"/>
      <c r="I63"/>
      <c r="J63"/>
      <c r="W63"/>
      <c r="X63"/>
      <c r="Z63"/>
      <c r="AA63"/>
      <c r="AB63"/>
      <c r="AC63"/>
    </row>
    <row r="64" spans="1:50" x14ac:dyDescent="0.35">
      <c r="D64"/>
      <c r="E64"/>
      <c r="G64"/>
      <c r="H64"/>
      <c r="I64"/>
      <c r="J64"/>
      <c r="W64"/>
      <c r="X64"/>
      <c r="Z64"/>
      <c r="AA64"/>
      <c r="AB64"/>
      <c r="AC64"/>
    </row>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sheetData>
  <dataConsolidate/>
  <conditionalFormatting sqref="E1:H2 E3:E115 E116:H1048576">
    <cfRule type="cellIs" dxfId="84" priority="2" operator="equal">
      <formula>"no"</formula>
    </cfRule>
  </conditionalFormatting>
  <conditionalFormatting sqref="X1:AA2 X3:X115 X116:AA1048576">
    <cfRule type="cellIs" dxfId="83" priority="1" operator="equal">
      <formula>"no"</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08AEF-CEB1-4CA6-83FC-6E5C41D21C0B}">
  <sheetPr>
    <tabColor rgb="FFFF0000"/>
  </sheetPr>
  <dimension ref="A1:S115"/>
  <sheetViews>
    <sheetView zoomScale="60" zoomScaleNormal="60" workbookViewId="0">
      <pane xSplit="6" ySplit="3" topLeftCell="G4" activePane="bottomRight" state="frozen"/>
      <selection pane="topRight" activeCell="G1" sqref="G1"/>
      <selection pane="bottomLeft" activeCell="A6" sqref="A6"/>
      <selection pane="bottomRight" activeCell="B10" sqref="B10"/>
    </sheetView>
  </sheetViews>
  <sheetFormatPr defaultRowHeight="14.5" x14ac:dyDescent="0.35"/>
  <cols>
    <col min="1" max="1" width="15.453125" customWidth="1"/>
    <col min="2" max="2" width="59.90625" customWidth="1"/>
    <col min="3" max="3" width="10.54296875" customWidth="1"/>
    <col min="4" max="4" width="17.453125" style="13" bestFit="1" customWidth="1"/>
    <col min="5" max="5" width="18.90625" style="115" bestFit="1" customWidth="1"/>
    <col min="6" max="6" width="15.54296875" bestFit="1" customWidth="1"/>
    <col min="7" max="7" width="23" style="142" bestFit="1" customWidth="1"/>
    <col min="8" max="8" width="22.54296875" style="142" bestFit="1" customWidth="1"/>
    <col min="9" max="9" width="9.36328125" style="143" bestFit="1" customWidth="1"/>
    <col min="10" max="10" width="9.36328125" style="126" bestFit="1" customWidth="1"/>
    <col min="11" max="14" width="9.36328125" bestFit="1" customWidth="1"/>
    <col min="15" max="15" width="10.36328125" bestFit="1" customWidth="1"/>
    <col min="16" max="16" width="10.7265625" bestFit="1" customWidth="1"/>
    <col min="17" max="18" width="9.54296875" bestFit="1" customWidth="1"/>
    <col min="19" max="19" width="10.54296875" bestFit="1" customWidth="1"/>
  </cols>
  <sheetData>
    <row r="1" spans="1:19" x14ac:dyDescent="0.35">
      <c r="A1" s="335" t="s">
        <v>720</v>
      </c>
      <c r="B1" s="335"/>
      <c r="C1" s="335"/>
      <c r="D1" s="335"/>
      <c r="E1" s="335"/>
      <c r="F1" s="335"/>
      <c r="G1" s="335"/>
      <c r="H1" s="335"/>
      <c r="I1" s="335" t="s">
        <v>481</v>
      </c>
      <c r="J1" s="335" t="s">
        <v>482</v>
      </c>
      <c r="K1" s="335"/>
      <c r="L1" s="335"/>
      <c r="M1" s="335"/>
      <c r="N1" s="335"/>
      <c r="O1" s="335"/>
    </row>
    <row r="2" spans="1:19" x14ac:dyDescent="0.35">
      <c r="A2" s="335"/>
      <c r="B2" s="335"/>
      <c r="C2" s="335"/>
      <c r="D2" s="335"/>
      <c r="E2" s="335"/>
      <c r="F2" s="335"/>
      <c r="G2" s="335"/>
      <c r="H2" s="335"/>
      <c r="I2" s="335" t="s">
        <v>483</v>
      </c>
      <c r="J2" s="335"/>
      <c r="K2" s="335"/>
      <c r="L2" s="335"/>
      <c r="M2" s="335"/>
      <c r="N2" s="335" t="s">
        <v>721</v>
      </c>
      <c r="O2" s="338" t="s">
        <v>484</v>
      </c>
    </row>
    <row r="3" spans="1:19" s="201" customFormat="1" ht="15" customHeight="1" x14ac:dyDescent="0.35">
      <c r="A3" s="338" t="s">
        <v>210</v>
      </c>
      <c r="B3" s="338" t="s">
        <v>216</v>
      </c>
      <c r="C3" s="338" t="s">
        <v>211</v>
      </c>
      <c r="D3" s="338" t="s">
        <v>218</v>
      </c>
      <c r="E3" s="339" t="s">
        <v>231</v>
      </c>
      <c r="F3" s="356" t="s">
        <v>232</v>
      </c>
      <c r="G3" s="356" t="s">
        <v>241</v>
      </c>
      <c r="H3" s="356" t="s">
        <v>242</v>
      </c>
      <c r="I3" s="335" t="s">
        <v>282</v>
      </c>
      <c r="J3" s="335" t="s">
        <v>297</v>
      </c>
      <c r="K3" s="335" t="s">
        <v>303</v>
      </c>
      <c r="L3" s="335" t="s">
        <v>311</v>
      </c>
      <c r="M3" s="335" t="s">
        <v>330</v>
      </c>
      <c r="N3" s="335" t="s">
        <v>315</v>
      </c>
      <c r="O3" s="338"/>
      <c r="P3"/>
      <c r="Q3"/>
      <c r="R3"/>
      <c r="S3"/>
    </row>
    <row r="4" spans="1:19" x14ac:dyDescent="0.35">
      <c r="A4" s="335" t="s">
        <v>46</v>
      </c>
      <c r="B4" s="335" t="s">
        <v>727</v>
      </c>
      <c r="C4" s="335" t="s">
        <v>323</v>
      </c>
      <c r="D4" s="346" t="s">
        <v>309</v>
      </c>
      <c r="E4" s="335">
        <v>4</v>
      </c>
      <c r="F4" s="335">
        <v>4</v>
      </c>
      <c r="G4" s="335" t="s">
        <v>754</v>
      </c>
      <c r="H4" s="335" t="s">
        <v>755</v>
      </c>
      <c r="I4" s="345">
        <v>3273</v>
      </c>
      <c r="J4" s="345"/>
      <c r="K4" s="345"/>
      <c r="L4" s="345"/>
      <c r="M4" s="345"/>
      <c r="N4" s="345"/>
      <c r="O4" s="345">
        <v>3273</v>
      </c>
    </row>
    <row r="5" spans="1:19" x14ac:dyDescent="0.35">
      <c r="A5" s="335"/>
      <c r="B5" s="335" t="s">
        <v>729</v>
      </c>
      <c r="C5" s="335" t="s">
        <v>323</v>
      </c>
      <c r="D5" s="346" t="s">
        <v>309</v>
      </c>
      <c r="E5" s="335">
        <v>21</v>
      </c>
      <c r="F5" s="335">
        <v>23</v>
      </c>
      <c r="G5" s="335" t="s">
        <v>756</v>
      </c>
      <c r="H5" s="335" t="s">
        <v>757</v>
      </c>
      <c r="I5" s="345"/>
      <c r="J5" s="345"/>
      <c r="K5" s="345"/>
      <c r="L5" s="345"/>
      <c r="M5" s="345">
        <v>32000</v>
      </c>
      <c r="N5" s="345"/>
      <c r="O5" s="345">
        <v>32000</v>
      </c>
    </row>
    <row r="6" spans="1:19" x14ac:dyDescent="0.35">
      <c r="A6" s="335"/>
      <c r="B6" s="335" t="s">
        <v>730</v>
      </c>
      <c r="C6" s="335" t="s">
        <v>323</v>
      </c>
      <c r="D6" s="346" t="s">
        <v>309</v>
      </c>
      <c r="E6" s="335">
        <v>4</v>
      </c>
      <c r="F6" s="335">
        <v>4</v>
      </c>
      <c r="G6" s="335" t="s">
        <v>754</v>
      </c>
      <c r="H6" s="335" t="s">
        <v>755</v>
      </c>
      <c r="I6" s="345">
        <v>6938.58</v>
      </c>
      <c r="J6" s="345"/>
      <c r="K6" s="345"/>
      <c r="L6" s="345"/>
      <c r="M6" s="345"/>
      <c r="N6" s="345"/>
      <c r="O6" s="345">
        <v>6938.58</v>
      </c>
    </row>
    <row r="7" spans="1:19" x14ac:dyDescent="0.35">
      <c r="A7" s="335"/>
      <c r="B7" s="335" t="s">
        <v>758</v>
      </c>
      <c r="C7" s="335" t="s">
        <v>323</v>
      </c>
      <c r="D7" s="346" t="s">
        <v>309</v>
      </c>
      <c r="E7" s="335">
        <v>3</v>
      </c>
      <c r="F7" s="335">
        <v>3</v>
      </c>
      <c r="G7" s="335" t="s">
        <v>759</v>
      </c>
      <c r="H7" s="335" t="s">
        <v>759</v>
      </c>
      <c r="I7" s="345"/>
      <c r="J7" s="345">
        <v>2843.6000000000004</v>
      </c>
      <c r="K7" s="345"/>
      <c r="L7" s="345"/>
      <c r="M7" s="345"/>
      <c r="N7" s="345"/>
      <c r="O7" s="345">
        <v>2843.6000000000004</v>
      </c>
    </row>
    <row r="8" spans="1:19" x14ac:dyDescent="0.35">
      <c r="A8" s="335"/>
      <c r="B8" s="335" t="s">
        <v>731</v>
      </c>
      <c r="C8" s="335" t="s">
        <v>323</v>
      </c>
      <c r="D8" s="346" t="s">
        <v>309</v>
      </c>
      <c r="E8" s="335">
        <v>1</v>
      </c>
      <c r="F8" s="335">
        <v>1</v>
      </c>
      <c r="G8" s="335" t="s">
        <v>761</v>
      </c>
      <c r="H8" s="335" t="s">
        <v>761</v>
      </c>
      <c r="I8" s="345"/>
      <c r="J8" s="345"/>
      <c r="K8" s="345">
        <v>2230.98</v>
      </c>
      <c r="L8" s="345"/>
      <c r="M8" s="345"/>
      <c r="N8" s="345"/>
      <c r="O8" s="345">
        <v>2230.98</v>
      </c>
    </row>
    <row r="9" spans="1:19" x14ac:dyDescent="0.35">
      <c r="A9" s="335"/>
      <c r="B9" s="335" t="s">
        <v>762</v>
      </c>
      <c r="C9" s="335" t="s">
        <v>323</v>
      </c>
      <c r="D9" s="346" t="s">
        <v>309</v>
      </c>
      <c r="E9" s="335">
        <v>15</v>
      </c>
      <c r="F9" s="335">
        <v>22</v>
      </c>
      <c r="G9" s="335" t="s">
        <v>766</v>
      </c>
      <c r="H9" s="335" t="s">
        <v>766</v>
      </c>
      <c r="I9" s="345"/>
      <c r="J9" s="345"/>
      <c r="K9" s="345"/>
      <c r="L9" s="345"/>
      <c r="M9" s="345"/>
      <c r="N9" s="345">
        <v>17279</v>
      </c>
      <c r="O9" s="345">
        <v>17279</v>
      </c>
    </row>
    <row r="10" spans="1:19" x14ac:dyDescent="0.35">
      <c r="A10" s="335"/>
      <c r="B10" s="335" t="s">
        <v>733</v>
      </c>
      <c r="C10" s="335" t="s">
        <v>323</v>
      </c>
      <c r="D10" s="346" t="s">
        <v>309</v>
      </c>
      <c r="E10" s="335">
        <v>16</v>
      </c>
      <c r="F10" s="335">
        <v>26</v>
      </c>
      <c r="G10" s="335" t="s">
        <v>766</v>
      </c>
      <c r="H10" s="335" t="s">
        <v>766</v>
      </c>
      <c r="I10" s="345"/>
      <c r="J10" s="345"/>
      <c r="K10" s="345"/>
      <c r="L10" s="345"/>
      <c r="M10" s="345"/>
      <c r="N10" s="345">
        <v>11993</v>
      </c>
      <c r="O10" s="345">
        <v>11993</v>
      </c>
    </row>
    <row r="11" spans="1:19" x14ac:dyDescent="0.35">
      <c r="A11" s="335"/>
      <c r="B11" s="335" t="s">
        <v>765</v>
      </c>
      <c r="C11" s="335" t="s">
        <v>323</v>
      </c>
      <c r="D11" s="346" t="s">
        <v>309</v>
      </c>
      <c r="E11" s="335">
        <v>5</v>
      </c>
      <c r="F11" s="335">
        <v>11</v>
      </c>
      <c r="G11" s="335" t="s">
        <v>767</v>
      </c>
      <c r="H11" s="335" t="s">
        <v>767</v>
      </c>
      <c r="I11" s="345"/>
      <c r="J11" s="345"/>
      <c r="K11" s="345"/>
      <c r="L11" s="345"/>
      <c r="M11" s="345"/>
      <c r="N11" s="345">
        <v>8153.75</v>
      </c>
      <c r="O11" s="345">
        <v>8153.75</v>
      </c>
    </row>
    <row r="12" spans="1:19" x14ac:dyDescent="0.35">
      <c r="A12" s="335"/>
      <c r="B12" s="335" t="s">
        <v>735</v>
      </c>
      <c r="C12" s="335" t="s">
        <v>323</v>
      </c>
      <c r="D12" s="347" t="s">
        <v>477</v>
      </c>
      <c r="E12" s="335">
        <v>1</v>
      </c>
      <c r="F12" s="335">
        <v>1</v>
      </c>
      <c r="G12" s="335" t="s">
        <v>768</v>
      </c>
      <c r="H12" s="335" t="s">
        <v>768</v>
      </c>
      <c r="I12" s="343"/>
      <c r="J12" s="343"/>
      <c r="K12" s="343"/>
      <c r="L12" s="343">
        <v>730.3</v>
      </c>
      <c r="M12" s="343"/>
      <c r="N12" s="343"/>
      <c r="O12" s="343">
        <v>730.3</v>
      </c>
    </row>
    <row r="13" spans="1:19" x14ac:dyDescent="0.35">
      <c r="A13" s="335"/>
      <c r="B13" s="335" t="s">
        <v>797</v>
      </c>
      <c r="C13" s="335" t="s">
        <v>323</v>
      </c>
      <c r="D13" s="346" t="s">
        <v>309</v>
      </c>
      <c r="E13" s="335">
        <v>6</v>
      </c>
      <c r="F13" s="335">
        <v>8</v>
      </c>
      <c r="G13" s="335" t="s">
        <v>766</v>
      </c>
      <c r="H13" s="335" t="s">
        <v>766</v>
      </c>
      <c r="I13" s="345"/>
      <c r="J13" s="345"/>
      <c r="K13" s="345"/>
      <c r="L13" s="345"/>
      <c r="M13" s="345"/>
      <c r="N13" s="345">
        <v>4270.1200000000008</v>
      </c>
      <c r="O13" s="345">
        <v>4270.1200000000008</v>
      </c>
    </row>
    <row r="14" spans="1:19" x14ac:dyDescent="0.35">
      <c r="A14" s="335"/>
      <c r="B14" s="335" t="s">
        <v>1600</v>
      </c>
      <c r="C14" s="335" t="s">
        <v>323</v>
      </c>
      <c r="D14" s="350" t="s">
        <v>284</v>
      </c>
      <c r="E14" s="335">
        <v>3</v>
      </c>
      <c r="F14" s="335" t="s">
        <v>751</v>
      </c>
      <c r="G14" s="335" t="s">
        <v>149</v>
      </c>
      <c r="H14" s="335" t="s">
        <v>149</v>
      </c>
      <c r="I14" s="349"/>
      <c r="J14" s="349"/>
      <c r="K14" s="349"/>
      <c r="L14" s="349"/>
      <c r="M14" s="349"/>
      <c r="N14" s="349"/>
      <c r="O14" s="349"/>
    </row>
    <row r="15" spans="1:19" x14ac:dyDescent="0.35">
      <c r="A15" s="335"/>
      <c r="B15" s="335" t="s">
        <v>1621</v>
      </c>
      <c r="C15" s="335" t="s">
        <v>323</v>
      </c>
      <c r="D15" s="350" t="s">
        <v>284</v>
      </c>
      <c r="E15" s="335">
        <v>11</v>
      </c>
      <c r="F15" s="335" t="s">
        <v>751</v>
      </c>
      <c r="G15" s="335" t="s">
        <v>149</v>
      </c>
      <c r="H15" s="335" t="s">
        <v>149</v>
      </c>
      <c r="I15" s="349"/>
      <c r="J15" s="349"/>
      <c r="K15" s="349"/>
      <c r="L15" s="349"/>
      <c r="M15" s="349"/>
      <c r="N15" s="349">
        <v>14973.54</v>
      </c>
      <c r="O15" s="349">
        <v>14973.54</v>
      </c>
    </row>
    <row r="16" spans="1:19" x14ac:dyDescent="0.35">
      <c r="A16" s="335" t="s">
        <v>518</v>
      </c>
      <c r="B16" s="335"/>
      <c r="C16" s="335"/>
      <c r="D16" s="335"/>
      <c r="E16" s="335"/>
      <c r="F16" s="335"/>
      <c r="G16" s="335"/>
      <c r="H16" s="335"/>
      <c r="I16" s="344">
        <v>10211.58</v>
      </c>
      <c r="J16" s="344">
        <v>2843.6000000000004</v>
      </c>
      <c r="K16" s="344">
        <v>2230.98</v>
      </c>
      <c r="L16" s="344">
        <v>730.3</v>
      </c>
      <c r="M16" s="344">
        <v>32000</v>
      </c>
      <c r="N16" s="344">
        <v>56669.41</v>
      </c>
      <c r="O16" s="348">
        <v>104685.87</v>
      </c>
    </row>
    <row r="17" spans="1:19" x14ac:dyDescent="0.35">
      <c r="A17" s="335" t="s">
        <v>59</v>
      </c>
      <c r="B17" s="335" t="s">
        <v>769</v>
      </c>
      <c r="C17" s="335" t="s">
        <v>323</v>
      </c>
      <c r="D17" s="346" t="s">
        <v>309</v>
      </c>
      <c r="E17" s="335">
        <v>2</v>
      </c>
      <c r="F17" s="335">
        <v>2</v>
      </c>
      <c r="G17" s="335" t="s">
        <v>753</v>
      </c>
      <c r="H17" s="335" t="s">
        <v>753</v>
      </c>
      <c r="I17" s="345"/>
      <c r="J17" s="345"/>
      <c r="K17" s="345">
        <v>5542.32</v>
      </c>
      <c r="L17" s="345"/>
      <c r="M17" s="345"/>
      <c r="N17" s="345"/>
      <c r="O17" s="345">
        <v>5542.32</v>
      </c>
    </row>
    <row r="18" spans="1:19" x14ac:dyDescent="0.35">
      <c r="A18" s="335"/>
      <c r="B18" s="335" t="s">
        <v>743</v>
      </c>
      <c r="C18" s="335" t="s">
        <v>323</v>
      </c>
      <c r="D18" s="346" t="s">
        <v>309</v>
      </c>
      <c r="E18" s="335">
        <v>17</v>
      </c>
      <c r="F18" s="335">
        <v>25</v>
      </c>
      <c r="G18" s="335" t="s">
        <v>771</v>
      </c>
      <c r="H18" s="335" t="s">
        <v>771</v>
      </c>
      <c r="I18" s="345"/>
      <c r="J18" s="345"/>
      <c r="K18" s="345"/>
      <c r="L18" s="345">
        <v>33810.54</v>
      </c>
      <c r="M18" s="345"/>
      <c r="N18" s="345"/>
      <c r="O18" s="345">
        <v>33810.54</v>
      </c>
    </row>
    <row r="19" spans="1:19" x14ac:dyDescent="0.35">
      <c r="A19" s="335"/>
      <c r="B19" s="335" t="s">
        <v>744</v>
      </c>
      <c r="C19" s="335" t="s">
        <v>323</v>
      </c>
      <c r="D19" s="346" t="s">
        <v>309</v>
      </c>
      <c r="E19" s="335">
        <v>15</v>
      </c>
      <c r="F19" s="335">
        <v>31</v>
      </c>
      <c r="G19" s="335" t="s">
        <v>756</v>
      </c>
      <c r="H19" s="335" t="s">
        <v>756</v>
      </c>
      <c r="I19" s="345"/>
      <c r="J19" s="345"/>
      <c r="K19" s="345"/>
      <c r="L19" s="345">
        <v>32385.58</v>
      </c>
      <c r="M19" s="345"/>
      <c r="N19" s="345"/>
      <c r="O19" s="345">
        <v>32385.58</v>
      </c>
    </row>
    <row r="20" spans="1:19" x14ac:dyDescent="0.35">
      <c r="A20" s="335" t="s">
        <v>501</v>
      </c>
      <c r="B20" s="335"/>
      <c r="C20" s="335"/>
      <c r="D20" s="335"/>
      <c r="E20" s="335"/>
      <c r="F20" s="335"/>
      <c r="G20" s="335"/>
      <c r="H20" s="335"/>
      <c r="I20" s="336"/>
      <c r="J20" s="336"/>
      <c r="K20" s="336">
        <v>5542.32</v>
      </c>
      <c r="L20" s="336">
        <v>66196.12</v>
      </c>
      <c r="M20" s="336"/>
      <c r="N20" s="336"/>
      <c r="O20" s="348">
        <v>71738.44</v>
      </c>
    </row>
    <row r="21" spans="1:19" x14ac:dyDescent="0.35">
      <c r="A21" s="335" t="s">
        <v>484</v>
      </c>
      <c r="B21" s="335"/>
      <c r="C21" s="335"/>
      <c r="D21" s="335"/>
      <c r="E21" s="335"/>
      <c r="F21" s="335"/>
      <c r="G21" s="335"/>
      <c r="H21" s="335"/>
      <c r="I21" s="336">
        <v>10211.58</v>
      </c>
      <c r="J21" s="336">
        <v>2843.6000000000004</v>
      </c>
      <c r="K21" s="336">
        <v>7773.2999999999993</v>
      </c>
      <c r="L21" s="336">
        <v>66926.420000000013</v>
      </c>
      <c r="M21" s="336">
        <v>32000</v>
      </c>
      <c r="N21" s="336">
        <v>56669.41</v>
      </c>
      <c r="O21" s="337">
        <v>176424.31</v>
      </c>
    </row>
    <row r="22" spans="1:19" x14ac:dyDescent="0.35">
      <c r="D22"/>
      <c r="E22"/>
      <c r="G22"/>
      <c r="H22"/>
      <c r="I22"/>
      <c r="J22"/>
    </row>
    <row r="23" spans="1:19" x14ac:dyDescent="0.35">
      <c r="D23"/>
      <c r="E23"/>
      <c r="G23"/>
      <c r="H23"/>
      <c r="I23"/>
      <c r="J23"/>
    </row>
    <row r="24" spans="1:19" s="122" customFormat="1" x14ac:dyDescent="0.35">
      <c r="A24"/>
      <c r="B24"/>
      <c r="C24"/>
      <c r="D24"/>
      <c r="E24"/>
      <c r="F24"/>
      <c r="G24"/>
      <c r="H24"/>
      <c r="I24"/>
      <c r="J24"/>
      <c r="K24"/>
      <c r="L24"/>
      <c r="M24"/>
      <c r="N24"/>
      <c r="O24"/>
      <c r="P24"/>
      <c r="Q24"/>
      <c r="R24"/>
      <c r="S24"/>
    </row>
    <row r="25" spans="1:19" x14ac:dyDescent="0.35">
      <c r="D25"/>
      <c r="E25"/>
      <c r="G25"/>
      <c r="H25"/>
      <c r="I25"/>
      <c r="J25"/>
    </row>
    <row r="26" spans="1:19" x14ac:dyDescent="0.35">
      <c r="D26"/>
      <c r="E26"/>
      <c r="G26"/>
      <c r="H26"/>
      <c r="I26"/>
      <c r="J26"/>
    </row>
    <row r="27" spans="1:19" x14ac:dyDescent="0.35">
      <c r="D27"/>
      <c r="E27"/>
      <c r="G27"/>
      <c r="H27"/>
      <c r="I27"/>
      <c r="J27"/>
    </row>
    <row r="28" spans="1:19" x14ac:dyDescent="0.35">
      <c r="D28"/>
      <c r="E28"/>
      <c r="G28"/>
      <c r="H28"/>
      <c r="I28"/>
      <c r="J28"/>
    </row>
    <row r="29" spans="1:19" x14ac:dyDescent="0.35">
      <c r="D29"/>
      <c r="E29"/>
      <c r="G29"/>
      <c r="H29"/>
      <c r="I29"/>
      <c r="J29"/>
    </row>
    <row r="30" spans="1:19" x14ac:dyDescent="0.35">
      <c r="D30"/>
      <c r="E30"/>
      <c r="G30"/>
      <c r="H30"/>
      <c r="I30"/>
      <c r="J30"/>
    </row>
    <row r="31" spans="1:19" x14ac:dyDescent="0.35">
      <c r="D31"/>
      <c r="E31"/>
      <c r="G31"/>
      <c r="H31"/>
      <c r="I31"/>
      <c r="J31"/>
    </row>
    <row r="32" spans="1:19" x14ac:dyDescent="0.35">
      <c r="D32"/>
      <c r="E32"/>
      <c r="G32"/>
      <c r="H32"/>
      <c r="I32"/>
      <c r="J32"/>
    </row>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spans="1:19" x14ac:dyDescent="0.35">
      <c r="D49"/>
      <c r="E49"/>
      <c r="G49"/>
      <c r="H49"/>
      <c r="I49"/>
      <c r="J49"/>
    </row>
    <row r="50" spans="1:19" x14ac:dyDescent="0.35">
      <c r="D50"/>
      <c r="E50"/>
      <c r="G50"/>
      <c r="H50"/>
      <c r="I50"/>
      <c r="J50"/>
    </row>
    <row r="51" spans="1:19" x14ac:dyDescent="0.35">
      <c r="D51"/>
      <c r="E51"/>
      <c r="G51"/>
      <c r="H51"/>
      <c r="I51"/>
      <c r="J51"/>
    </row>
    <row r="52" spans="1:19" s="113" customFormat="1" x14ac:dyDescent="0.35">
      <c r="A52"/>
      <c r="B52"/>
      <c r="C52"/>
      <c r="D52"/>
      <c r="E52"/>
      <c r="F52"/>
      <c r="G52"/>
      <c r="H52"/>
      <c r="I52"/>
      <c r="J52"/>
      <c r="K52"/>
      <c r="L52"/>
      <c r="M52"/>
      <c r="N52"/>
      <c r="O52"/>
      <c r="P52"/>
      <c r="Q52"/>
      <c r="R52"/>
      <c r="S52"/>
    </row>
    <row r="53" spans="1:19" x14ac:dyDescent="0.35">
      <c r="D53"/>
      <c r="E53"/>
      <c r="G53"/>
      <c r="H53"/>
      <c r="I53"/>
      <c r="J53"/>
    </row>
    <row r="54" spans="1:19" x14ac:dyDescent="0.35">
      <c r="D54"/>
      <c r="E54"/>
      <c r="G54"/>
      <c r="H54"/>
      <c r="I54"/>
      <c r="J54"/>
    </row>
    <row r="55" spans="1:19" x14ac:dyDescent="0.35">
      <c r="D55"/>
      <c r="E55"/>
      <c r="G55"/>
      <c r="H55"/>
      <c r="I55"/>
      <c r="J55"/>
    </row>
    <row r="56" spans="1:19" x14ac:dyDescent="0.35">
      <c r="D56"/>
      <c r="E56"/>
      <c r="G56"/>
      <c r="H56"/>
      <c r="I56"/>
      <c r="J56"/>
    </row>
    <row r="57" spans="1:19" x14ac:dyDescent="0.35">
      <c r="D57"/>
      <c r="E57"/>
      <c r="G57"/>
      <c r="H57"/>
      <c r="I57"/>
      <c r="J57"/>
    </row>
    <row r="58" spans="1:19" x14ac:dyDescent="0.35">
      <c r="D58"/>
      <c r="E58"/>
      <c r="G58"/>
      <c r="H58"/>
      <c r="I58"/>
      <c r="J58"/>
    </row>
    <row r="59" spans="1:19" x14ac:dyDescent="0.35">
      <c r="D59"/>
      <c r="E59"/>
      <c r="G59"/>
      <c r="H59"/>
      <c r="I59"/>
      <c r="J59"/>
    </row>
    <row r="60" spans="1:19" x14ac:dyDescent="0.35">
      <c r="D60"/>
      <c r="E60"/>
      <c r="G60"/>
      <c r="H60"/>
      <c r="I60"/>
      <c r="J60"/>
    </row>
    <row r="61" spans="1:19" x14ac:dyDescent="0.35">
      <c r="D61"/>
      <c r="E61"/>
      <c r="G61"/>
      <c r="H61"/>
      <c r="I61"/>
      <c r="J61"/>
    </row>
    <row r="62" spans="1:19" x14ac:dyDescent="0.35">
      <c r="D62"/>
      <c r="E62"/>
      <c r="G62"/>
      <c r="H62"/>
      <c r="I62"/>
      <c r="J62"/>
    </row>
    <row r="63" spans="1:19" x14ac:dyDescent="0.35">
      <c r="D63"/>
      <c r="E63"/>
      <c r="G63"/>
      <c r="H63"/>
      <c r="I63"/>
      <c r="J63"/>
    </row>
    <row r="64" spans="1:19" x14ac:dyDescent="0.35">
      <c r="D64"/>
      <c r="E64"/>
      <c r="G64"/>
      <c r="H64"/>
      <c r="I64"/>
      <c r="J64"/>
    </row>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sheetData>
  <conditionalFormatting sqref="E1:H2 E3:E115 E116:H1048576">
    <cfRule type="cellIs" dxfId="82" priority="3" operator="equal">
      <formula>"no"</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E15CC-3B1F-478D-915B-DE765A792B01}">
  <sheetPr>
    <tabColor rgb="FFFF0000"/>
  </sheetPr>
  <dimension ref="A1:BI115"/>
  <sheetViews>
    <sheetView zoomScale="80" zoomScaleNormal="80" workbookViewId="0">
      <pane xSplit="6" ySplit="3" topLeftCell="G4" activePane="bottomRight" state="frozen"/>
      <selection pane="topRight" activeCell="G1" sqref="G1"/>
      <selection pane="bottomLeft" activeCell="A6" sqref="A6"/>
      <selection pane="bottomRight" activeCell="H39" sqref="H39"/>
    </sheetView>
  </sheetViews>
  <sheetFormatPr defaultRowHeight="14.5" outlineLevelCol="2" x14ac:dyDescent="0.35"/>
  <cols>
    <col min="1" max="1" width="15.453125" customWidth="1"/>
    <col min="2" max="2" width="17.08984375" customWidth="1"/>
    <col min="3" max="3" width="49" bestFit="1" customWidth="1"/>
    <col min="4" max="4" width="13" style="13" bestFit="1" customWidth="1"/>
    <col min="5" max="5" width="18.90625" style="115" bestFit="1" customWidth="1"/>
    <col min="6" max="6" width="11.90625" customWidth="1"/>
    <col min="7" max="7" width="10.08984375" style="142" bestFit="1" customWidth="1"/>
    <col min="8" max="8" width="14.453125" style="142" customWidth="1"/>
    <col min="9" max="9" width="22.1796875" style="143" bestFit="1" customWidth="1"/>
    <col min="10" max="10" width="10.36328125" style="126" bestFit="1" customWidth="1"/>
    <col min="11" max="19" width="10.36328125" bestFit="1" customWidth="1"/>
    <col min="20" max="20" width="10.81640625" bestFit="1" customWidth="1"/>
    <col min="21" max="22" width="14.54296875" style="12" bestFit="1" customWidth="1"/>
    <col min="23" max="25" width="14.54296875" bestFit="1" customWidth="1"/>
    <col min="26" max="26" width="14.54296875" bestFit="1" customWidth="1" outlineLevel="1"/>
    <col min="27" max="27" width="14.54296875" bestFit="1" customWidth="1" outlineLevel="2"/>
    <col min="28" max="28" width="14.54296875" style="12" bestFit="1" customWidth="1" outlineLevel="2"/>
    <col min="29" max="29" width="16.453125" bestFit="1" customWidth="1" outlineLevel="2"/>
    <col min="30" max="30" width="16" customWidth="1" outlineLevel="2"/>
    <col min="31" max="32" width="15.453125" customWidth="1" outlineLevel="2"/>
    <col min="33" max="33" width="51.54296875" customWidth="1" outlineLevel="2"/>
    <col min="34" max="34" width="10.54296875" customWidth="1" outlineLevel="2"/>
    <col min="35" max="35" width="17.453125" style="13" customWidth="1" outlineLevel="2"/>
    <col min="36" max="36" width="18.54296875" style="115" bestFit="1" customWidth="1" outlineLevel="2"/>
    <col min="37" max="37" width="9" bestFit="1" customWidth="1" outlineLevel="2"/>
    <col min="38" max="39" width="9" style="142" bestFit="1" customWidth="1" outlineLevel="2"/>
    <col min="40" max="40" width="9" style="143" bestFit="1" customWidth="1" outlineLevel="2"/>
    <col min="41" max="41" width="9" style="126" bestFit="1" customWidth="1" outlineLevel="2"/>
    <col min="42" max="51" width="9" bestFit="1" customWidth="1" outlineLevel="2"/>
    <col min="52" max="53" width="9" style="12" bestFit="1" customWidth="1" outlineLevel="2"/>
    <col min="54" max="54" width="9" bestFit="1" customWidth="1" outlineLevel="2"/>
    <col min="55" max="55" width="10.453125" bestFit="1" customWidth="1" outlineLevel="2"/>
    <col min="56" max="56" width="11" bestFit="1" customWidth="1" outlineLevel="1"/>
    <col min="57" max="57" width="15.453125" customWidth="1"/>
    <col min="58" max="58" width="10.90625" customWidth="1"/>
    <col min="59" max="59" width="10.90625" style="12" customWidth="1"/>
    <col min="60" max="60" width="10.90625" customWidth="1"/>
    <col min="61" max="61" width="15.453125" bestFit="1" customWidth="1"/>
  </cols>
  <sheetData>
    <row r="1" spans="1:61" x14ac:dyDescent="0.35">
      <c r="A1" s="335" t="s">
        <v>720</v>
      </c>
      <c r="B1" s="335"/>
      <c r="C1" s="335"/>
      <c r="D1" s="335"/>
      <c r="E1" s="335"/>
      <c r="F1" s="335"/>
      <c r="G1" s="335"/>
      <c r="H1" s="335"/>
      <c r="I1" s="335"/>
      <c r="J1" s="335" t="s">
        <v>481</v>
      </c>
      <c r="K1" s="335" t="s">
        <v>482</v>
      </c>
      <c r="L1" s="335"/>
      <c r="M1" s="335"/>
      <c r="N1" s="335"/>
      <c r="O1" s="335"/>
      <c r="P1" s="335"/>
      <c r="Q1" s="335"/>
      <c r="R1" s="335"/>
      <c r="S1" s="335"/>
      <c r="T1" s="335"/>
      <c r="U1"/>
      <c r="V1"/>
      <c r="AB1"/>
      <c r="AF1" t="s">
        <v>750</v>
      </c>
      <c r="AI1"/>
      <c r="AJ1"/>
      <c r="AK1" t="s">
        <v>481</v>
      </c>
      <c r="AL1" t="s">
        <v>482</v>
      </c>
      <c r="AM1"/>
      <c r="AN1"/>
      <c r="AO1"/>
      <c r="AZ1"/>
      <c r="BA1"/>
      <c r="BG1"/>
    </row>
    <row r="2" spans="1:61" x14ac:dyDescent="0.35">
      <c r="A2" s="335"/>
      <c r="B2" s="335"/>
      <c r="C2" s="335"/>
      <c r="D2" s="335"/>
      <c r="E2" s="335"/>
      <c r="F2" s="335"/>
      <c r="G2" s="335"/>
      <c r="H2" s="335"/>
      <c r="I2" s="335"/>
      <c r="J2" s="335" t="s">
        <v>483</v>
      </c>
      <c r="K2" s="335"/>
      <c r="L2" s="335"/>
      <c r="M2" s="335" t="s">
        <v>721</v>
      </c>
      <c r="N2" s="335"/>
      <c r="O2" s="335"/>
      <c r="P2" s="335"/>
      <c r="Q2" s="335"/>
      <c r="R2" s="335"/>
      <c r="S2" s="335"/>
      <c r="T2" s="339" t="s">
        <v>484</v>
      </c>
      <c r="U2"/>
      <c r="V2"/>
      <c r="AB2"/>
      <c r="AI2"/>
      <c r="AJ2"/>
      <c r="AK2" t="s">
        <v>483</v>
      </c>
      <c r="AL2"/>
      <c r="AM2"/>
      <c r="AN2"/>
      <c r="AO2"/>
      <c r="AU2" t="s">
        <v>149</v>
      </c>
      <c r="AV2" t="s">
        <v>721</v>
      </c>
      <c r="AZ2"/>
      <c r="BA2"/>
      <c r="BC2" s="167" t="s">
        <v>484</v>
      </c>
      <c r="BG2"/>
    </row>
    <row r="3" spans="1:61" s="167" customFormat="1" ht="30.65" customHeight="1" x14ac:dyDescent="0.35">
      <c r="A3" s="339" t="s">
        <v>218</v>
      </c>
      <c r="B3" s="339" t="s">
        <v>210</v>
      </c>
      <c r="C3" s="339" t="s">
        <v>216</v>
      </c>
      <c r="D3" s="339" t="s">
        <v>211</v>
      </c>
      <c r="E3" s="339" t="s">
        <v>231</v>
      </c>
      <c r="F3" s="358" t="s">
        <v>227</v>
      </c>
      <c r="G3" s="358" t="s">
        <v>228</v>
      </c>
      <c r="H3" s="358" t="s">
        <v>241</v>
      </c>
      <c r="I3" s="358" t="s">
        <v>242</v>
      </c>
      <c r="J3" s="358" t="s">
        <v>303</v>
      </c>
      <c r="K3" s="358" t="s">
        <v>311</v>
      </c>
      <c r="L3" s="358" t="s">
        <v>330</v>
      </c>
      <c r="M3" s="358" t="s">
        <v>315</v>
      </c>
      <c r="N3" s="357" t="s">
        <v>345</v>
      </c>
      <c r="O3" s="335" t="s">
        <v>336</v>
      </c>
      <c r="P3" s="358" t="s">
        <v>328</v>
      </c>
      <c r="Q3" s="358" t="s">
        <v>286</v>
      </c>
      <c r="R3" s="358" t="s">
        <v>370</v>
      </c>
      <c r="S3" s="358" t="s">
        <v>341</v>
      </c>
      <c r="T3" s="339"/>
      <c r="U3" s="272"/>
      <c r="V3" s="272"/>
      <c r="W3" s="272"/>
      <c r="X3" s="272"/>
      <c r="Y3" s="272"/>
      <c r="Z3" s="272"/>
      <c r="AA3" s="272"/>
      <c r="AB3" s="272"/>
      <c r="AC3" s="272"/>
      <c r="AD3" s="272"/>
      <c r="AE3" s="272"/>
      <c r="AF3" s="167" t="s">
        <v>210</v>
      </c>
      <c r="AG3" s="167" t="s">
        <v>216</v>
      </c>
      <c r="AH3" s="167" t="s">
        <v>211</v>
      </c>
      <c r="AI3" s="167" t="s">
        <v>218</v>
      </c>
      <c r="AJ3" s="167" t="s">
        <v>231</v>
      </c>
      <c r="AK3" s="272" t="s">
        <v>378</v>
      </c>
      <c r="AL3" s="272" t="s">
        <v>321</v>
      </c>
      <c r="AM3" s="272" t="s">
        <v>294</v>
      </c>
      <c r="AN3" s="272" t="s">
        <v>280</v>
      </c>
      <c r="AO3" s="272" t="s">
        <v>281</v>
      </c>
      <c r="AP3" s="272" t="s">
        <v>282</v>
      </c>
      <c r="AQ3" s="272" t="s">
        <v>297</v>
      </c>
      <c r="AR3" t="s">
        <v>303</v>
      </c>
      <c r="AS3" s="272" t="s">
        <v>311</v>
      </c>
      <c r="AT3" s="272" t="s">
        <v>330</v>
      </c>
      <c r="AU3" s="272" t="s">
        <v>149</v>
      </c>
      <c r="AV3" s="272" t="s">
        <v>315</v>
      </c>
      <c r="AW3" s="272" t="s">
        <v>336</v>
      </c>
      <c r="AX3" s="272" t="s">
        <v>328</v>
      </c>
      <c r="AY3" s="272" t="s">
        <v>286</v>
      </c>
      <c r="AZ3" s="272" t="s">
        <v>288</v>
      </c>
      <c r="BA3" s="272" t="s">
        <v>289</v>
      </c>
      <c r="BB3" s="272" t="s">
        <v>370</v>
      </c>
      <c r="BD3" s="272"/>
      <c r="BE3" s="272"/>
      <c r="BF3" s="272"/>
      <c r="BG3" s="272"/>
      <c r="BH3" s="272"/>
      <c r="BI3" s="272"/>
    </row>
    <row r="4" spans="1:61" x14ac:dyDescent="0.35">
      <c r="A4" s="346" t="s">
        <v>309</v>
      </c>
      <c r="B4" s="335" t="s">
        <v>46</v>
      </c>
      <c r="C4" s="335" t="s">
        <v>533</v>
      </c>
      <c r="D4" s="335" t="s">
        <v>268</v>
      </c>
      <c r="E4" s="335">
        <v>50</v>
      </c>
      <c r="F4" s="335">
        <v>29</v>
      </c>
      <c r="G4" s="335">
        <v>48</v>
      </c>
      <c r="H4" s="335" t="s">
        <v>759</v>
      </c>
      <c r="I4" s="335" t="s">
        <v>772</v>
      </c>
      <c r="J4" s="345">
        <v>97273</v>
      </c>
      <c r="K4" s="345"/>
      <c r="L4" s="345"/>
      <c r="M4" s="345"/>
      <c r="N4" s="345"/>
      <c r="O4" s="345"/>
      <c r="P4" s="345"/>
      <c r="Q4" s="345"/>
      <c r="R4" s="345"/>
      <c r="S4" s="345"/>
      <c r="T4" s="345">
        <v>97273</v>
      </c>
      <c r="U4"/>
      <c r="V4"/>
      <c r="AB4"/>
      <c r="AF4" t="s">
        <v>59</v>
      </c>
      <c r="AG4" t="s">
        <v>492</v>
      </c>
      <c r="AH4" t="s">
        <v>268</v>
      </c>
      <c r="AI4" s="295" t="s">
        <v>272</v>
      </c>
      <c r="AJ4">
        <v>26</v>
      </c>
      <c r="AK4" s="295"/>
      <c r="AL4" s="295"/>
      <c r="AM4" s="295"/>
      <c r="AN4" s="295">
        <v>1</v>
      </c>
      <c r="AO4" s="295">
        <v>0</v>
      </c>
      <c r="AP4" s="295">
        <v>0</v>
      </c>
      <c r="AQ4" s="295"/>
      <c r="AR4" s="295"/>
      <c r="AS4" s="295"/>
      <c r="AT4" s="295"/>
      <c r="AU4" s="295"/>
      <c r="AV4" s="295"/>
      <c r="AW4" s="295"/>
      <c r="AX4" s="295"/>
      <c r="AY4" s="295"/>
      <c r="AZ4" s="295"/>
      <c r="BA4" s="295"/>
      <c r="BB4" s="295"/>
      <c r="BC4" s="298">
        <v>1</v>
      </c>
      <c r="BG4"/>
    </row>
    <row r="5" spans="1:61" x14ac:dyDescent="0.35">
      <c r="A5" s="346"/>
      <c r="B5" s="335"/>
      <c r="C5" s="335" t="s">
        <v>525</v>
      </c>
      <c r="D5" s="335" t="s">
        <v>268</v>
      </c>
      <c r="E5" s="335">
        <v>50</v>
      </c>
      <c r="F5" s="335">
        <v>29</v>
      </c>
      <c r="G5" s="335">
        <v>48</v>
      </c>
      <c r="H5" s="335" t="s">
        <v>759</v>
      </c>
      <c r="I5" s="335" t="s">
        <v>772</v>
      </c>
      <c r="J5" s="345"/>
      <c r="K5" s="345">
        <v>150161</v>
      </c>
      <c r="L5" s="345">
        <v>57229</v>
      </c>
      <c r="M5" s="345"/>
      <c r="N5" s="345"/>
      <c r="O5" s="345"/>
      <c r="P5" s="345"/>
      <c r="Q5" s="345"/>
      <c r="R5" s="345"/>
      <c r="S5" s="345"/>
      <c r="T5" s="345">
        <v>207390</v>
      </c>
      <c r="U5"/>
      <c r="V5"/>
      <c r="AB5"/>
      <c r="AG5" t="s">
        <v>486</v>
      </c>
      <c r="AH5" t="s">
        <v>268</v>
      </c>
      <c r="AI5" s="295" t="s">
        <v>272</v>
      </c>
      <c r="AJ5">
        <v>1</v>
      </c>
      <c r="AK5" s="295"/>
      <c r="AL5" s="295"/>
      <c r="AM5" s="295"/>
      <c r="AN5" s="295"/>
      <c r="AO5" s="295">
        <v>1</v>
      </c>
      <c r="AP5" s="295"/>
      <c r="AQ5" s="295"/>
      <c r="AR5" s="295"/>
      <c r="AS5" s="295"/>
      <c r="AT5" s="295"/>
      <c r="AU5" s="295"/>
      <c r="AV5" s="295"/>
      <c r="AW5" s="295"/>
      <c r="AX5" s="295"/>
      <c r="AY5" s="295"/>
      <c r="AZ5" s="295"/>
      <c r="BA5" s="295"/>
      <c r="BB5" s="295"/>
      <c r="BC5" s="298">
        <v>1</v>
      </c>
      <c r="BG5"/>
    </row>
    <row r="6" spans="1:61" x14ac:dyDescent="0.35">
      <c r="A6" s="346"/>
      <c r="B6" s="335"/>
      <c r="C6" s="335" t="s">
        <v>531</v>
      </c>
      <c r="D6" s="335" t="s">
        <v>268</v>
      </c>
      <c r="E6" s="335">
        <v>15</v>
      </c>
      <c r="F6" s="335">
        <v>7</v>
      </c>
      <c r="G6" s="335">
        <v>17</v>
      </c>
      <c r="H6" s="335" t="s">
        <v>773</v>
      </c>
      <c r="I6" s="335" t="s">
        <v>768</v>
      </c>
      <c r="J6" s="345"/>
      <c r="K6" s="345">
        <v>64112.41</v>
      </c>
      <c r="L6" s="345"/>
      <c r="M6" s="345"/>
      <c r="N6" s="345"/>
      <c r="O6" s="345"/>
      <c r="P6" s="345"/>
      <c r="Q6" s="345"/>
      <c r="R6" s="345"/>
      <c r="S6" s="345"/>
      <c r="T6" s="345">
        <v>64112.41</v>
      </c>
      <c r="U6"/>
      <c r="V6"/>
      <c r="AB6"/>
      <c r="AG6" t="s">
        <v>487</v>
      </c>
      <c r="AH6" t="s">
        <v>268</v>
      </c>
      <c r="AI6" s="295" t="s">
        <v>272</v>
      </c>
      <c r="AJ6">
        <v>26</v>
      </c>
      <c r="AK6" s="295">
        <v>0</v>
      </c>
      <c r="AL6" s="295"/>
      <c r="AM6" s="295">
        <v>1</v>
      </c>
      <c r="AN6" s="295"/>
      <c r="AO6" s="295"/>
      <c r="AP6" s="295"/>
      <c r="AQ6" s="295"/>
      <c r="AR6" s="295"/>
      <c r="AS6" s="295"/>
      <c r="AT6" s="295"/>
      <c r="AU6" s="295"/>
      <c r="AV6" s="295"/>
      <c r="AW6" s="295"/>
      <c r="AX6" s="295"/>
      <c r="AY6" s="295"/>
      <c r="AZ6" s="295"/>
      <c r="BA6" s="295"/>
      <c r="BB6" s="295"/>
      <c r="BC6" s="298">
        <v>1</v>
      </c>
      <c r="BG6"/>
    </row>
    <row r="7" spans="1:61" x14ac:dyDescent="0.35">
      <c r="A7" s="346"/>
      <c r="B7" s="335"/>
      <c r="C7" s="335" t="s">
        <v>534</v>
      </c>
      <c r="D7" s="335" t="s">
        <v>268</v>
      </c>
      <c r="E7" s="335">
        <v>24</v>
      </c>
      <c r="F7" s="335">
        <v>7</v>
      </c>
      <c r="G7" s="335">
        <v>13</v>
      </c>
      <c r="H7" s="335" t="s">
        <v>756</v>
      </c>
      <c r="I7" s="335" t="s">
        <v>757</v>
      </c>
      <c r="J7" s="345"/>
      <c r="K7" s="345">
        <v>48791.869999999995</v>
      </c>
      <c r="L7" s="345"/>
      <c r="M7" s="345"/>
      <c r="N7" s="345"/>
      <c r="O7" s="345"/>
      <c r="P7" s="345"/>
      <c r="Q7" s="345"/>
      <c r="R7" s="345"/>
      <c r="S7" s="345"/>
      <c r="T7" s="345">
        <v>48791.869999999995</v>
      </c>
      <c r="U7"/>
      <c r="V7"/>
      <c r="AB7"/>
      <c r="AG7" t="s">
        <v>489</v>
      </c>
      <c r="AH7" t="s">
        <v>268</v>
      </c>
      <c r="AI7" s="295" t="s">
        <v>272</v>
      </c>
      <c r="AJ7">
        <v>50</v>
      </c>
      <c r="AK7" s="295"/>
      <c r="AL7" s="295"/>
      <c r="AM7" s="295"/>
      <c r="AN7" s="295"/>
      <c r="AO7" s="295">
        <v>1</v>
      </c>
      <c r="AP7" s="295">
        <v>0</v>
      </c>
      <c r="AQ7" s="295">
        <v>0</v>
      </c>
      <c r="AR7" s="295"/>
      <c r="AS7" s="295"/>
      <c r="AT7" s="295"/>
      <c r="AU7" s="295"/>
      <c r="AV7" s="295"/>
      <c r="AW7" s="295"/>
      <c r="AX7" s="295"/>
      <c r="AY7" s="295"/>
      <c r="AZ7" s="295"/>
      <c r="BA7" s="295"/>
      <c r="BB7" s="295"/>
      <c r="BC7" s="298">
        <v>1</v>
      </c>
      <c r="BG7"/>
    </row>
    <row r="8" spans="1:61" x14ac:dyDescent="0.35">
      <c r="A8" s="346"/>
      <c r="B8" s="335"/>
      <c r="C8" s="335" t="s">
        <v>526</v>
      </c>
      <c r="D8" s="335" t="s">
        <v>268</v>
      </c>
      <c r="E8" s="335">
        <v>7</v>
      </c>
      <c r="F8" s="335">
        <v>7</v>
      </c>
      <c r="G8" s="335">
        <v>9</v>
      </c>
      <c r="H8" s="335" t="s">
        <v>757</v>
      </c>
      <c r="I8" s="335" t="s">
        <v>757</v>
      </c>
      <c r="J8" s="345"/>
      <c r="K8" s="345"/>
      <c r="L8" s="345">
        <v>14883.84</v>
      </c>
      <c r="M8" s="345"/>
      <c r="N8" s="345"/>
      <c r="O8" s="345"/>
      <c r="P8" s="345"/>
      <c r="Q8" s="345"/>
      <c r="R8" s="345"/>
      <c r="S8" s="345"/>
      <c r="T8" s="345">
        <v>14883.84</v>
      </c>
      <c r="U8"/>
      <c r="V8"/>
      <c r="AB8"/>
      <c r="AG8" t="s">
        <v>485</v>
      </c>
      <c r="AH8" t="s">
        <v>268</v>
      </c>
      <c r="AI8" s="295" t="s">
        <v>272</v>
      </c>
      <c r="AJ8">
        <v>18</v>
      </c>
      <c r="AK8" s="295"/>
      <c r="AL8" s="295"/>
      <c r="AM8" s="295"/>
      <c r="AN8" s="295"/>
      <c r="AO8" s="295">
        <v>1</v>
      </c>
      <c r="AP8" s="295">
        <v>0</v>
      </c>
      <c r="AQ8" s="295"/>
      <c r="AR8" s="295"/>
      <c r="AS8" s="295"/>
      <c r="AT8" s="295"/>
      <c r="AU8" s="295"/>
      <c r="AV8" s="295"/>
      <c r="AW8" s="295"/>
      <c r="AX8" s="295"/>
      <c r="AY8" s="295"/>
      <c r="AZ8" s="295"/>
      <c r="BA8" s="295"/>
      <c r="BB8" s="295"/>
      <c r="BC8" s="298">
        <v>1</v>
      </c>
      <c r="BG8"/>
    </row>
    <row r="9" spans="1:61" x14ac:dyDescent="0.35">
      <c r="A9" s="346"/>
      <c r="B9" s="335"/>
      <c r="C9" s="335" t="s">
        <v>527</v>
      </c>
      <c r="D9" s="335" t="s">
        <v>268</v>
      </c>
      <c r="E9" s="335">
        <v>2</v>
      </c>
      <c r="F9" s="335">
        <v>2</v>
      </c>
      <c r="G9" s="335">
        <v>2</v>
      </c>
      <c r="H9" s="335" t="s">
        <v>761</v>
      </c>
      <c r="I9" s="335" t="s">
        <v>761</v>
      </c>
      <c r="J9" s="345"/>
      <c r="K9" s="345">
        <v>10410</v>
      </c>
      <c r="L9" s="345"/>
      <c r="M9" s="345"/>
      <c r="N9" s="345"/>
      <c r="O9" s="345"/>
      <c r="P9" s="345"/>
      <c r="Q9" s="345"/>
      <c r="R9" s="345"/>
      <c r="S9" s="345"/>
      <c r="T9" s="345">
        <v>10410</v>
      </c>
      <c r="U9"/>
      <c r="V9"/>
      <c r="AB9"/>
      <c r="AG9" t="s">
        <v>736</v>
      </c>
      <c r="AH9" t="s">
        <v>268</v>
      </c>
      <c r="AI9" s="296" t="s">
        <v>284</v>
      </c>
      <c r="AJ9">
        <v>24</v>
      </c>
      <c r="AK9" s="296"/>
      <c r="AL9" s="296"/>
      <c r="AM9" s="296"/>
      <c r="AN9" s="296"/>
      <c r="AO9" s="296"/>
      <c r="AP9" s="296"/>
      <c r="AQ9" s="296"/>
      <c r="AR9" s="296"/>
      <c r="AS9" s="296"/>
      <c r="AT9" s="296"/>
      <c r="AU9" s="296"/>
      <c r="AV9" s="296"/>
      <c r="AW9" s="296"/>
      <c r="AX9" s="296">
        <v>1</v>
      </c>
      <c r="AY9" s="296">
        <v>0</v>
      </c>
      <c r="AZ9" s="296"/>
      <c r="BA9" s="296"/>
      <c r="BB9" s="296"/>
      <c r="BC9" s="297">
        <v>1</v>
      </c>
      <c r="BG9"/>
    </row>
    <row r="10" spans="1:61" x14ac:dyDescent="0.35">
      <c r="A10" s="346"/>
      <c r="B10" s="335"/>
      <c r="C10" s="335" t="s">
        <v>528</v>
      </c>
      <c r="D10" s="335" t="s">
        <v>268</v>
      </c>
      <c r="E10" s="335">
        <v>5</v>
      </c>
      <c r="F10" s="335">
        <v>5</v>
      </c>
      <c r="G10" s="335">
        <v>9</v>
      </c>
      <c r="H10" s="335" t="s">
        <v>761</v>
      </c>
      <c r="I10" s="335" t="s">
        <v>761</v>
      </c>
      <c r="J10" s="345"/>
      <c r="K10" s="345">
        <v>17615.419999999998</v>
      </c>
      <c r="L10" s="345"/>
      <c r="M10" s="345"/>
      <c r="N10" s="345"/>
      <c r="O10" s="345"/>
      <c r="P10" s="345"/>
      <c r="Q10" s="345"/>
      <c r="R10" s="345"/>
      <c r="S10" s="345"/>
      <c r="T10" s="345">
        <v>17615.419999999998</v>
      </c>
      <c r="U10"/>
      <c r="V10"/>
      <c r="AB10"/>
      <c r="AG10" t="s">
        <v>500</v>
      </c>
      <c r="AH10" t="s">
        <v>268</v>
      </c>
      <c r="AI10" s="295" t="s">
        <v>272</v>
      </c>
      <c r="AJ10">
        <v>12</v>
      </c>
      <c r="AK10" s="295"/>
      <c r="AL10" s="295"/>
      <c r="AM10" s="295"/>
      <c r="AN10" s="295"/>
      <c r="AO10" s="295"/>
      <c r="AP10" s="295">
        <v>1</v>
      </c>
      <c r="AQ10" s="295"/>
      <c r="AR10" s="295"/>
      <c r="AS10" s="295"/>
      <c r="AT10" s="295"/>
      <c r="AU10" s="295"/>
      <c r="AV10" s="295"/>
      <c r="AW10" s="295"/>
      <c r="AX10" s="295"/>
      <c r="AY10" s="295"/>
      <c r="AZ10" s="295"/>
      <c r="BA10" s="295"/>
      <c r="BB10" s="295"/>
      <c r="BC10" s="298">
        <v>1</v>
      </c>
      <c r="BG10"/>
    </row>
    <row r="11" spans="1:61" x14ac:dyDescent="0.35">
      <c r="A11" s="346"/>
      <c r="B11" s="335"/>
      <c r="C11" s="335" t="s">
        <v>732</v>
      </c>
      <c r="D11" s="335" t="s">
        <v>268</v>
      </c>
      <c r="E11" s="335">
        <v>35</v>
      </c>
      <c r="F11" s="335">
        <v>25</v>
      </c>
      <c r="G11" s="335">
        <v>57</v>
      </c>
      <c r="H11" s="335" t="s">
        <v>763</v>
      </c>
      <c r="I11" s="335" t="s">
        <v>767</v>
      </c>
      <c r="J11" s="345"/>
      <c r="K11" s="345"/>
      <c r="L11" s="345"/>
      <c r="M11" s="345">
        <v>83963.209999999992</v>
      </c>
      <c r="N11" s="345"/>
      <c r="O11" s="345"/>
      <c r="P11" s="345"/>
      <c r="Q11" s="345"/>
      <c r="R11" s="345"/>
      <c r="S11" s="345"/>
      <c r="T11" s="345">
        <v>83963.209999999992</v>
      </c>
      <c r="U11"/>
      <c r="V11"/>
      <c r="AB11"/>
      <c r="AG11" t="s">
        <v>499</v>
      </c>
      <c r="AH11" t="s">
        <v>268</v>
      </c>
      <c r="AI11" s="295" t="s">
        <v>272</v>
      </c>
      <c r="AJ11">
        <v>1</v>
      </c>
      <c r="AK11" s="295"/>
      <c r="AL11" s="295">
        <v>1</v>
      </c>
      <c r="AM11" s="295"/>
      <c r="AN11" s="295"/>
      <c r="AO11" s="295"/>
      <c r="AP11" s="295"/>
      <c r="AQ11" s="295"/>
      <c r="AR11" s="295"/>
      <c r="AS11" s="295"/>
      <c r="AT11" s="295"/>
      <c r="AU11" s="295"/>
      <c r="AV11" s="295"/>
      <c r="AW11" s="295"/>
      <c r="AX11" s="295"/>
      <c r="AY11" s="295"/>
      <c r="AZ11" s="295"/>
      <c r="BA11" s="295"/>
      <c r="BB11" s="295"/>
      <c r="BC11" s="298">
        <v>1</v>
      </c>
      <c r="BG11"/>
    </row>
    <row r="12" spans="1:61" x14ac:dyDescent="0.35">
      <c r="A12" s="346"/>
      <c r="B12" s="335"/>
      <c r="C12" s="335" t="s">
        <v>529</v>
      </c>
      <c r="D12" s="335" t="s">
        <v>268</v>
      </c>
      <c r="E12" s="335">
        <v>1</v>
      </c>
      <c r="F12" s="335">
        <v>1</v>
      </c>
      <c r="G12" s="335">
        <v>1</v>
      </c>
      <c r="H12" s="335" t="s">
        <v>757</v>
      </c>
      <c r="I12" s="335" t="s">
        <v>757</v>
      </c>
      <c r="J12" s="345"/>
      <c r="K12" s="345"/>
      <c r="L12" s="345">
        <v>3202</v>
      </c>
      <c r="M12" s="345"/>
      <c r="N12" s="345"/>
      <c r="O12" s="345"/>
      <c r="P12" s="345"/>
      <c r="Q12" s="345"/>
      <c r="R12" s="345"/>
      <c r="S12" s="345"/>
      <c r="T12" s="345">
        <v>3202</v>
      </c>
      <c r="U12"/>
      <c r="V12"/>
      <c r="AB12"/>
      <c r="AG12" t="s">
        <v>488</v>
      </c>
      <c r="AH12" t="s">
        <v>268</v>
      </c>
      <c r="AI12" s="295" t="s">
        <v>272</v>
      </c>
      <c r="AJ12">
        <v>9</v>
      </c>
      <c r="AK12" s="295"/>
      <c r="AL12" s="295"/>
      <c r="AM12" s="295">
        <v>1</v>
      </c>
      <c r="AN12" s="295"/>
      <c r="AO12" s="295"/>
      <c r="AP12" s="295"/>
      <c r="AQ12" s="295"/>
      <c r="AR12" s="295"/>
      <c r="AS12" s="295"/>
      <c r="AT12" s="295"/>
      <c r="AU12" s="295"/>
      <c r="AV12" s="295"/>
      <c r="AW12" s="295"/>
      <c r="AX12" s="295"/>
      <c r="AY12" s="295"/>
      <c r="AZ12" s="295"/>
      <c r="BA12" s="295"/>
      <c r="BB12" s="295"/>
      <c r="BC12" s="298">
        <v>1</v>
      </c>
      <c r="BG12"/>
    </row>
    <row r="13" spans="1:61" x14ac:dyDescent="0.35">
      <c r="A13" s="346"/>
      <c r="B13" s="356" t="s">
        <v>518</v>
      </c>
      <c r="C13" s="356"/>
      <c r="D13" s="356"/>
      <c r="E13" s="356"/>
      <c r="F13" s="356"/>
      <c r="G13" s="356"/>
      <c r="H13" s="356"/>
      <c r="I13" s="356"/>
      <c r="J13" s="261">
        <v>97273</v>
      </c>
      <c r="K13" s="261">
        <v>291090.7</v>
      </c>
      <c r="L13" s="261">
        <v>75314.84</v>
      </c>
      <c r="M13" s="261">
        <v>83963.209999999992</v>
      </c>
      <c r="N13" s="261"/>
      <c r="O13" s="261"/>
      <c r="P13" s="261"/>
      <c r="Q13" s="261"/>
      <c r="R13" s="261"/>
      <c r="S13" s="261"/>
      <c r="T13" s="261">
        <v>547641.75</v>
      </c>
      <c r="U13"/>
      <c r="V13"/>
      <c r="AB13"/>
      <c r="AG13" t="s">
        <v>497</v>
      </c>
      <c r="AH13" t="s">
        <v>268</v>
      </c>
      <c r="AI13" s="295" t="s">
        <v>272</v>
      </c>
      <c r="AJ13">
        <v>11</v>
      </c>
      <c r="AK13" s="295"/>
      <c r="AL13" s="295"/>
      <c r="AM13" s="295"/>
      <c r="AN13" s="295"/>
      <c r="AO13" s="295"/>
      <c r="AP13" s="295"/>
      <c r="AQ13" s="295">
        <v>1</v>
      </c>
      <c r="AR13" s="295"/>
      <c r="AS13" s="295"/>
      <c r="AT13" s="295"/>
      <c r="AU13" s="295"/>
      <c r="AV13" s="295"/>
      <c r="AW13" s="295"/>
      <c r="AX13" s="295"/>
      <c r="AY13" s="295"/>
      <c r="AZ13" s="295"/>
      <c r="BA13" s="295"/>
      <c r="BB13" s="295"/>
      <c r="BC13" s="298">
        <v>1</v>
      </c>
      <c r="BG13"/>
    </row>
    <row r="14" spans="1:61" x14ac:dyDescent="0.35">
      <c r="A14" s="346"/>
      <c r="B14" s="335" t="s">
        <v>59</v>
      </c>
      <c r="C14" s="335" t="s">
        <v>749</v>
      </c>
      <c r="D14" s="335" t="s">
        <v>268</v>
      </c>
      <c r="E14" s="335">
        <v>8</v>
      </c>
      <c r="F14" s="335">
        <v>7</v>
      </c>
      <c r="G14" s="335">
        <v>19</v>
      </c>
      <c r="H14" s="335" t="s">
        <v>1012</v>
      </c>
      <c r="I14" s="335" t="s">
        <v>1013</v>
      </c>
      <c r="J14" s="345"/>
      <c r="K14" s="345"/>
      <c r="L14" s="345"/>
      <c r="M14" s="345"/>
      <c r="N14" s="345">
        <v>36622.71</v>
      </c>
      <c r="O14" s="345"/>
      <c r="P14" s="345"/>
      <c r="Q14" s="345"/>
      <c r="R14" s="345"/>
      <c r="S14" s="345"/>
      <c r="T14" s="345">
        <v>36622.71</v>
      </c>
      <c r="U14"/>
      <c r="V14"/>
      <c r="AB14"/>
      <c r="AI14" s="222" t="s">
        <v>309</v>
      </c>
      <c r="AJ14">
        <v>11</v>
      </c>
      <c r="AK14" s="222"/>
      <c r="AL14" s="222"/>
      <c r="AM14" s="222"/>
      <c r="AN14" s="222"/>
      <c r="AO14" s="222"/>
      <c r="AP14" s="222"/>
      <c r="AQ14" s="222"/>
      <c r="AR14" s="222">
        <v>0</v>
      </c>
      <c r="AS14" s="222"/>
      <c r="AT14" s="222"/>
      <c r="AU14" s="222"/>
      <c r="AV14" s="222"/>
      <c r="AW14" s="222"/>
      <c r="AX14" s="222"/>
      <c r="AY14" s="222"/>
      <c r="AZ14" s="222"/>
      <c r="BA14" s="222"/>
      <c r="BB14" s="222"/>
      <c r="BC14" s="299">
        <v>0</v>
      </c>
      <c r="BG14"/>
    </row>
    <row r="15" spans="1:61" x14ac:dyDescent="0.35">
      <c r="A15" s="346"/>
      <c r="B15" s="356" t="s">
        <v>501</v>
      </c>
      <c r="C15" s="356"/>
      <c r="D15" s="356"/>
      <c r="E15" s="356"/>
      <c r="F15" s="356"/>
      <c r="G15" s="356"/>
      <c r="H15" s="356"/>
      <c r="I15" s="356"/>
      <c r="J15" s="261"/>
      <c r="K15" s="261"/>
      <c r="L15" s="261"/>
      <c r="M15" s="261"/>
      <c r="N15" s="261">
        <v>36622.71</v>
      </c>
      <c r="O15" s="261"/>
      <c r="P15" s="261"/>
      <c r="Q15" s="261"/>
      <c r="R15" s="261"/>
      <c r="S15" s="261"/>
      <c r="T15" s="261">
        <v>36622.71</v>
      </c>
      <c r="U15"/>
      <c r="V15"/>
      <c r="AB15"/>
      <c r="AG15" t="s">
        <v>494</v>
      </c>
      <c r="AH15" t="s">
        <v>268</v>
      </c>
      <c r="AI15" s="295" t="s">
        <v>272</v>
      </c>
      <c r="AJ15">
        <v>1</v>
      </c>
      <c r="AK15" s="295"/>
      <c r="AL15" s="295"/>
      <c r="AM15" s="295"/>
      <c r="AN15" s="295">
        <v>1</v>
      </c>
      <c r="AO15" s="295"/>
      <c r="AP15" s="295"/>
      <c r="AQ15" s="295"/>
      <c r="AR15" s="295"/>
      <c r="AS15" s="295"/>
      <c r="AT15" s="295"/>
      <c r="AU15" s="295"/>
      <c r="AV15" s="295"/>
      <c r="AW15" s="295"/>
      <c r="AX15" s="295"/>
      <c r="AY15" s="295"/>
      <c r="AZ15" s="295"/>
      <c r="BA15" s="295"/>
      <c r="BB15" s="295"/>
      <c r="BC15" s="298">
        <v>1</v>
      </c>
      <c r="BG15"/>
    </row>
    <row r="16" spans="1:61" x14ac:dyDescent="0.35">
      <c r="A16" s="347" t="s">
        <v>477</v>
      </c>
      <c r="B16" s="335" t="s">
        <v>46</v>
      </c>
      <c r="C16" s="335" t="s">
        <v>734</v>
      </c>
      <c r="D16" s="335" t="s">
        <v>268</v>
      </c>
      <c r="E16" s="335">
        <v>27</v>
      </c>
      <c r="F16" s="335">
        <v>23</v>
      </c>
      <c r="G16" s="335">
        <v>27</v>
      </c>
      <c r="H16" s="335" t="s">
        <v>774</v>
      </c>
      <c r="I16" s="335" t="s">
        <v>1011</v>
      </c>
      <c r="J16" s="343"/>
      <c r="K16" s="343"/>
      <c r="L16" s="343"/>
      <c r="M16" s="343"/>
      <c r="N16" s="343">
        <v>50770.729999999996</v>
      </c>
      <c r="O16" s="343"/>
      <c r="P16" s="343"/>
      <c r="Q16" s="343"/>
      <c r="R16" s="343"/>
      <c r="S16" s="343"/>
      <c r="T16" s="343">
        <v>50770.729999999996</v>
      </c>
      <c r="U16"/>
      <c r="V16"/>
      <c r="AB16"/>
      <c r="AI16" s="222" t="s">
        <v>309</v>
      </c>
      <c r="AJ16">
        <v>1</v>
      </c>
      <c r="AK16" s="222"/>
      <c r="AL16" s="222"/>
      <c r="AM16" s="222"/>
      <c r="AN16" s="222"/>
      <c r="AO16" s="222"/>
      <c r="AP16" s="222"/>
      <c r="AQ16" s="222"/>
      <c r="AR16" s="222"/>
      <c r="AS16" s="222">
        <v>0</v>
      </c>
      <c r="AT16" s="222"/>
      <c r="AU16" s="222"/>
      <c r="AV16" s="222"/>
      <c r="AW16" s="222"/>
      <c r="AX16" s="222"/>
      <c r="AY16" s="222"/>
      <c r="AZ16" s="222"/>
      <c r="BA16" s="222"/>
      <c r="BB16" s="222"/>
      <c r="BC16" s="299">
        <v>0</v>
      </c>
      <c r="BG16"/>
    </row>
    <row r="17" spans="1:61" x14ac:dyDescent="0.35">
      <c r="A17" s="347"/>
      <c r="B17" s="335"/>
      <c r="C17" s="335"/>
      <c r="D17" s="335"/>
      <c r="E17" s="335"/>
      <c r="F17" s="335"/>
      <c r="G17" s="335"/>
      <c r="H17" s="335" t="s">
        <v>1007</v>
      </c>
      <c r="I17" s="335" t="s">
        <v>1007</v>
      </c>
      <c r="J17" s="343"/>
      <c r="K17" s="343"/>
      <c r="L17" s="343"/>
      <c r="M17" s="343">
        <v>27000</v>
      </c>
      <c r="N17" s="343"/>
      <c r="O17" s="343"/>
      <c r="P17" s="343"/>
      <c r="Q17" s="343"/>
      <c r="R17" s="343"/>
      <c r="S17" s="343"/>
      <c r="T17" s="343">
        <v>27000</v>
      </c>
      <c r="U17"/>
      <c r="V17"/>
      <c r="AB17"/>
      <c r="AG17" t="s">
        <v>776</v>
      </c>
      <c r="AH17" t="s">
        <v>268</v>
      </c>
      <c r="AI17" t="s">
        <v>316</v>
      </c>
      <c r="AJ17">
        <v>1</v>
      </c>
      <c r="AL17"/>
      <c r="AM17"/>
      <c r="AN17"/>
      <c r="AO17"/>
      <c r="AU17">
        <v>1</v>
      </c>
      <c r="AZ17"/>
      <c r="BA17"/>
      <c r="BC17" s="12">
        <v>1</v>
      </c>
      <c r="BG17"/>
    </row>
    <row r="18" spans="1:61" x14ac:dyDescent="0.35">
      <c r="A18" s="347"/>
      <c r="B18" s="356" t="s">
        <v>518</v>
      </c>
      <c r="C18" s="356"/>
      <c r="D18" s="356"/>
      <c r="E18" s="356"/>
      <c r="F18" s="356"/>
      <c r="G18" s="356"/>
      <c r="H18" s="356"/>
      <c r="I18" s="356"/>
      <c r="J18" s="261"/>
      <c r="K18" s="261"/>
      <c r="L18" s="261"/>
      <c r="M18" s="261">
        <v>27000</v>
      </c>
      <c r="N18" s="261">
        <v>50770.729999999996</v>
      </c>
      <c r="O18" s="261"/>
      <c r="P18" s="261"/>
      <c r="Q18" s="261"/>
      <c r="R18" s="261"/>
      <c r="S18" s="261"/>
      <c r="T18" s="261">
        <v>77770.73</v>
      </c>
      <c r="U18"/>
      <c r="V18"/>
      <c r="AB18"/>
      <c r="AG18" t="s">
        <v>520</v>
      </c>
      <c r="AH18" t="s">
        <v>268</v>
      </c>
      <c r="AI18" s="222" t="s">
        <v>309</v>
      </c>
      <c r="AJ18">
        <v>38</v>
      </c>
      <c r="AK18" s="222"/>
      <c r="AL18" s="222"/>
      <c r="AM18" s="222"/>
      <c r="AN18" s="222"/>
      <c r="AO18" s="222"/>
      <c r="AP18" s="222"/>
      <c r="AQ18" s="222"/>
      <c r="AR18" s="222"/>
      <c r="AS18" s="222">
        <v>1</v>
      </c>
      <c r="AT18" s="222">
        <v>0</v>
      </c>
      <c r="AU18" s="222"/>
      <c r="AV18" s="222"/>
      <c r="AW18" s="222"/>
      <c r="AX18" s="222"/>
      <c r="AY18" s="222"/>
      <c r="AZ18" s="222"/>
      <c r="BA18" s="222"/>
      <c r="BB18" s="222"/>
      <c r="BC18" s="299">
        <v>1</v>
      </c>
      <c r="BG18"/>
    </row>
    <row r="19" spans="1:61" x14ac:dyDescent="0.35">
      <c r="A19" s="347"/>
      <c r="B19" s="335" t="s">
        <v>59</v>
      </c>
      <c r="C19" s="335" t="s">
        <v>792</v>
      </c>
      <c r="D19" s="335" t="s">
        <v>268</v>
      </c>
      <c r="E19" s="335">
        <v>1</v>
      </c>
      <c r="F19" s="335">
        <v>1</v>
      </c>
      <c r="G19" s="335">
        <v>1</v>
      </c>
      <c r="H19" s="335" t="s">
        <v>767</v>
      </c>
      <c r="I19" s="335" t="s">
        <v>767</v>
      </c>
      <c r="J19" s="343"/>
      <c r="K19" s="343"/>
      <c r="L19" s="343"/>
      <c r="M19" s="343">
        <v>2190.15</v>
      </c>
      <c r="N19" s="343"/>
      <c r="O19" s="343"/>
      <c r="P19" s="343"/>
      <c r="Q19" s="343"/>
      <c r="R19" s="343"/>
      <c r="S19" s="343"/>
      <c r="T19" s="343">
        <v>2190.15</v>
      </c>
      <c r="U19"/>
      <c r="V19"/>
      <c r="AB19"/>
      <c r="AG19" t="s">
        <v>737</v>
      </c>
      <c r="AH19" t="s">
        <v>268</v>
      </c>
      <c r="AI19" s="296" t="s">
        <v>284</v>
      </c>
      <c r="AJ19">
        <v>14</v>
      </c>
      <c r="AK19" s="296"/>
      <c r="AL19" s="296"/>
      <c r="AM19" s="296"/>
      <c r="AN19" s="296"/>
      <c r="AO19" s="296"/>
      <c r="AP19" s="296"/>
      <c r="AQ19" s="296"/>
      <c r="AR19" s="296"/>
      <c r="AS19" s="296"/>
      <c r="AT19" s="296"/>
      <c r="AU19" s="296"/>
      <c r="AV19" s="296"/>
      <c r="AW19" s="296">
        <v>1</v>
      </c>
      <c r="AX19" s="296"/>
      <c r="AY19" s="296"/>
      <c r="AZ19" s="296"/>
      <c r="BA19" s="296"/>
      <c r="BB19" s="296"/>
      <c r="BC19" s="297">
        <v>1</v>
      </c>
      <c r="BG19"/>
    </row>
    <row r="20" spans="1:61" x14ac:dyDescent="0.35">
      <c r="A20" s="347"/>
      <c r="B20" s="356" t="s">
        <v>501</v>
      </c>
      <c r="C20" s="356"/>
      <c r="D20" s="356"/>
      <c r="E20" s="356"/>
      <c r="F20" s="356"/>
      <c r="G20" s="356"/>
      <c r="H20" s="356"/>
      <c r="I20" s="356"/>
      <c r="J20" s="261"/>
      <c r="K20" s="261"/>
      <c r="L20" s="261"/>
      <c r="M20" s="261">
        <v>2190.15</v>
      </c>
      <c r="N20" s="261"/>
      <c r="O20" s="261"/>
      <c r="P20" s="261"/>
      <c r="Q20" s="261"/>
      <c r="R20" s="261"/>
      <c r="S20" s="261"/>
      <c r="T20" s="261">
        <v>2190.15</v>
      </c>
      <c r="U20"/>
      <c r="V20"/>
      <c r="AB20"/>
      <c r="AG20" t="s">
        <v>496</v>
      </c>
      <c r="AH20" t="s">
        <v>268</v>
      </c>
      <c r="AI20" s="295" t="s">
        <v>272</v>
      </c>
      <c r="AJ20">
        <v>1</v>
      </c>
      <c r="AK20" s="295"/>
      <c r="AL20" s="295"/>
      <c r="AM20" s="295">
        <v>1</v>
      </c>
      <c r="AN20" s="295"/>
      <c r="AO20" s="295"/>
      <c r="AP20" s="295"/>
      <c r="AQ20" s="295"/>
      <c r="AR20" s="295"/>
      <c r="AS20" s="295"/>
      <c r="AT20" s="295"/>
      <c r="AU20" s="295"/>
      <c r="AV20" s="295"/>
      <c r="AW20" s="295"/>
      <c r="AX20" s="295"/>
      <c r="AY20" s="295"/>
      <c r="AZ20" s="295"/>
      <c r="BA20" s="295"/>
      <c r="BB20" s="295"/>
      <c r="BC20" s="298">
        <v>1</v>
      </c>
      <c r="BG20"/>
    </row>
    <row r="21" spans="1:61" x14ac:dyDescent="0.35">
      <c r="A21" s="350" t="s">
        <v>284</v>
      </c>
      <c r="B21" s="335" t="s">
        <v>46</v>
      </c>
      <c r="C21" s="335" t="s">
        <v>726</v>
      </c>
      <c r="D21" s="335" t="s">
        <v>268</v>
      </c>
      <c r="E21" s="335">
        <v>5</v>
      </c>
      <c r="F21" s="335">
        <v>20</v>
      </c>
      <c r="G21" s="335">
        <v>34</v>
      </c>
      <c r="H21" s="335" t="s">
        <v>149</v>
      </c>
      <c r="I21" s="335" t="s">
        <v>149</v>
      </c>
      <c r="J21" s="349"/>
      <c r="K21" s="349"/>
      <c r="L21" s="349"/>
      <c r="M21" s="349"/>
      <c r="N21" s="349"/>
      <c r="O21" s="349"/>
      <c r="P21" s="349"/>
      <c r="Q21" s="349"/>
      <c r="R21" s="349">
        <v>750000</v>
      </c>
      <c r="S21" s="349">
        <v>750000</v>
      </c>
      <c r="T21" s="349">
        <v>1500000</v>
      </c>
      <c r="U21"/>
      <c r="V21"/>
      <c r="AB21"/>
      <c r="AG21" t="s">
        <v>738</v>
      </c>
      <c r="AH21" t="s">
        <v>268</v>
      </c>
      <c r="AI21" s="222" t="s">
        <v>309</v>
      </c>
      <c r="AJ21">
        <v>36</v>
      </c>
      <c r="AK21" s="222"/>
      <c r="AL21" s="222"/>
      <c r="AM21" s="222"/>
      <c r="AN21" s="222"/>
      <c r="AO21" s="222"/>
      <c r="AP21" s="222"/>
      <c r="AQ21" s="222"/>
      <c r="AR21" s="222"/>
      <c r="AS21" s="222"/>
      <c r="AT21" s="222"/>
      <c r="AU21" s="222"/>
      <c r="AV21" s="222">
        <v>1</v>
      </c>
      <c r="AW21" s="222"/>
      <c r="AX21" s="222"/>
      <c r="AY21" s="222"/>
      <c r="AZ21" s="222"/>
      <c r="BA21" s="222"/>
      <c r="BB21" s="222"/>
      <c r="BC21" s="299">
        <v>1</v>
      </c>
      <c r="BG21"/>
    </row>
    <row r="22" spans="1:61" x14ac:dyDescent="0.35">
      <c r="A22" s="350"/>
      <c r="B22" s="335"/>
      <c r="C22" s="335" t="s">
        <v>729</v>
      </c>
      <c r="D22" s="335" t="s">
        <v>268</v>
      </c>
      <c r="E22" s="335">
        <v>23</v>
      </c>
      <c r="F22" s="335">
        <v>64</v>
      </c>
      <c r="G22" s="335">
        <v>137</v>
      </c>
      <c r="H22" s="335" t="s">
        <v>149</v>
      </c>
      <c r="I22" s="335" t="s">
        <v>149</v>
      </c>
      <c r="J22" s="349"/>
      <c r="K22" s="349"/>
      <c r="L22" s="349"/>
      <c r="M22" s="349"/>
      <c r="N22" s="349"/>
      <c r="O22" s="349"/>
      <c r="P22" s="349"/>
      <c r="Q22" s="349">
        <v>596794</v>
      </c>
      <c r="R22" s="349"/>
      <c r="S22" s="349"/>
      <c r="T22" s="349">
        <v>596794</v>
      </c>
      <c r="U22"/>
      <c r="V22"/>
      <c r="AB22"/>
      <c r="AG22" t="s">
        <v>739</v>
      </c>
      <c r="AH22" t="s">
        <v>268</v>
      </c>
      <c r="AI22" s="296" t="s">
        <v>284</v>
      </c>
      <c r="AJ22">
        <v>12</v>
      </c>
      <c r="AK22" s="296"/>
      <c r="AL22" s="296"/>
      <c r="AM22" s="296"/>
      <c r="AN22" s="296"/>
      <c r="AO22" s="296"/>
      <c r="AP22" s="296"/>
      <c r="AQ22" s="296"/>
      <c r="AR22" s="296"/>
      <c r="AS22" s="296"/>
      <c r="AT22" s="296"/>
      <c r="AU22" s="296"/>
      <c r="AV22" s="296"/>
      <c r="AW22" s="296"/>
      <c r="AX22" s="296"/>
      <c r="AY22" s="296"/>
      <c r="AZ22" s="296">
        <v>1</v>
      </c>
      <c r="BA22" s="296"/>
      <c r="BB22" s="296"/>
      <c r="BC22" s="297">
        <v>1</v>
      </c>
      <c r="BG22"/>
    </row>
    <row r="23" spans="1:61" x14ac:dyDescent="0.35">
      <c r="A23" s="350"/>
      <c r="B23" s="335"/>
      <c r="C23" s="335" t="s">
        <v>731</v>
      </c>
      <c r="D23" s="335" t="s">
        <v>268</v>
      </c>
      <c r="E23" s="335">
        <v>4</v>
      </c>
      <c r="F23" s="335">
        <v>1</v>
      </c>
      <c r="G23" s="335">
        <v>1</v>
      </c>
      <c r="H23" s="335" t="s">
        <v>777</v>
      </c>
      <c r="I23" s="335" t="s">
        <v>778</v>
      </c>
      <c r="J23" s="349"/>
      <c r="K23" s="349"/>
      <c r="L23" s="349"/>
      <c r="M23" s="349"/>
      <c r="N23" s="349">
        <v>210727.22</v>
      </c>
      <c r="O23" s="349"/>
      <c r="P23" s="349"/>
      <c r="Q23" s="349"/>
      <c r="R23" s="349"/>
      <c r="S23" s="349"/>
      <c r="T23" s="349">
        <v>210727.22</v>
      </c>
      <c r="U23"/>
      <c r="V23"/>
      <c r="AB23"/>
      <c r="AG23" t="s">
        <v>740</v>
      </c>
      <c r="AH23" t="s">
        <v>268</v>
      </c>
      <c r="AI23" s="296" t="s">
        <v>284</v>
      </c>
      <c r="AJ23" t="s">
        <v>292</v>
      </c>
      <c r="AK23" s="296"/>
      <c r="AL23" s="296"/>
      <c r="AM23" s="296"/>
      <c r="AN23" s="296"/>
      <c r="AO23" s="296"/>
      <c r="AP23" s="296"/>
      <c r="AQ23" s="296"/>
      <c r="AR23" s="296"/>
      <c r="AS23" s="296"/>
      <c r="AT23" s="296"/>
      <c r="AU23" s="296"/>
      <c r="AV23" s="296"/>
      <c r="AW23" s="296"/>
      <c r="AX23" s="296"/>
      <c r="AY23" s="296"/>
      <c r="AZ23" s="296"/>
      <c r="BA23" s="296"/>
      <c r="BB23" s="296">
        <v>1</v>
      </c>
      <c r="BC23" s="297">
        <v>1</v>
      </c>
      <c r="BG23"/>
    </row>
    <row r="24" spans="1:61" s="122" customFormat="1" x14ac:dyDescent="0.35">
      <c r="A24" s="350"/>
      <c r="B24" s="356" t="s">
        <v>518</v>
      </c>
      <c r="C24" s="356"/>
      <c r="D24" s="356"/>
      <c r="E24" s="356"/>
      <c r="F24" s="356"/>
      <c r="G24" s="356"/>
      <c r="H24" s="356"/>
      <c r="I24" s="356"/>
      <c r="J24" s="261"/>
      <c r="K24" s="261"/>
      <c r="L24" s="261"/>
      <c r="M24" s="261"/>
      <c r="N24" s="261">
        <v>210727.22</v>
      </c>
      <c r="O24" s="261"/>
      <c r="P24" s="261"/>
      <c r="Q24" s="261">
        <v>596794</v>
      </c>
      <c r="R24" s="261">
        <v>750000</v>
      </c>
      <c r="S24" s="261">
        <v>750000</v>
      </c>
      <c r="T24" s="261">
        <v>2307521.2200000002</v>
      </c>
      <c r="U24"/>
      <c r="V24"/>
      <c r="W24"/>
      <c r="X24"/>
      <c r="Y24"/>
      <c r="Z24"/>
      <c r="AA24"/>
      <c r="AB24"/>
      <c r="AC24"/>
      <c r="AD24"/>
      <c r="AE24"/>
      <c r="AF24"/>
      <c r="AG24" t="s">
        <v>524</v>
      </c>
      <c r="AH24" t="s">
        <v>268</v>
      </c>
      <c r="AI24" s="222" t="s">
        <v>309</v>
      </c>
      <c r="AJ24">
        <v>18</v>
      </c>
      <c r="AK24" s="222"/>
      <c r="AL24" s="222"/>
      <c r="AM24" s="222"/>
      <c r="AN24" s="222"/>
      <c r="AO24" s="222"/>
      <c r="AP24" s="222"/>
      <c r="AQ24" s="222">
        <v>1</v>
      </c>
      <c r="AR24" s="222"/>
      <c r="AS24" s="222"/>
      <c r="AT24" s="222"/>
      <c r="AU24" s="222"/>
      <c r="AV24" s="222"/>
      <c r="AW24" s="222"/>
      <c r="AX24" s="222"/>
      <c r="AY24" s="222"/>
      <c r="AZ24" s="222"/>
      <c r="BA24" s="222"/>
      <c r="BB24" s="222"/>
      <c r="BC24" s="299">
        <v>1</v>
      </c>
      <c r="BD24"/>
      <c r="BE24"/>
      <c r="BF24"/>
      <c r="BG24"/>
      <c r="BH24"/>
      <c r="BI24"/>
    </row>
    <row r="25" spans="1:61" x14ac:dyDescent="0.35">
      <c r="A25" s="350"/>
      <c r="B25" s="335" t="s">
        <v>59</v>
      </c>
      <c r="C25" s="335" t="s">
        <v>736</v>
      </c>
      <c r="D25" s="335" t="s">
        <v>268</v>
      </c>
      <c r="E25" s="335">
        <v>24</v>
      </c>
      <c r="F25" s="335">
        <v>2</v>
      </c>
      <c r="G25" s="335">
        <v>4</v>
      </c>
      <c r="H25" s="335" t="s">
        <v>779</v>
      </c>
      <c r="I25" s="335" t="s">
        <v>780</v>
      </c>
      <c r="J25" s="349"/>
      <c r="K25" s="349"/>
      <c r="L25" s="349"/>
      <c r="M25" s="349"/>
      <c r="N25" s="349"/>
      <c r="O25" s="349"/>
      <c r="P25" s="349">
        <v>537160</v>
      </c>
      <c r="Q25" s="349">
        <v>537158.51</v>
      </c>
      <c r="R25" s="349"/>
      <c r="S25" s="349"/>
      <c r="T25" s="349">
        <v>1074318.51</v>
      </c>
      <c r="U25"/>
      <c r="V25"/>
      <c r="AB25"/>
      <c r="AG25" t="s">
        <v>782</v>
      </c>
      <c r="AH25" t="s">
        <v>268</v>
      </c>
      <c r="AI25" s="296" t="s">
        <v>284</v>
      </c>
      <c r="AJ25">
        <v>3</v>
      </c>
      <c r="AK25" s="296"/>
      <c r="AL25" s="296"/>
      <c r="AM25" s="296"/>
      <c r="AN25" s="296"/>
      <c r="AO25" s="296"/>
      <c r="AP25" s="296"/>
      <c r="AQ25" s="296"/>
      <c r="AR25" s="296"/>
      <c r="AS25" s="296"/>
      <c r="AT25" s="296"/>
      <c r="AU25" s="296">
        <v>1</v>
      </c>
      <c r="AV25" s="296"/>
      <c r="AW25" s="296"/>
      <c r="AX25" s="296"/>
      <c r="AY25" s="296"/>
      <c r="AZ25" s="296"/>
      <c r="BA25" s="296"/>
      <c r="BB25" s="296"/>
      <c r="BC25" s="297">
        <v>1</v>
      </c>
      <c r="BG25"/>
    </row>
    <row r="26" spans="1:61" x14ac:dyDescent="0.35">
      <c r="A26" s="350"/>
      <c r="B26" s="335"/>
      <c r="C26" s="335" t="s">
        <v>741</v>
      </c>
      <c r="D26" s="335" t="s">
        <v>268</v>
      </c>
      <c r="E26" s="335">
        <v>2</v>
      </c>
      <c r="F26" s="335">
        <v>2</v>
      </c>
      <c r="G26" s="335">
        <v>2</v>
      </c>
      <c r="H26" s="335" t="s">
        <v>766</v>
      </c>
      <c r="I26" s="335" t="s">
        <v>766</v>
      </c>
      <c r="J26" s="349"/>
      <c r="K26" s="349"/>
      <c r="L26" s="349"/>
      <c r="M26" s="349">
        <v>4003.5</v>
      </c>
      <c r="N26" s="349"/>
      <c r="O26" s="349"/>
      <c r="P26" s="349"/>
      <c r="Q26" s="349"/>
      <c r="R26" s="349"/>
      <c r="S26" s="349"/>
      <c r="T26" s="349">
        <v>4003.5</v>
      </c>
      <c r="U26"/>
      <c r="V26"/>
      <c r="AB26"/>
      <c r="AG26" t="s">
        <v>495</v>
      </c>
      <c r="AH26" t="s">
        <v>268</v>
      </c>
      <c r="AI26" s="295" t="s">
        <v>272</v>
      </c>
      <c r="AJ26">
        <v>1</v>
      </c>
      <c r="AK26" s="295"/>
      <c r="AL26" s="295"/>
      <c r="AM26" s="295"/>
      <c r="AN26" s="295"/>
      <c r="AO26" s="295"/>
      <c r="AP26" s="295">
        <v>1</v>
      </c>
      <c r="AQ26" s="295"/>
      <c r="AR26" s="295"/>
      <c r="AS26" s="295"/>
      <c r="AT26" s="295"/>
      <c r="AU26" s="295"/>
      <c r="AV26" s="295"/>
      <c r="AW26" s="295"/>
      <c r="AX26" s="295"/>
      <c r="AY26" s="295"/>
      <c r="AZ26" s="295"/>
      <c r="BA26" s="295"/>
      <c r="BB26" s="295"/>
      <c r="BC26" s="298">
        <v>1</v>
      </c>
      <c r="BG26"/>
    </row>
    <row r="27" spans="1:61" x14ac:dyDescent="0.35">
      <c r="A27" s="350"/>
      <c r="B27" s="335"/>
      <c r="C27" s="335" t="s">
        <v>742</v>
      </c>
      <c r="D27" s="335" t="s">
        <v>268</v>
      </c>
      <c r="E27" s="335">
        <v>2</v>
      </c>
      <c r="F27" s="335">
        <v>2</v>
      </c>
      <c r="G27" s="335">
        <v>8</v>
      </c>
      <c r="H27" s="335" t="s">
        <v>764</v>
      </c>
      <c r="I27" s="335" t="s">
        <v>764</v>
      </c>
      <c r="J27" s="349"/>
      <c r="K27" s="349"/>
      <c r="L27" s="349"/>
      <c r="M27" s="349">
        <v>8455.52</v>
      </c>
      <c r="N27" s="349"/>
      <c r="O27" s="349"/>
      <c r="P27" s="349"/>
      <c r="Q27" s="349"/>
      <c r="R27" s="349"/>
      <c r="S27" s="349"/>
      <c r="T27" s="349">
        <v>8455.52</v>
      </c>
      <c r="U27"/>
      <c r="V27"/>
      <c r="AB27"/>
      <c r="AG27" t="s">
        <v>498</v>
      </c>
      <c r="AH27" t="s">
        <v>268</v>
      </c>
      <c r="AI27" s="295" t="s">
        <v>272</v>
      </c>
      <c r="AJ27">
        <v>2</v>
      </c>
      <c r="AK27" s="295">
        <v>1</v>
      </c>
      <c r="AL27" s="295"/>
      <c r="AM27" s="295"/>
      <c r="AN27" s="295"/>
      <c r="AO27" s="295"/>
      <c r="AP27" s="295"/>
      <c r="AQ27" s="295"/>
      <c r="AR27" s="295"/>
      <c r="AS27" s="295"/>
      <c r="AT27" s="295"/>
      <c r="AU27" s="295"/>
      <c r="AV27" s="295"/>
      <c r="AW27" s="295"/>
      <c r="AX27" s="295"/>
      <c r="AY27" s="295"/>
      <c r="AZ27" s="295"/>
      <c r="BA27" s="295"/>
      <c r="BB27" s="295"/>
      <c r="BC27" s="298">
        <v>1</v>
      </c>
      <c r="BG27"/>
    </row>
    <row r="28" spans="1:61" x14ac:dyDescent="0.35">
      <c r="A28" s="350"/>
      <c r="B28" s="335"/>
      <c r="C28" s="335" t="s">
        <v>1620</v>
      </c>
      <c r="D28" s="335" t="s">
        <v>268</v>
      </c>
      <c r="E28" s="335">
        <v>7</v>
      </c>
      <c r="F28" s="335">
        <v>5</v>
      </c>
      <c r="G28" s="335">
        <v>23</v>
      </c>
      <c r="H28" s="335" t="s">
        <v>149</v>
      </c>
      <c r="I28" s="335" t="s">
        <v>149</v>
      </c>
      <c r="J28" s="349"/>
      <c r="K28" s="349"/>
      <c r="L28" s="349"/>
      <c r="M28" s="349"/>
      <c r="N28" s="349"/>
      <c r="O28" s="349">
        <v>38935.43</v>
      </c>
      <c r="P28" s="349"/>
      <c r="Q28" s="349"/>
      <c r="R28" s="349"/>
      <c r="S28" s="349"/>
      <c r="T28" s="349">
        <v>38935.43</v>
      </c>
      <c r="U28"/>
      <c r="V28"/>
      <c r="AB28"/>
      <c r="AG28" t="s">
        <v>522</v>
      </c>
      <c r="AH28" t="s">
        <v>268</v>
      </c>
      <c r="AI28" s="222" t="s">
        <v>309</v>
      </c>
      <c r="AJ28">
        <v>1</v>
      </c>
      <c r="AK28" s="222"/>
      <c r="AL28" s="222"/>
      <c r="AM28" s="222"/>
      <c r="AN28" s="222"/>
      <c r="AO28" s="222"/>
      <c r="AP28" s="222"/>
      <c r="AQ28" s="222">
        <v>1</v>
      </c>
      <c r="AR28" s="222"/>
      <c r="AS28" s="222"/>
      <c r="AT28" s="222"/>
      <c r="AU28" s="222"/>
      <c r="AV28" s="222"/>
      <c r="AW28" s="222"/>
      <c r="AX28" s="222"/>
      <c r="AY28" s="222"/>
      <c r="AZ28" s="222"/>
      <c r="BA28" s="222"/>
      <c r="BB28" s="222"/>
      <c r="BC28" s="299">
        <v>1</v>
      </c>
      <c r="BG28"/>
    </row>
    <row r="29" spans="1:61" x14ac:dyDescent="0.35">
      <c r="A29" s="350"/>
      <c r="B29" s="356" t="s">
        <v>501</v>
      </c>
      <c r="C29" s="356"/>
      <c r="D29" s="356"/>
      <c r="E29" s="356"/>
      <c r="F29" s="356"/>
      <c r="G29" s="356"/>
      <c r="H29" s="356"/>
      <c r="I29" s="356"/>
      <c r="J29" s="261"/>
      <c r="K29" s="261"/>
      <c r="L29" s="261"/>
      <c r="M29" s="261">
        <v>12459.02</v>
      </c>
      <c r="N29" s="261"/>
      <c r="O29" s="261">
        <v>38935.43</v>
      </c>
      <c r="P29" s="261">
        <v>537160</v>
      </c>
      <c r="Q29" s="261">
        <v>537158.51</v>
      </c>
      <c r="R29" s="261"/>
      <c r="S29" s="261"/>
      <c r="T29" s="261">
        <v>1125712.96</v>
      </c>
      <c r="U29"/>
      <c r="V29"/>
      <c r="AB29"/>
      <c r="AG29" t="s">
        <v>490</v>
      </c>
      <c r="AH29" t="s">
        <v>268</v>
      </c>
      <c r="AI29" s="295" t="s">
        <v>272</v>
      </c>
      <c r="AJ29">
        <v>1</v>
      </c>
      <c r="AK29" s="295"/>
      <c r="AL29" s="295"/>
      <c r="AM29" s="295"/>
      <c r="AN29" s="295"/>
      <c r="AO29" s="295">
        <v>1</v>
      </c>
      <c r="AP29" s="295"/>
      <c r="AQ29" s="295"/>
      <c r="AR29" s="295"/>
      <c r="AS29" s="295"/>
      <c r="AT29" s="295"/>
      <c r="AU29" s="295"/>
      <c r="AV29" s="295"/>
      <c r="AW29" s="295"/>
      <c r="AX29" s="295"/>
      <c r="AY29" s="295"/>
      <c r="AZ29" s="295"/>
      <c r="BA29" s="295"/>
      <c r="BB29" s="295"/>
      <c r="BC29" s="298">
        <v>1</v>
      </c>
      <c r="BG29"/>
    </row>
    <row r="30" spans="1:61" x14ac:dyDescent="0.35">
      <c r="A30" s="335" t="s">
        <v>484</v>
      </c>
      <c r="B30" s="335"/>
      <c r="C30" s="335"/>
      <c r="D30" s="335"/>
      <c r="E30" s="335"/>
      <c r="F30" s="335"/>
      <c r="G30" s="335"/>
      <c r="H30" s="335"/>
      <c r="I30" s="335"/>
      <c r="J30" s="336">
        <v>97273</v>
      </c>
      <c r="K30" s="336">
        <v>291090.7</v>
      </c>
      <c r="L30" s="336">
        <v>75314.84</v>
      </c>
      <c r="M30" s="336">
        <v>125612.37999999999</v>
      </c>
      <c r="N30" s="336">
        <v>298120.66000000003</v>
      </c>
      <c r="O30" s="336">
        <v>38935.43</v>
      </c>
      <c r="P30" s="336">
        <v>537160</v>
      </c>
      <c r="Q30" s="336">
        <v>1133952.51</v>
      </c>
      <c r="R30" s="336">
        <v>750000</v>
      </c>
      <c r="S30" s="336">
        <v>750000</v>
      </c>
      <c r="T30" s="337">
        <v>4097459.5200000005</v>
      </c>
      <c r="U30"/>
      <c r="V30"/>
      <c r="AB30"/>
      <c r="AG30" t="s">
        <v>741</v>
      </c>
      <c r="AH30" t="s">
        <v>268</v>
      </c>
      <c r="AI30" s="296" t="s">
        <v>284</v>
      </c>
      <c r="AJ30">
        <v>2</v>
      </c>
      <c r="AK30" s="296"/>
      <c r="AL30" s="296"/>
      <c r="AM30" s="296"/>
      <c r="AN30" s="296"/>
      <c r="AO30" s="296"/>
      <c r="AP30" s="296"/>
      <c r="AQ30" s="296"/>
      <c r="AR30" s="296"/>
      <c r="AS30" s="296"/>
      <c r="AT30" s="296"/>
      <c r="AU30" s="296"/>
      <c r="AV30" s="296">
        <v>1</v>
      </c>
      <c r="AW30" s="296"/>
      <c r="AX30" s="296"/>
      <c r="AY30" s="296"/>
      <c r="AZ30" s="296"/>
      <c r="BA30" s="296"/>
      <c r="BB30" s="296"/>
      <c r="BC30" s="297">
        <v>1</v>
      </c>
      <c r="BG30"/>
    </row>
    <row r="31" spans="1:61" x14ac:dyDescent="0.35">
      <c r="D31"/>
      <c r="E31"/>
      <c r="G31"/>
      <c r="H31"/>
      <c r="I31"/>
      <c r="J31"/>
      <c r="U31"/>
      <c r="V31"/>
      <c r="AB31"/>
      <c r="AG31" t="s">
        <v>491</v>
      </c>
      <c r="AH31" t="s">
        <v>268</v>
      </c>
      <c r="AI31" s="295" t="s">
        <v>272</v>
      </c>
      <c r="AJ31">
        <v>1</v>
      </c>
      <c r="AK31" s="295"/>
      <c r="AL31" s="295"/>
      <c r="AM31" s="295"/>
      <c r="AN31" s="295"/>
      <c r="AO31" s="295">
        <v>1</v>
      </c>
      <c r="AP31" s="295"/>
      <c r="AQ31" s="295"/>
      <c r="AR31" s="295"/>
      <c r="AS31" s="295"/>
      <c r="AT31" s="295"/>
      <c r="AU31" s="295"/>
      <c r="AV31" s="295"/>
      <c r="AW31" s="295"/>
      <c r="AX31" s="295"/>
      <c r="AY31" s="295"/>
      <c r="AZ31" s="295"/>
      <c r="BA31" s="295"/>
      <c r="BB31" s="295"/>
      <c r="BC31" s="298">
        <v>1</v>
      </c>
      <c r="BG31"/>
    </row>
    <row r="32" spans="1:61" x14ac:dyDescent="0.35">
      <c r="D32"/>
      <c r="E32"/>
      <c r="G32"/>
      <c r="H32"/>
      <c r="I32"/>
      <c r="J32"/>
      <c r="U32"/>
      <c r="V32"/>
      <c r="AB32"/>
      <c r="AG32" t="s">
        <v>742</v>
      </c>
      <c r="AH32" t="s">
        <v>268</v>
      </c>
      <c r="AI32" s="296" t="s">
        <v>284</v>
      </c>
      <c r="AJ32">
        <v>2</v>
      </c>
      <c r="AK32" s="296"/>
      <c r="AL32" s="296"/>
      <c r="AM32" s="296"/>
      <c r="AN32" s="296"/>
      <c r="AO32" s="296"/>
      <c r="AP32" s="296"/>
      <c r="AQ32" s="296"/>
      <c r="AR32" s="296"/>
      <c r="AS32" s="296"/>
      <c r="AT32" s="296"/>
      <c r="AU32" s="296"/>
      <c r="AV32" s="296">
        <v>1</v>
      </c>
      <c r="AW32" s="296"/>
      <c r="AX32" s="296"/>
      <c r="AY32" s="296"/>
      <c r="AZ32" s="296"/>
      <c r="BA32" s="296"/>
      <c r="BB32" s="296"/>
      <c r="BC32" s="297">
        <v>1</v>
      </c>
      <c r="BG32"/>
    </row>
    <row r="33" spans="4:59" x14ac:dyDescent="0.35">
      <c r="D33"/>
      <c r="E33"/>
      <c r="G33"/>
      <c r="H33"/>
      <c r="I33"/>
      <c r="J33"/>
      <c r="U33"/>
      <c r="V33"/>
      <c r="AB33"/>
      <c r="AG33" t="s">
        <v>743</v>
      </c>
      <c r="AH33" t="s">
        <v>268</v>
      </c>
      <c r="AI33" s="296" t="s">
        <v>284</v>
      </c>
      <c r="AJ33">
        <v>18</v>
      </c>
      <c r="AK33" s="296"/>
      <c r="AL33" s="296"/>
      <c r="AM33" s="296"/>
      <c r="AN33" s="296"/>
      <c r="AO33" s="296"/>
      <c r="AP33" s="296"/>
      <c r="AQ33" s="296"/>
      <c r="AR33" s="296"/>
      <c r="AS33" s="296"/>
      <c r="AT33" s="296"/>
      <c r="AU33" s="296"/>
      <c r="AV33" s="296"/>
      <c r="AW33" s="296"/>
      <c r="AX33" s="296">
        <v>1</v>
      </c>
      <c r="AY33" s="296"/>
      <c r="AZ33" s="296"/>
      <c r="BA33" s="296"/>
      <c r="BB33" s="296"/>
      <c r="BC33" s="297">
        <v>1</v>
      </c>
      <c r="BG33"/>
    </row>
    <row r="34" spans="4:59" x14ac:dyDescent="0.35">
      <c r="D34"/>
      <c r="E34"/>
      <c r="G34"/>
      <c r="H34"/>
      <c r="I34"/>
      <c r="J34"/>
      <c r="U34"/>
      <c r="V34"/>
      <c r="AB34"/>
      <c r="AG34" t="s">
        <v>744</v>
      </c>
      <c r="AH34" t="s">
        <v>268</v>
      </c>
      <c r="AI34" s="296" t="s">
        <v>284</v>
      </c>
      <c r="AJ34">
        <v>12</v>
      </c>
      <c r="AK34" s="296"/>
      <c r="AL34" s="296"/>
      <c r="AM34" s="296"/>
      <c r="AN34" s="296"/>
      <c r="AO34" s="296"/>
      <c r="AP34" s="296"/>
      <c r="AQ34" s="296"/>
      <c r="AR34" s="296"/>
      <c r="AS34" s="296"/>
      <c r="AT34" s="296"/>
      <c r="AU34" s="296"/>
      <c r="AV34" s="296"/>
      <c r="AW34" s="296"/>
      <c r="AX34" s="296"/>
      <c r="AY34" s="296"/>
      <c r="AZ34" s="296">
        <v>1</v>
      </c>
      <c r="BA34" s="296">
        <v>0</v>
      </c>
      <c r="BB34" s="296"/>
      <c r="BC34" s="297">
        <v>1</v>
      </c>
      <c r="BG34"/>
    </row>
    <row r="35" spans="4:59" x14ac:dyDescent="0.35">
      <c r="D35"/>
      <c r="E35"/>
      <c r="G35"/>
      <c r="H35"/>
      <c r="I35"/>
      <c r="J35"/>
      <c r="U35"/>
      <c r="V35"/>
      <c r="AB35"/>
      <c r="AG35" t="s">
        <v>783</v>
      </c>
      <c r="AH35" t="s">
        <v>268</v>
      </c>
      <c r="AI35" s="296" t="s">
        <v>284</v>
      </c>
      <c r="AJ35">
        <v>4</v>
      </c>
      <c r="AK35" s="296"/>
      <c r="AL35" s="296"/>
      <c r="AM35" s="296"/>
      <c r="AN35" s="296"/>
      <c r="AO35" s="296"/>
      <c r="AP35" s="296"/>
      <c r="AQ35" s="296"/>
      <c r="AR35" s="296"/>
      <c r="AS35" s="296"/>
      <c r="AT35" s="296"/>
      <c r="AU35" s="296">
        <v>1</v>
      </c>
      <c r="AV35" s="296"/>
      <c r="AW35" s="296"/>
      <c r="AX35" s="296"/>
      <c r="AY35" s="296"/>
      <c r="AZ35" s="296"/>
      <c r="BA35" s="296"/>
      <c r="BB35" s="296"/>
      <c r="BC35" s="297">
        <v>1</v>
      </c>
      <c r="BG35"/>
    </row>
    <row r="36" spans="4:59" customFormat="1" x14ac:dyDescent="0.35">
      <c r="AF36" t="s">
        <v>501</v>
      </c>
      <c r="AK36">
        <v>1</v>
      </c>
      <c r="AL36">
        <v>1</v>
      </c>
      <c r="AM36">
        <v>3</v>
      </c>
      <c r="AN36">
        <v>2</v>
      </c>
      <c r="AO36">
        <v>5</v>
      </c>
      <c r="AP36">
        <v>2</v>
      </c>
      <c r="AQ36">
        <v>3</v>
      </c>
      <c r="AR36">
        <v>0</v>
      </c>
      <c r="AS36">
        <v>1</v>
      </c>
      <c r="AT36">
        <v>0</v>
      </c>
      <c r="AU36">
        <v>3</v>
      </c>
      <c r="AV36">
        <v>3</v>
      </c>
      <c r="AW36">
        <v>1</v>
      </c>
      <c r="AX36">
        <v>2</v>
      </c>
      <c r="AY36">
        <v>0</v>
      </c>
      <c r="AZ36">
        <v>2</v>
      </c>
      <c r="BA36">
        <v>0</v>
      </c>
      <c r="BB36">
        <v>1</v>
      </c>
      <c r="BC36" s="300">
        <v>30</v>
      </c>
    </row>
    <row r="37" spans="4:59" customFormat="1" x14ac:dyDescent="0.35">
      <c r="AF37" t="s">
        <v>484</v>
      </c>
      <c r="AK37">
        <v>1</v>
      </c>
      <c r="AL37">
        <v>1</v>
      </c>
      <c r="AM37">
        <v>3</v>
      </c>
      <c r="AN37">
        <v>2</v>
      </c>
      <c r="AO37">
        <v>5</v>
      </c>
      <c r="AP37">
        <v>2</v>
      </c>
      <c r="AQ37">
        <v>3</v>
      </c>
      <c r="AR37">
        <v>0</v>
      </c>
      <c r="AS37">
        <v>1</v>
      </c>
      <c r="AT37">
        <v>0</v>
      </c>
      <c r="AU37">
        <v>3</v>
      </c>
      <c r="AV37">
        <v>3</v>
      </c>
      <c r="AW37">
        <v>1</v>
      </c>
      <c r="AX37">
        <v>2</v>
      </c>
      <c r="AY37">
        <v>0</v>
      </c>
      <c r="AZ37">
        <v>2</v>
      </c>
      <c r="BA37">
        <v>0</v>
      </c>
      <c r="BB37">
        <v>1</v>
      </c>
      <c r="BC37" s="12">
        <v>30</v>
      </c>
    </row>
    <row r="38" spans="4:59" customFormat="1" x14ac:dyDescent="0.35"/>
    <row r="39" spans="4:59" customFormat="1" x14ac:dyDescent="0.35"/>
    <row r="40" spans="4:59" customFormat="1" x14ac:dyDescent="0.35"/>
    <row r="41" spans="4:59" customFormat="1" x14ac:dyDescent="0.35"/>
    <row r="42" spans="4:59" customFormat="1" x14ac:dyDescent="0.35"/>
    <row r="43" spans="4:59" customFormat="1" x14ac:dyDescent="0.35"/>
    <row r="44" spans="4:59" customFormat="1" x14ac:dyDescent="0.35"/>
    <row r="45" spans="4:59" customFormat="1" x14ac:dyDescent="0.35"/>
    <row r="46" spans="4:59" customFormat="1" x14ac:dyDescent="0.35"/>
    <row r="47" spans="4:59" customFormat="1" x14ac:dyDescent="0.35"/>
    <row r="48" spans="4:59" customFormat="1" x14ac:dyDescent="0.35"/>
    <row r="49" spans="1:61" x14ac:dyDescent="0.35">
      <c r="D49"/>
      <c r="E49"/>
      <c r="G49"/>
      <c r="H49"/>
      <c r="I49"/>
      <c r="J49"/>
      <c r="U49"/>
      <c r="V49"/>
      <c r="AB49"/>
      <c r="AI49"/>
      <c r="AJ49"/>
      <c r="AL49"/>
      <c r="AM49"/>
      <c r="AN49"/>
      <c r="AO49"/>
      <c r="AZ49"/>
      <c r="BA49"/>
      <c r="BG49"/>
    </row>
    <row r="50" spans="1:61" x14ac:dyDescent="0.35">
      <c r="D50"/>
      <c r="E50"/>
      <c r="G50"/>
      <c r="H50"/>
      <c r="I50"/>
      <c r="J50"/>
      <c r="U50"/>
      <c r="V50"/>
      <c r="AB50"/>
      <c r="AI50"/>
      <c r="AJ50"/>
      <c r="AL50"/>
      <c r="AM50"/>
      <c r="AN50"/>
      <c r="AO50"/>
      <c r="AZ50"/>
      <c r="BA50"/>
      <c r="BG50"/>
    </row>
    <row r="51" spans="1:61" x14ac:dyDescent="0.35">
      <c r="D51"/>
      <c r="E51"/>
      <c r="G51"/>
      <c r="H51"/>
      <c r="I51"/>
      <c r="J51"/>
      <c r="U51"/>
      <c r="V51"/>
      <c r="AB51"/>
      <c r="AI51"/>
      <c r="AJ51"/>
      <c r="AL51"/>
      <c r="AM51"/>
      <c r="AN51"/>
      <c r="AO51"/>
      <c r="AZ51"/>
      <c r="BA51"/>
      <c r="BG51"/>
    </row>
    <row r="52" spans="1:61" s="113" customFormat="1" x14ac:dyDescent="0.35">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x14ac:dyDescent="0.35">
      <c r="D53"/>
      <c r="E53"/>
      <c r="G53"/>
      <c r="H53"/>
      <c r="I53"/>
      <c r="J53"/>
      <c r="U53"/>
      <c r="V53"/>
      <c r="AB53"/>
      <c r="AI53"/>
      <c r="AJ53"/>
      <c r="AL53"/>
      <c r="AM53"/>
      <c r="AN53"/>
      <c r="AO53"/>
      <c r="AZ53"/>
      <c r="BA53"/>
      <c r="BG53"/>
    </row>
    <row r="54" spans="1:61" x14ac:dyDescent="0.35">
      <c r="D54"/>
      <c r="E54"/>
      <c r="G54"/>
      <c r="H54"/>
      <c r="I54"/>
      <c r="J54"/>
      <c r="U54"/>
      <c r="V54"/>
      <c r="AB54"/>
      <c r="AI54"/>
      <c r="AJ54"/>
      <c r="AL54"/>
      <c r="AM54"/>
      <c r="AN54"/>
      <c r="AO54"/>
      <c r="AZ54"/>
      <c r="BA54"/>
      <c r="BG54"/>
    </row>
    <row r="55" spans="1:61" x14ac:dyDescent="0.35">
      <c r="D55"/>
      <c r="E55"/>
      <c r="G55"/>
      <c r="H55"/>
      <c r="I55"/>
      <c r="J55"/>
      <c r="U55"/>
      <c r="V55"/>
      <c r="AB55"/>
      <c r="AI55"/>
      <c r="AJ55"/>
      <c r="AL55"/>
      <c r="AM55"/>
      <c r="AN55"/>
      <c r="AO55"/>
      <c r="AZ55"/>
      <c r="BA55"/>
      <c r="BG55"/>
    </row>
    <row r="56" spans="1:61" x14ac:dyDescent="0.35">
      <c r="D56"/>
      <c r="E56"/>
      <c r="G56"/>
      <c r="H56"/>
      <c r="I56"/>
      <c r="J56"/>
      <c r="U56"/>
      <c r="V56"/>
      <c r="AB56"/>
      <c r="AI56"/>
      <c r="AJ56"/>
      <c r="AL56"/>
      <c r="AM56"/>
      <c r="AN56"/>
      <c r="AO56"/>
      <c r="AZ56"/>
      <c r="BA56"/>
      <c r="BG56"/>
    </row>
    <row r="57" spans="1:61" x14ac:dyDescent="0.35">
      <c r="D57"/>
      <c r="E57"/>
      <c r="G57"/>
      <c r="H57"/>
      <c r="I57"/>
      <c r="J57"/>
      <c r="U57"/>
      <c r="V57"/>
      <c r="AB57"/>
      <c r="AI57"/>
      <c r="AJ57"/>
      <c r="AL57"/>
      <c r="AM57"/>
      <c r="AN57"/>
      <c r="AO57"/>
      <c r="AZ57"/>
      <c r="BA57"/>
      <c r="BG57"/>
    </row>
    <row r="58" spans="1:61" x14ac:dyDescent="0.35">
      <c r="D58"/>
      <c r="E58"/>
      <c r="G58"/>
      <c r="H58"/>
      <c r="I58"/>
      <c r="J58"/>
      <c r="U58"/>
      <c r="V58"/>
      <c r="AB58"/>
      <c r="AI58"/>
      <c r="AJ58"/>
      <c r="AL58"/>
      <c r="AM58"/>
      <c r="AN58"/>
      <c r="AO58"/>
      <c r="AZ58"/>
      <c r="BA58"/>
      <c r="BG58"/>
    </row>
    <row r="59" spans="1:61" x14ac:dyDescent="0.35">
      <c r="D59"/>
      <c r="E59"/>
      <c r="G59"/>
      <c r="H59"/>
      <c r="I59"/>
      <c r="J59"/>
      <c r="U59"/>
      <c r="V59"/>
      <c r="AB59"/>
      <c r="AI59"/>
      <c r="AJ59"/>
      <c r="AL59"/>
      <c r="AM59"/>
      <c r="AN59"/>
      <c r="AO59"/>
      <c r="AZ59"/>
      <c r="BA59"/>
      <c r="BG59"/>
    </row>
    <row r="60" spans="1:61" x14ac:dyDescent="0.35">
      <c r="D60"/>
      <c r="E60"/>
      <c r="G60"/>
      <c r="H60"/>
      <c r="I60"/>
      <c r="J60"/>
      <c r="U60"/>
      <c r="V60"/>
      <c r="AB60"/>
      <c r="AI60"/>
      <c r="AJ60"/>
      <c r="AL60"/>
      <c r="AM60"/>
      <c r="AN60"/>
      <c r="AO60"/>
      <c r="AZ60"/>
      <c r="BA60"/>
      <c r="BG60"/>
    </row>
    <row r="61" spans="1:61" x14ac:dyDescent="0.35">
      <c r="D61"/>
      <c r="E61"/>
      <c r="G61"/>
      <c r="H61"/>
      <c r="I61"/>
      <c r="J61"/>
      <c r="U61"/>
      <c r="V61"/>
      <c r="AB61"/>
      <c r="AI61"/>
      <c r="AJ61"/>
      <c r="AL61"/>
      <c r="AM61"/>
      <c r="AN61"/>
      <c r="AO61"/>
      <c r="AZ61"/>
      <c r="BA61"/>
      <c r="BG61"/>
    </row>
    <row r="62" spans="1:61" x14ac:dyDescent="0.35">
      <c r="D62"/>
      <c r="E62"/>
      <c r="G62"/>
      <c r="H62"/>
      <c r="I62"/>
      <c r="J62"/>
      <c r="U62"/>
      <c r="V62"/>
      <c r="AB62"/>
      <c r="AI62"/>
      <c r="AJ62"/>
      <c r="AL62"/>
      <c r="AM62"/>
      <c r="AN62"/>
      <c r="AO62"/>
      <c r="AZ62"/>
      <c r="BA62"/>
      <c r="BG62"/>
    </row>
    <row r="63" spans="1:61" x14ac:dyDescent="0.35">
      <c r="D63"/>
      <c r="E63"/>
      <c r="G63"/>
      <c r="H63"/>
      <c r="I63"/>
      <c r="J63"/>
      <c r="U63"/>
      <c r="V63"/>
      <c r="AB63"/>
      <c r="AI63"/>
      <c r="AJ63"/>
      <c r="AL63"/>
      <c r="AM63"/>
      <c r="AN63"/>
      <c r="AO63"/>
      <c r="AZ63"/>
      <c r="BA63"/>
      <c r="BG63"/>
    </row>
    <row r="64" spans="1:61" x14ac:dyDescent="0.35">
      <c r="D64"/>
      <c r="E64"/>
      <c r="G64"/>
      <c r="H64"/>
      <c r="I64"/>
      <c r="J64"/>
      <c r="U64"/>
      <c r="V64"/>
      <c r="AB64"/>
      <c r="AI64"/>
      <c r="AJ64"/>
      <c r="AL64"/>
      <c r="AM64"/>
      <c r="AN64"/>
      <c r="AO64"/>
      <c r="AZ64"/>
      <c r="BA64"/>
      <c r="BG64"/>
    </row>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sheetData>
  <conditionalFormatting sqref="E1:H1 E2:G2 E3:E115 E116:H1048576">
    <cfRule type="cellIs" dxfId="81" priority="2" operator="equal">
      <formula>"no"</formula>
    </cfRule>
  </conditionalFormatting>
  <conditionalFormatting sqref="AJ1:AM2 AJ3:AJ115 AJ116:AM1048576">
    <cfRule type="cellIs" dxfId="80" priority="1" operator="equal">
      <formula>"no"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B9B3A-A6A0-4A8D-A2D1-BEB615FFA146}">
  <sheetPr>
    <tabColor rgb="FF33CCCC"/>
  </sheetPr>
  <dimension ref="A1:AE115"/>
  <sheetViews>
    <sheetView zoomScale="110" zoomScaleNormal="110" workbookViewId="0">
      <pane xSplit="1" ySplit="3" topLeftCell="B4" activePane="bottomRight" state="frozen"/>
      <selection pane="topRight" activeCell="G1" sqref="G1"/>
      <selection pane="bottomLeft" activeCell="A6" sqref="A6"/>
      <selection pane="bottomRight" activeCell="I3" sqref="I3"/>
    </sheetView>
  </sheetViews>
  <sheetFormatPr defaultRowHeight="14.5" x14ac:dyDescent="0.35"/>
  <cols>
    <col min="1" max="1" width="15.453125" customWidth="1"/>
    <col min="2" max="2" width="11.7265625" bestFit="1" customWidth="1"/>
    <col min="3" max="3" width="7.453125" bestFit="1" customWidth="1"/>
    <col min="4" max="4" width="7.453125" style="13" bestFit="1" customWidth="1"/>
    <col min="5" max="5" width="10.36328125" style="115" bestFit="1" customWidth="1"/>
    <col min="6" max="6" width="10.54296875" bestFit="1" customWidth="1"/>
    <col min="7" max="7" width="15.453125" customWidth="1"/>
    <col min="8" max="8" width="11.7265625" bestFit="1" customWidth="1"/>
    <col min="9" max="9" width="10.90625" bestFit="1" customWidth="1"/>
    <col min="10" max="10" width="10.90625" style="13" bestFit="1" customWidth="1"/>
    <col min="11" max="11" width="10.90625" style="115" bestFit="1" customWidth="1"/>
    <col min="12" max="16" width="9.54296875" customWidth="1"/>
    <col min="17" max="17" width="10.54296875" bestFit="1" customWidth="1"/>
    <col min="18" max="18" width="10.54296875" customWidth="1"/>
    <col min="19" max="29" width="13.453125" bestFit="1" customWidth="1"/>
    <col min="30" max="30" width="11.453125" bestFit="1" customWidth="1"/>
    <col min="31" max="31" width="18.453125" bestFit="1" customWidth="1"/>
  </cols>
  <sheetData>
    <row r="1" spans="1:31" x14ac:dyDescent="0.35">
      <c r="A1" s="335" t="s">
        <v>784</v>
      </c>
      <c r="B1" s="335"/>
      <c r="C1" s="335" t="s">
        <v>481</v>
      </c>
      <c r="D1" s="335"/>
      <c r="E1" s="335"/>
      <c r="G1" s="335" t="s">
        <v>785</v>
      </c>
      <c r="H1" s="335"/>
      <c r="I1" s="335" t="s">
        <v>481</v>
      </c>
      <c r="J1" s="335"/>
      <c r="K1" s="335"/>
    </row>
    <row r="2" spans="1:31" x14ac:dyDescent="0.35">
      <c r="A2" s="338" t="s">
        <v>211</v>
      </c>
      <c r="B2" s="338" t="s">
        <v>218</v>
      </c>
      <c r="C2" s="335" t="s">
        <v>483</v>
      </c>
      <c r="D2" s="335" t="s">
        <v>721</v>
      </c>
      <c r="E2" s="359" t="s">
        <v>484</v>
      </c>
      <c r="G2" s="338" t="s">
        <v>211</v>
      </c>
      <c r="H2" s="338" t="s">
        <v>218</v>
      </c>
      <c r="I2" s="335" t="s">
        <v>483</v>
      </c>
      <c r="J2" s="335" t="s">
        <v>721</v>
      </c>
      <c r="K2" s="359" t="s">
        <v>484</v>
      </c>
    </row>
    <row r="3" spans="1:31" s="201" customFormat="1" ht="15" customHeight="1" x14ac:dyDescent="0.35">
      <c r="A3" s="335" t="s">
        <v>323</v>
      </c>
      <c r="B3" s="335" t="s">
        <v>272</v>
      </c>
      <c r="C3" s="360">
        <v>12</v>
      </c>
      <c r="D3" s="360"/>
      <c r="E3" s="361">
        <v>12</v>
      </c>
      <c r="F3"/>
      <c r="G3" s="335" t="s">
        <v>323</v>
      </c>
      <c r="H3" s="335" t="s">
        <v>272</v>
      </c>
      <c r="I3" s="336">
        <v>75159.510000000009</v>
      </c>
      <c r="J3" s="336"/>
      <c r="K3" s="337">
        <v>75159.510000000009</v>
      </c>
      <c r="L3"/>
      <c r="M3"/>
      <c r="N3"/>
      <c r="O3"/>
      <c r="P3"/>
      <c r="Q3"/>
      <c r="R3"/>
      <c r="S3"/>
      <c r="T3"/>
      <c r="U3"/>
      <c r="V3"/>
      <c r="W3"/>
      <c r="X3"/>
      <c r="Y3"/>
      <c r="Z3"/>
      <c r="AA3"/>
      <c r="AB3"/>
      <c r="AC3"/>
      <c r="AD3"/>
      <c r="AE3"/>
    </row>
    <row r="4" spans="1:31" x14ac:dyDescent="0.35">
      <c r="A4" s="335"/>
      <c r="B4" s="335" t="s">
        <v>309</v>
      </c>
      <c r="C4" s="360">
        <v>8</v>
      </c>
      <c r="D4" s="360">
        <v>4</v>
      </c>
      <c r="E4" s="361">
        <v>12</v>
      </c>
      <c r="G4" s="335"/>
      <c r="H4" s="335" t="s">
        <v>309</v>
      </c>
      <c r="I4" s="336">
        <v>119024.6</v>
      </c>
      <c r="J4" s="336">
        <v>41695.870000000003</v>
      </c>
      <c r="K4" s="337">
        <v>160720.47</v>
      </c>
    </row>
    <row r="5" spans="1:31" x14ac:dyDescent="0.35">
      <c r="A5" s="335"/>
      <c r="B5" s="335" t="s">
        <v>477</v>
      </c>
      <c r="C5" s="360">
        <v>1</v>
      </c>
      <c r="D5" s="360"/>
      <c r="E5" s="361">
        <v>1</v>
      </c>
      <c r="G5" s="335"/>
      <c r="H5" s="335" t="s">
        <v>477</v>
      </c>
      <c r="I5" s="336">
        <v>730.3</v>
      </c>
      <c r="J5" s="336"/>
      <c r="K5" s="337">
        <v>730.3</v>
      </c>
    </row>
    <row r="6" spans="1:31" x14ac:dyDescent="0.35">
      <c r="A6" s="335"/>
      <c r="B6" s="335" t="s">
        <v>284</v>
      </c>
      <c r="C6" s="360"/>
      <c r="D6" s="360">
        <v>2</v>
      </c>
      <c r="E6" s="361">
        <v>2</v>
      </c>
      <c r="G6" s="335"/>
      <c r="H6" s="335" t="s">
        <v>284</v>
      </c>
      <c r="I6" s="336"/>
      <c r="J6" s="336">
        <v>14973.54</v>
      </c>
      <c r="K6" s="337">
        <v>14973.54</v>
      </c>
    </row>
    <row r="7" spans="1:31" x14ac:dyDescent="0.35">
      <c r="A7" s="335" t="s">
        <v>786</v>
      </c>
      <c r="B7" s="335"/>
      <c r="C7" s="360">
        <v>21</v>
      </c>
      <c r="D7" s="360">
        <v>6</v>
      </c>
      <c r="E7" s="361">
        <v>27</v>
      </c>
      <c r="G7" s="335" t="s">
        <v>786</v>
      </c>
      <c r="H7" s="335"/>
      <c r="I7" s="336">
        <v>194914.41</v>
      </c>
      <c r="J7" s="336">
        <v>56669.41</v>
      </c>
      <c r="K7" s="337">
        <v>251583.82</v>
      </c>
    </row>
    <row r="8" spans="1:31" x14ac:dyDescent="0.35">
      <c r="A8" s="335" t="s">
        <v>268</v>
      </c>
      <c r="B8" s="335" t="s">
        <v>272</v>
      </c>
      <c r="C8" s="360">
        <v>35</v>
      </c>
      <c r="D8" s="360"/>
      <c r="E8" s="361">
        <v>35</v>
      </c>
      <c r="G8" s="335" t="s">
        <v>268</v>
      </c>
      <c r="H8" s="335" t="s">
        <v>272</v>
      </c>
      <c r="I8" s="336">
        <v>7295251.0700000003</v>
      </c>
      <c r="J8" s="336"/>
      <c r="K8" s="337">
        <v>7295251.0700000003</v>
      </c>
    </row>
    <row r="9" spans="1:31" x14ac:dyDescent="0.35">
      <c r="A9" s="335"/>
      <c r="B9" s="335" t="s">
        <v>309</v>
      </c>
      <c r="C9" s="360">
        <v>14</v>
      </c>
      <c r="D9" s="360">
        <v>4</v>
      </c>
      <c r="E9" s="361">
        <v>18</v>
      </c>
      <c r="G9" s="335"/>
      <c r="H9" s="335" t="s">
        <v>309</v>
      </c>
      <c r="I9" s="336">
        <v>1041103.1300000001</v>
      </c>
      <c r="J9" s="336">
        <v>659016.91999999993</v>
      </c>
      <c r="K9" s="337">
        <v>1700120.05</v>
      </c>
    </row>
    <row r="10" spans="1:31" x14ac:dyDescent="0.35">
      <c r="A10" s="335"/>
      <c r="B10" s="335" t="s">
        <v>477</v>
      </c>
      <c r="C10" s="360">
        <v>1</v>
      </c>
      <c r="D10" s="360">
        <v>4</v>
      </c>
      <c r="E10" s="361">
        <v>5</v>
      </c>
      <c r="G10" s="335"/>
      <c r="H10" s="335" t="s">
        <v>477</v>
      </c>
      <c r="I10" s="336">
        <v>2680</v>
      </c>
      <c r="J10" s="336">
        <v>416644.88</v>
      </c>
      <c r="K10" s="337">
        <v>419324.88</v>
      </c>
    </row>
    <row r="11" spans="1:31" x14ac:dyDescent="0.35">
      <c r="A11" s="335"/>
      <c r="B11" s="335" t="s">
        <v>284</v>
      </c>
      <c r="C11" s="360"/>
      <c r="D11" s="360">
        <v>24</v>
      </c>
      <c r="E11" s="361">
        <v>24</v>
      </c>
      <c r="G11" s="335"/>
      <c r="H11" s="335" t="s">
        <v>284</v>
      </c>
      <c r="I11" s="336"/>
      <c r="J11" s="336">
        <v>22215232.790000007</v>
      </c>
      <c r="K11" s="337">
        <v>22215232.790000007</v>
      </c>
    </row>
    <row r="12" spans="1:31" x14ac:dyDescent="0.35">
      <c r="A12" s="335" t="s">
        <v>787</v>
      </c>
      <c r="B12" s="335"/>
      <c r="C12" s="360">
        <v>50</v>
      </c>
      <c r="D12" s="360">
        <v>32</v>
      </c>
      <c r="E12" s="361">
        <v>82</v>
      </c>
      <c r="G12" s="335" t="s">
        <v>787</v>
      </c>
      <c r="H12" s="335"/>
      <c r="I12" s="336">
        <v>8339034.2000000002</v>
      </c>
      <c r="J12" s="336">
        <v>23290894.590000007</v>
      </c>
      <c r="K12" s="337">
        <v>31629928.790000007</v>
      </c>
    </row>
    <row r="13" spans="1:31" x14ac:dyDescent="0.35">
      <c r="A13" s="335" t="s">
        <v>484</v>
      </c>
      <c r="B13" s="335"/>
      <c r="C13" s="360">
        <v>71</v>
      </c>
      <c r="D13" s="360">
        <v>38</v>
      </c>
      <c r="E13" s="361">
        <v>109</v>
      </c>
      <c r="G13" s="335" t="s">
        <v>484</v>
      </c>
      <c r="H13" s="335"/>
      <c r="I13" s="336">
        <v>8533948.6100000013</v>
      </c>
      <c r="J13" s="336">
        <v>23347564.000000007</v>
      </c>
      <c r="K13" s="337">
        <v>31881512.610000007</v>
      </c>
    </row>
    <row r="14" spans="1:31" x14ac:dyDescent="0.35">
      <c r="D14"/>
      <c r="E14"/>
      <c r="J14"/>
      <c r="K14"/>
    </row>
    <row r="15" spans="1:31" x14ac:dyDescent="0.35">
      <c r="D15"/>
      <c r="E15"/>
      <c r="J15"/>
      <c r="K15"/>
    </row>
    <row r="16" spans="1:31" x14ac:dyDescent="0.35">
      <c r="D16"/>
      <c r="E16"/>
      <c r="J16"/>
      <c r="K16"/>
    </row>
    <row r="17" spans="1:31" x14ac:dyDescent="0.35">
      <c r="D17"/>
      <c r="E17"/>
      <c r="J17"/>
      <c r="K17"/>
    </row>
    <row r="18" spans="1:31" x14ac:dyDescent="0.35">
      <c r="D18"/>
      <c r="E18"/>
      <c r="J18"/>
      <c r="K18"/>
    </row>
    <row r="19" spans="1:31" x14ac:dyDescent="0.35">
      <c r="D19"/>
      <c r="E19"/>
      <c r="J19"/>
      <c r="K19"/>
    </row>
    <row r="20" spans="1:31" x14ac:dyDescent="0.35">
      <c r="D20"/>
      <c r="E20"/>
      <c r="J20"/>
      <c r="K20"/>
    </row>
    <row r="21" spans="1:31" x14ac:dyDescent="0.35">
      <c r="D21"/>
      <c r="E21"/>
      <c r="J21"/>
      <c r="K21"/>
    </row>
    <row r="22" spans="1:31" x14ac:dyDescent="0.35">
      <c r="D22"/>
      <c r="E22"/>
      <c r="J22"/>
      <c r="K22"/>
    </row>
    <row r="23" spans="1:31" x14ac:dyDescent="0.35">
      <c r="D23"/>
      <c r="E23"/>
      <c r="J23"/>
      <c r="K23"/>
    </row>
    <row r="24" spans="1:31" s="122" customFormat="1" x14ac:dyDescent="0.35">
      <c r="A24"/>
      <c r="B24"/>
      <c r="C24"/>
      <c r="D24"/>
      <c r="E24"/>
      <c r="F24"/>
      <c r="G24"/>
      <c r="H24"/>
      <c r="I24"/>
      <c r="J24"/>
      <c r="K24"/>
      <c r="L24"/>
      <c r="M24"/>
      <c r="N24"/>
      <c r="O24"/>
      <c r="P24"/>
      <c r="Q24"/>
      <c r="R24"/>
      <c r="S24"/>
      <c r="T24"/>
      <c r="U24"/>
      <c r="V24"/>
      <c r="W24"/>
      <c r="X24"/>
      <c r="Y24"/>
      <c r="Z24"/>
      <c r="AA24"/>
      <c r="AB24"/>
      <c r="AC24"/>
      <c r="AD24"/>
      <c r="AE24"/>
    </row>
    <row r="25" spans="1:31" x14ac:dyDescent="0.35">
      <c r="D25"/>
      <c r="E25"/>
      <c r="J25"/>
      <c r="K25"/>
    </row>
    <row r="26" spans="1:31" x14ac:dyDescent="0.35">
      <c r="D26"/>
      <c r="E26"/>
      <c r="J26"/>
      <c r="K26"/>
    </row>
    <row r="27" spans="1:31" x14ac:dyDescent="0.35">
      <c r="D27"/>
      <c r="E27"/>
      <c r="J27"/>
      <c r="K27"/>
    </row>
    <row r="28" spans="1:31" x14ac:dyDescent="0.35">
      <c r="D28"/>
      <c r="E28"/>
      <c r="J28"/>
      <c r="K28"/>
    </row>
    <row r="29" spans="1:31" x14ac:dyDescent="0.35">
      <c r="D29"/>
      <c r="E29"/>
      <c r="J29"/>
      <c r="K29"/>
    </row>
    <row r="30" spans="1:31" x14ac:dyDescent="0.35">
      <c r="D30"/>
      <c r="E30"/>
      <c r="J30"/>
      <c r="K30"/>
    </row>
    <row r="31" spans="1:31" x14ac:dyDescent="0.35">
      <c r="D31"/>
      <c r="E31"/>
      <c r="J31"/>
      <c r="K31"/>
    </row>
    <row r="32" spans="1:31" x14ac:dyDescent="0.35">
      <c r="D32"/>
      <c r="E32"/>
      <c r="J32"/>
      <c r="K32"/>
    </row>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spans="1:31" x14ac:dyDescent="0.35">
      <c r="D49"/>
      <c r="E49"/>
      <c r="J49"/>
      <c r="K49"/>
    </row>
    <row r="50" spans="1:31" x14ac:dyDescent="0.35">
      <c r="D50"/>
      <c r="E50"/>
      <c r="J50"/>
      <c r="K50"/>
    </row>
    <row r="51" spans="1:31" x14ac:dyDescent="0.35">
      <c r="D51"/>
      <c r="E51"/>
      <c r="J51"/>
      <c r="K51"/>
    </row>
    <row r="52" spans="1:31" s="113" customFormat="1" x14ac:dyDescent="0.35">
      <c r="A52"/>
      <c r="B52"/>
      <c r="C52"/>
      <c r="D52"/>
      <c r="E52"/>
      <c r="F52"/>
      <c r="G52"/>
      <c r="H52"/>
      <c r="I52"/>
      <c r="J52"/>
      <c r="K52"/>
      <c r="L52"/>
      <c r="M52"/>
      <c r="N52"/>
      <c r="O52"/>
      <c r="P52"/>
      <c r="Q52"/>
      <c r="R52"/>
      <c r="S52"/>
      <c r="T52"/>
      <c r="U52"/>
      <c r="V52"/>
      <c r="W52"/>
      <c r="X52"/>
      <c r="Y52"/>
      <c r="Z52"/>
      <c r="AA52"/>
      <c r="AB52"/>
      <c r="AC52"/>
      <c r="AD52"/>
      <c r="AE52"/>
    </row>
    <row r="53" spans="1:31" x14ac:dyDescent="0.35">
      <c r="D53"/>
      <c r="E53"/>
      <c r="J53"/>
      <c r="K53"/>
    </row>
    <row r="54" spans="1:31" x14ac:dyDescent="0.35">
      <c r="D54"/>
      <c r="E54"/>
      <c r="J54"/>
      <c r="K54"/>
    </row>
    <row r="55" spans="1:31" x14ac:dyDescent="0.35">
      <c r="D55"/>
      <c r="E55"/>
      <c r="J55"/>
      <c r="K55"/>
    </row>
    <row r="56" spans="1:31" x14ac:dyDescent="0.35">
      <c r="D56"/>
      <c r="E56"/>
      <c r="J56"/>
      <c r="K56"/>
    </row>
    <row r="57" spans="1:31" x14ac:dyDescent="0.35">
      <c r="D57"/>
      <c r="E57"/>
      <c r="J57"/>
      <c r="K57"/>
    </row>
    <row r="58" spans="1:31" x14ac:dyDescent="0.35">
      <c r="D58"/>
      <c r="E58"/>
      <c r="J58"/>
      <c r="K58"/>
    </row>
    <row r="59" spans="1:31" x14ac:dyDescent="0.35">
      <c r="D59"/>
      <c r="E59"/>
      <c r="J59"/>
      <c r="K59"/>
    </row>
    <row r="60" spans="1:31" x14ac:dyDescent="0.35">
      <c r="D60"/>
      <c r="E60"/>
      <c r="J60"/>
      <c r="K60"/>
    </row>
    <row r="61" spans="1:31" x14ac:dyDescent="0.35">
      <c r="D61"/>
      <c r="E61"/>
      <c r="J61"/>
      <c r="K61"/>
    </row>
    <row r="62" spans="1:31" x14ac:dyDescent="0.35">
      <c r="D62"/>
      <c r="E62"/>
      <c r="J62"/>
      <c r="K62"/>
    </row>
    <row r="63" spans="1:31" x14ac:dyDescent="0.35">
      <c r="D63"/>
      <c r="E63"/>
      <c r="J63"/>
      <c r="K63"/>
    </row>
    <row r="64" spans="1:31" x14ac:dyDescent="0.35">
      <c r="D64"/>
      <c r="E64"/>
      <c r="J64"/>
      <c r="K64"/>
    </row>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sheetData>
  <conditionalFormatting sqref="E1:F2 E66:E115 E116:F1048576">
    <cfRule type="cellIs" dxfId="79" priority="2" operator="equal">
      <formula>"no"</formula>
    </cfRule>
  </conditionalFormatting>
  <conditionalFormatting sqref="K1:K2 K66:K1048576">
    <cfRule type="cellIs" dxfId="78" priority="1" operator="equal">
      <formula>"no"</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10E6-F9F4-4B81-B24B-B6566E0A951B}">
  <sheetPr>
    <tabColor rgb="FF0000FF"/>
  </sheetPr>
  <dimension ref="A1:K79"/>
  <sheetViews>
    <sheetView zoomScale="70" zoomScaleNormal="70" workbookViewId="0">
      <pane xSplit="4" ySplit="1" topLeftCell="E23" activePane="bottomRight" state="frozen"/>
      <selection pane="topRight" activeCell="E1" sqref="E1"/>
      <selection pane="bottomLeft" activeCell="A2" sqref="A2"/>
      <selection pane="bottomRight" activeCell="K44" sqref="K44"/>
    </sheetView>
  </sheetViews>
  <sheetFormatPr defaultRowHeight="14.5" x14ac:dyDescent="0.35"/>
  <cols>
    <col min="1" max="1" width="15.453125" bestFit="1" customWidth="1"/>
    <col min="3" max="3" width="10.54296875" customWidth="1"/>
    <col min="4" max="4" width="53.453125" customWidth="1"/>
    <col min="5" max="5" width="15.26953125" bestFit="1" customWidth="1"/>
    <col min="6" max="6" width="13.08984375" bestFit="1" customWidth="1"/>
    <col min="7" max="10" width="17.90625" bestFit="1" customWidth="1"/>
    <col min="11" max="11" width="19.54296875" customWidth="1"/>
    <col min="12" max="22" width="17.90625" bestFit="1" customWidth="1"/>
    <col min="23" max="23" width="10.54296875" bestFit="1" customWidth="1"/>
  </cols>
  <sheetData>
    <row r="1" spans="1:11" x14ac:dyDescent="0.35">
      <c r="A1" s="9" t="s">
        <v>7</v>
      </c>
      <c r="B1" s="9" t="s">
        <v>211</v>
      </c>
      <c r="C1" s="9" t="s">
        <v>218</v>
      </c>
      <c r="D1" s="9" t="s">
        <v>216</v>
      </c>
      <c r="E1" s="9" t="s">
        <v>231</v>
      </c>
      <c r="F1" t="s">
        <v>750</v>
      </c>
    </row>
    <row r="2" spans="1:11" x14ac:dyDescent="0.35">
      <c r="A2" t="s">
        <v>329</v>
      </c>
      <c r="B2" t="s">
        <v>323</v>
      </c>
      <c r="C2" t="s">
        <v>309</v>
      </c>
      <c r="D2" t="s">
        <v>729</v>
      </c>
      <c r="F2" s="362">
        <v>1</v>
      </c>
      <c r="K2" s="299" t="s">
        <v>1568</v>
      </c>
    </row>
    <row r="3" spans="1:11" x14ac:dyDescent="0.35">
      <c r="D3" s="222" t="s">
        <v>758</v>
      </c>
      <c r="E3">
        <v>3</v>
      </c>
      <c r="F3" s="362">
        <v>1</v>
      </c>
    </row>
    <row r="4" spans="1:11" x14ac:dyDescent="0.35">
      <c r="C4" t="s">
        <v>284</v>
      </c>
      <c r="D4" t="s">
        <v>1600</v>
      </c>
      <c r="E4">
        <v>3</v>
      </c>
      <c r="F4" s="362">
        <v>1</v>
      </c>
    </row>
    <row r="5" spans="1:11" x14ac:dyDescent="0.35">
      <c r="D5" t="s">
        <v>1621</v>
      </c>
      <c r="E5">
        <v>11</v>
      </c>
      <c r="F5" s="362">
        <v>1</v>
      </c>
    </row>
    <row r="6" spans="1:11" x14ac:dyDescent="0.35">
      <c r="B6" t="s">
        <v>268</v>
      </c>
      <c r="C6" t="s">
        <v>309</v>
      </c>
      <c r="D6" s="222" t="s">
        <v>520</v>
      </c>
      <c r="E6">
        <v>38</v>
      </c>
      <c r="F6" s="362">
        <v>1</v>
      </c>
    </row>
    <row r="7" spans="1:11" x14ac:dyDescent="0.35">
      <c r="D7" t="s">
        <v>738</v>
      </c>
      <c r="E7">
        <v>36</v>
      </c>
      <c r="F7" s="362">
        <v>1</v>
      </c>
    </row>
    <row r="8" spans="1:11" x14ac:dyDescent="0.35">
      <c r="C8" t="s">
        <v>284</v>
      </c>
      <c r="D8" t="s">
        <v>725</v>
      </c>
      <c r="E8">
        <v>12</v>
      </c>
      <c r="F8" s="362">
        <v>1</v>
      </c>
    </row>
    <row r="9" spans="1:11" x14ac:dyDescent="0.35">
      <c r="D9" t="s">
        <v>728</v>
      </c>
      <c r="E9">
        <v>9</v>
      </c>
      <c r="F9" s="362">
        <v>1</v>
      </c>
    </row>
    <row r="10" spans="1:11" x14ac:dyDescent="0.35">
      <c r="D10" t="s">
        <v>729</v>
      </c>
      <c r="F10" s="362">
        <v>1</v>
      </c>
    </row>
    <row r="11" spans="1:11" x14ac:dyDescent="0.35">
      <c r="D11" t="s">
        <v>746</v>
      </c>
      <c r="E11">
        <v>27</v>
      </c>
      <c r="F11" s="362">
        <v>1</v>
      </c>
    </row>
    <row r="12" spans="1:11" x14ac:dyDescent="0.35">
      <c r="C12" t="s">
        <v>316</v>
      </c>
      <c r="D12" t="s">
        <v>788</v>
      </c>
      <c r="E12">
        <v>17</v>
      </c>
      <c r="F12" s="362">
        <v>1</v>
      </c>
      <c r="G12" t="s">
        <v>790</v>
      </c>
    </row>
    <row r="13" spans="1:11" x14ac:dyDescent="0.35">
      <c r="D13" t="s">
        <v>1601</v>
      </c>
      <c r="E13">
        <v>3</v>
      </c>
      <c r="F13" s="362">
        <v>1</v>
      </c>
    </row>
    <row r="14" spans="1:11" x14ac:dyDescent="0.35">
      <c r="A14" s="267" t="s">
        <v>789</v>
      </c>
      <c r="B14" s="267"/>
      <c r="C14" s="267"/>
      <c r="D14" s="267"/>
      <c r="E14" s="267"/>
      <c r="F14" s="364">
        <v>12</v>
      </c>
    </row>
    <row r="15" spans="1:11" x14ac:dyDescent="0.35">
      <c r="A15" t="s">
        <v>298</v>
      </c>
      <c r="B15" t="s">
        <v>323</v>
      </c>
      <c r="C15" t="s">
        <v>309</v>
      </c>
      <c r="D15" s="222" t="s">
        <v>744</v>
      </c>
      <c r="E15">
        <v>15</v>
      </c>
      <c r="F15" s="362">
        <v>1</v>
      </c>
    </row>
    <row r="16" spans="1:11" x14ac:dyDescent="0.35">
      <c r="D16" s="222" t="s">
        <v>727</v>
      </c>
      <c r="E16">
        <v>4</v>
      </c>
      <c r="F16" s="362">
        <v>1</v>
      </c>
    </row>
    <row r="17" spans="1:6" x14ac:dyDescent="0.35">
      <c r="D17" s="222" t="s">
        <v>730</v>
      </c>
      <c r="E17">
        <v>4</v>
      </c>
      <c r="F17" s="362">
        <v>1</v>
      </c>
    </row>
    <row r="18" spans="1:6" x14ac:dyDescent="0.35">
      <c r="B18" t="s">
        <v>268</v>
      </c>
      <c r="C18" t="s">
        <v>309</v>
      </c>
      <c r="D18" t="s">
        <v>732</v>
      </c>
      <c r="E18">
        <v>35</v>
      </c>
      <c r="F18" s="362">
        <v>1</v>
      </c>
    </row>
    <row r="19" spans="1:6" x14ac:dyDescent="0.35">
      <c r="D19" s="222" t="s">
        <v>532</v>
      </c>
      <c r="E19">
        <v>5</v>
      </c>
      <c r="F19" s="362">
        <v>1</v>
      </c>
    </row>
    <row r="20" spans="1:6" x14ac:dyDescent="0.35">
      <c r="D20" s="222" t="s">
        <v>534</v>
      </c>
      <c r="E20">
        <v>24</v>
      </c>
      <c r="F20" s="362">
        <v>1</v>
      </c>
    </row>
    <row r="21" spans="1:6" x14ac:dyDescent="0.35">
      <c r="C21" t="s">
        <v>477</v>
      </c>
      <c r="D21" s="222" t="s">
        <v>734</v>
      </c>
      <c r="E21">
        <v>27</v>
      </c>
      <c r="F21" s="362">
        <v>1</v>
      </c>
    </row>
    <row r="22" spans="1:6" x14ac:dyDescent="0.35">
      <c r="C22" t="s">
        <v>284</v>
      </c>
      <c r="D22" t="s">
        <v>724</v>
      </c>
      <c r="E22">
        <v>9</v>
      </c>
      <c r="F22" s="362">
        <v>1</v>
      </c>
    </row>
    <row r="23" spans="1:6" x14ac:dyDescent="0.35">
      <c r="D23" t="s">
        <v>739</v>
      </c>
      <c r="E23">
        <v>12</v>
      </c>
      <c r="F23" s="362">
        <v>1</v>
      </c>
    </row>
    <row r="24" spans="1:6" x14ac:dyDescent="0.35">
      <c r="D24" t="s">
        <v>744</v>
      </c>
      <c r="E24">
        <v>12</v>
      </c>
      <c r="F24" s="362">
        <v>1</v>
      </c>
    </row>
    <row r="25" spans="1:6" x14ac:dyDescent="0.35">
      <c r="D25" t="s">
        <v>727</v>
      </c>
      <c r="E25">
        <v>4</v>
      </c>
      <c r="F25" s="362">
        <v>1</v>
      </c>
    </row>
    <row r="26" spans="1:6" x14ac:dyDescent="0.35">
      <c r="D26" t="s">
        <v>730</v>
      </c>
      <c r="E26">
        <v>30</v>
      </c>
      <c r="F26" s="362">
        <v>1</v>
      </c>
    </row>
    <row r="27" spans="1:6" x14ac:dyDescent="0.35">
      <c r="D27" t="s">
        <v>1620</v>
      </c>
      <c r="E27">
        <v>7</v>
      </c>
      <c r="F27" s="362">
        <v>1</v>
      </c>
    </row>
    <row r="28" spans="1:6" x14ac:dyDescent="0.35">
      <c r="A28" s="267" t="s">
        <v>791</v>
      </c>
      <c r="B28" s="267"/>
      <c r="C28" s="267"/>
      <c r="D28" s="267"/>
      <c r="E28" s="267"/>
      <c r="F28" s="364">
        <v>13</v>
      </c>
    </row>
    <row r="29" spans="1:6" x14ac:dyDescent="0.35">
      <c r="A29" t="s">
        <v>308</v>
      </c>
      <c r="B29" t="s">
        <v>323</v>
      </c>
      <c r="C29" t="s">
        <v>309</v>
      </c>
      <c r="D29" s="222" t="s">
        <v>743</v>
      </c>
      <c r="E29">
        <v>17</v>
      </c>
      <c r="F29" s="362">
        <v>1</v>
      </c>
    </row>
    <row r="30" spans="1:6" x14ac:dyDescent="0.35">
      <c r="D30" s="222" t="s">
        <v>769</v>
      </c>
      <c r="E30">
        <v>2</v>
      </c>
      <c r="F30" s="362">
        <v>1</v>
      </c>
    </row>
    <row r="31" spans="1:6" x14ac:dyDescent="0.35">
      <c r="B31" t="s">
        <v>268</v>
      </c>
      <c r="C31" t="s">
        <v>309</v>
      </c>
      <c r="D31" s="305" t="s">
        <v>535</v>
      </c>
      <c r="F31" s="362">
        <v>1</v>
      </c>
    </row>
    <row r="32" spans="1:6" x14ac:dyDescent="0.35">
      <c r="D32" s="305" t="s">
        <v>497</v>
      </c>
      <c r="E32">
        <v>11</v>
      </c>
      <c r="F32" s="362">
        <v>0</v>
      </c>
    </row>
    <row r="33" spans="1:6" x14ac:dyDescent="0.35">
      <c r="D33" s="305" t="s">
        <v>748</v>
      </c>
      <c r="E33">
        <v>2</v>
      </c>
      <c r="F33" s="362">
        <v>1</v>
      </c>
    </row>
    <row r="34" spans="1:6" x14ac:dyDescent="0.35">
      <c r="D34" s="305" t="s">
        <v>523</v>
      </c>
      <c r="E34">
        <v>1</v>
      </c>
      <c r="F34" s="362">
        <v>1</v>
      </c>
    </row>
    <row r="35" spans="1:6" x14ac:dyDescent="0.35">
      <c r="D35" s="305" t="s">
        <v>1564</v>
      </c>
      <c r="E35">
        <v>1</v>
      </c>
      <c r="F35" s="362">
        <v>1</v>
      </c>
    </row>
    <row r="36" spans="1:6" x14ac:dyDescent="0.35">
      <c r="C36" t="s">
        <v>477</v>
      </c>
      <c r="D36" t="s">
        <v>792</v>
      </c>
      <c r="E36">
        <v>1</v>
      </c>
      <c r="F36" s="362">
        <v>1</v>
      </c>
    </row>
    <row r="37" spans="1:6" x14ac:dyDescent="0.35">
      <c r="C37" t="s">
        <v>284</v>
      </c>
      <c r="D37" s="222" t="s">
        <v>745</v>
      </c>
      <c r="E37" t="s">
        <v>751</v>
      </c>
      <c r="F37" s="362">
        <v>1</v>
      </c>
    </row>
    <row r="38" spans="1:6" x14ac:dyDescent="0.35">
      <c r="D38" s="222" t="s">
        <v>742</v>
      </c>
      <c r="E38">
        <v>2</v>
      </c>
      <c r="F38" s="362">
        <v>1</v>
      </c>
    </row>
    <row r="39" spans="1:6" x14ac:dyDescent="0.35">
      <c r="D39" s="122" t="s">
        <v>743</v>
      </c>
      <c r="E39">
        <v>18</v>
      </c>
      <c r="F39" s="362">
        <v>1</v>
      </c>
    </row>
    <row r="40" spans="1:6" x14ac:dyDescent="0.35">
      <c r="D40" t="s">
        <v>741</v>
      </c>
      <c r="E40">
        <v>2</v>
      </c>
      <c r="F40" s="362">
        <v>1</v>
      </c>
    </row>
    <row r="41" spans="1:6" x14ac:dyDescent="0.35">
      <c r="D41" t="s">
        <v>737</v>
      </c>
      <c r="E41">
        <v>14</v>
      </c>
      <c r="F41" s="362">
        <v>1</v>
      </c>
    </row>
    <row r="42" spans="1:6" x14ac:dyDescent="0.35">
      <c r="C42" t="s">
        <v>316</v>
      </c>
      <c r="D42" t="s">
        <v>747</v>
      </c>
      <c r="F42" s="362">
        <v>1</v>
      </c>
    </row>
    <row r="43" spans="1:6" x14ac:dyDescent="0.35">
      <c r="A43" s="267" t="s">
        <v>793</v>
      </c>
      <c r="B43" s="267"/>
      <c r="C43" s="267"/>
      <c r="D43" s="267"/>
      <c r="E43" s="267"/>
      <c r="F43" s="364">
        <v>13</v>
      </c>
    </row>
    <row r="44" spans="1:6" x14ac:dyDescent="0.35">
      <c r="A44" t="s">
        <v>340</v>
      </c>
      <c r="B44" t="s">
        <v>268</v>
      </c>
      <c r="C44" t="s">
        <v>309</v>
      </c>
      <c r="D44" s="222" t="s">
        <v>531</v>
      </c>
      <c r="E44">
        <v>15</v>
      </c>
      <c r="F44" s="362">
        <v>1</v>
      </c>
    </row>
    <row r="45" spans="1:6" x14ac:dyDescent="0.35">
      <c r="C45" t="s">
        <v>284</v>
      </c>
      <c r="D45" t="s">
        <v>726</v>
      </c>
      <c r="E45">
        <v>5</v>
      </c>
      <c r="F45" s="362">
        <v>1</v>
      </c>
    </row>
    <row r="46" spans="1:6" x14ac:dyDescent="0.35">
      <c r="C46" t="s">
        <v>316</v>
      </c>
      <c r="D46" t="s">
        <v>794</v>
      </c>
      <c r="E46">
        <v>13</v>
      </c>
      <c r="F46" s="362">
        <v>1</v>
      </c>
    </row>
    <row r="47" spans="1:6" x14ac:dyDescent="0.35">
      <c r="D47" t="s">
        <v>795</v>
      </c>
      <c r="E47" t="s">
        <v>751</v>
      </c>
      <c r="F47" s="362">
        <v>1</v>
      </c>
    </row>
    <row r="48" spans="1:6" x14ac:dyDescent="0.35">
      <c r="A48" s="267" t="s">
        <v>796</v>
      </c>
      <c r="B48" s="267"/>
      <c r="C48" s="267"/>
      <c r="D48" s="267"/>
      <c r="E48" s="267"/>
      <c r="F48" s="364">
        <v>4</v>
      </c>
    </row>
    <row r="49" spans="1:6" x14ac:dyDescent="0.35">
      <c r="A49" t="s">
        <v>424</v>
      </c>
      <c r="B49" t="s">
        <v>323</v>
      </c>
      <c r="C49" t="s">
        <v>309</v>
      </c>
      <c r="D49" s="222" t="s">
        <v>762</v>
      </c>
      <c r="E49">
        <v>15</v>
      </c>
      <c r="F49" s="362">
        <v>1</v>
      </c>
    </row>
    <row r="50" spans="1:6" x14ac:dyDescent="0.35">
      <c r="D50" s="222" t="s">
        <v>733</v>
      </c>
      <c r="E50">
        <v>16</v>
      </c>
      <c r="F50" s="362">
        <v>1</v>
      </c>
    </row>
    <row r="51" spans="1:6" x14ac:dyDescent="0.35">
      <c r="D51" s="222" t="s">
        <v>765</v>
      </c>
      <c r="F51" s="362">
        <v>1</v>
      </c>
    </row>
    <row r="52" spans="1:6" x14ac:dyDescent="0.35">
      <c r="D52" s="222" t="s">
        <v>797</v>
      </c>
      <c r="E52">
        <v>6</v>
      </c>
      <c r="F52" s="362">
        <v>1</v>
      </c>
    </row>
    <row r="53" spans="1:6" x14ac:dyDescent="0.35">
      <c r="B53" t="s">
        <v>268</v>
      </c>
      <c r="C53" t="s">
        <v>309</v>
      </c>
      <c r="D53" s="222" t="s">
        <v>526</v>
      </c>
      <c r="E53">
        <v>7</v>
      </c>
      <c r="F53" s="362">
        <v>1</v>
      </c>
    </row>
    <row r="54" spans="1:6" x14ac:dyDescent="0.35">
      <c r="D54" s="222" t="s">
        <v>527</v>
      </c>
      <c r="E54">
        <v>2</v>
      </c>
      <c r="F54" s="362">
        <v>1</v>
      </c>
    </row>
    <row r="55" spans="1:6" x14ac:dyDescent="0.35">
      <c r="D55" s="222" t="s">
        <v>528</v>
      </c>
      <c r="E55">
        <v>5</v>
      </c>
      <c r="F55" s="362">
        <v>1</v>
      </c>
    </row>
    <row r="56" spans="1:6" x14ac:dyDescent="0.35">
      <c r="D56" s="305" t="s">
        <v>521</v>
      </c>
      <c r="E56">
        <v>1</v>
      </c>
      <c r="F56" s="362">
        <v>1</v>
      </c>
    </row>
    <row r="57" spans="1:6" x14ac:dyDescent="0.35">
      <c r="D57" s="305" t="s">
        <v>529</v>
      </c>
      <c r="F57" s="362">
        <v>1</v>
      </c>
    </row>
    <row r="58" spans="1:6" x14ac:dyDescent="0.35">
      <c r="C58" t="s">
        <v>477</v>
      </c>
      <c r="D58" t="s">
        <v>1599</v>
      </c>
      <c r="E58">
        <v>1</v>
      </c>
      <c r="F58" s="362">
        <v>1</v>
      </c>
    </row>
    <row r="59" spans="1:6" x14ac:dyDescent="0.35">
      <c r="D59" t="s">
        <v>1602</v>
      </c>
      <c r="E59">
        <v>2</v>
      </c>
      <c r="F59" s="362">
        <v>1</v>
      </c>
    </row>
    <row r="60" spans="1:6" x14ac:dyDescent="0.35">
      <c r="C60" t="s">
        <v>284</v>
      </c>
      <c r="D60" t="s">
        <v>733</v>
      </c>
      <c r="E60" t="s">
        <v>751</v>
      </c>
      <c r="F60" s="362">
        <v>1</v>
      </c>
    </row>
    <row r="61" spans="1:6" x14ac:dyDescent="0.35">
      <c r="C61" t="s">
        <v>316</v>
      </c>
      <c r="D61" t="s">
        <v>783</v>
      </c>
      <c r="F61" s="362">
        <v>1</v>
      </c>
    </row>
    <row r="62" spans="1:6" x14ac:dyDescent="0.35">
      <c r="A62" s="267" t="s">
        <v>798</v>
      </c>
      <c r="B62" s="267"/>
      <c r="C62" s="267"/>
      <c r="D62" s="267"/>
      <c r="E62" s="267"/>
      <c r="F62" s="364">
        <v>13</v>
      </c>
    </row>
    <row r="63" spans="1:6" x14ac:dyDescent="0.35">
      <c r="A63" t="s">
        <v>414</v>
      </c>
      <c r="B63" t="s">
        <v>323</v>
      </c>
      <c r="C63" t="s">
        <v>309</v>
      </c>
      <c r="D63" s="222" t="s">
        <v>731</v>
      </c>
      <c r="E63">
        <v>1</v>
      </c>
      <c r="F63" s="362">
        <v>1</v>
      </c>
    </row>
    <row r="64" spans="1:6" x14ac:dyDescent="0.35">
      <c r="C64" t="s">
        <v>477</v>
      </c>
      <c r="D64" t="s">
        <v>735</v>
      </c>
      <c r="E64">
        <v>1</v>
      </c>
      <c r="F64" s="362">
        <v>1</v>
      </c>
    </row>
    <row r="65" spans="1:7" x14ac:dyDescent="0.35">
      <c r="B65" t="s">
        <v>268</v>
      </c>
      <c r="C65" t="s">
        <v>309</v>
      </c>
      <c r="D65" t="s">
        <v>525</v>
      </c>
      <c r="E65">
        <v>50</v>
      </c>
      <c r="F65" s="362">
        <v>1</v>
      </c>
    </row>
    <row r="66" spans="1:7" x14ac:dyDescent="0.35">
      <c r="D66" t="s">
        <v>533</v>
      </c>
      <c r="E66">
        <v>50</v>
      </c>
      <c r="F66" s="362">
        <v>1</v>
      </c>
    </row>
    <row r="67" spans="1:7" x14ac:dyDescent="0.35">
      <c r="D67" t="s">
        <v>749</v>
      </c>
      <c r="E67">
        <v>8</v>
      </c>
      <c r="F67" s="362">
        <v>1</v>
      </c>
    </row>
    <row r="68" spans="1:7" x14ac:dyDescent="0.35">
      <c r="C68" t="s">
        <v>477</v>
      </c>
      <c r="D68" t="s">
        <v>1598</v>
      </c>
      <c r="E68">
        <v>3</v>
      </c>
      <c r="F68" s="362">
        <v>1</v>
      </c>
    </row>
    <row r="69" spans="1:7" x14ac:dyDescent="0.35">
      <c r="C69" t="s">
        <v>284</v>
      </c>
      <c r="D69" t="s">
        <v>731</v>
      </c>
      <c r="E69">
        <v>4</v>
      </c>
      <c r="F69" s="362">
        <v>1</v>
      </c>
      <c r="G69" t="s">
        <v>273</v>
      </c>
    </row>
    <row r="70" spans="1:7" x14ac:dyDescent="0.35">
      <c r="D70" s="222" t="s">
        <v>735</v>
      </c>
      <c r="E70">
        <v>2</v>
      </c>
      <c r="F70" s="362">
        <v>1</v>
      </c>
    </row>
    <row r="71" spans="1:7" x14ac:dyDescent="0.35">
      <c r="D71" t="s">
        <v>1603</v>
      </c>
      <c r="E71">
        <v>50</v>
      </c>
      <c r="F71" s="362">
        <v>1</v>
      </c>
    </row>
    <row r="72" spans="1:7" x14ac:dyDescent="0.35">
      <c r="A72" s="267" t="s">
        <v>799</v>
      </c>
      <c r="B72" s="267"/>
      <c r="C72" s="267"/>
      <c r="D72" s="267"/>
      <c r="E72" s="267"/>
      <c r="F72" s="364">
        <v>9</v>
      </c>
      <c r="G72" t="s">
        <v>273</v>
      </c>
    </row>
    <row r="73" spans="1:7" x14ac:dyDescent="0.35">
      <c r="A73" t="s">
        <v>484</v>
      </c>
      <c r="F73" s="362">
        <v>64</v>
      </c>
    </row>
    <row r="78" spans="1:7" x14ac:dyDescent="0.35">
      <c r="G78" t="s">
        <v>273</v>
      </c>
    </row>
    <row r="79" spans="1:7" x14ac:dyDescent="0.35">
      <c r="G79" t="s">
        <v>273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44FCC-F164-40C2-B719-2DCEC430EA56}">
  <sheetPr>
    <tabColor rgb="FF0000FF"/>
  </sheetPr>
  <dimension ref="A1:N101"/>
  <sheetViews>
    <sheetView zoomScale="70" zoomScaleNormal="70" workbookViewId="0">
      <pane xSplit="8" ySplit="3" topLeftCell="I4" activePane="bottomRight" state="frozen"/>
      <selection pane="topRight" activeCell="I1" sqref="I1"/>
      <selection pane="bottomLeft" activeCell="A6" sqref="A6"/>
      <selection pane="bottomRight" activeCell="F29" sqref="F29"/>
    </sheetView>
  </sheetViews>
  <sheetFormatPr defaultRowHeight="14.5" x14ac:dyDescent="0.35"/>
  <cols>
    <col min="1" max="1" width="39.54296875" bestFit="1" customWidth="1"/>
    <col min="2" max="2" width="16.453125" bestFit="1" customWidth="1"/>
    <col min="3" max="3" width="13.90625" bestFit="1" customWidth="1"/>
    <col min="4" max="4" width="49.08984375" style="13" bestFit="1" customWidth="1"/>
    <col min="5" max="5" width="11.453125" style="115" bestFit="1" customWidth="1"/>
    <col min="6" max="6" width="11.453125" bestFit="1" customWidth="1"/>
    <col min="7" max="7" width="14" style="113" bestFit="1" customWidth="1"/>
    <col min="8" max="8" width="11.453125" style="113" customWidth="1"/>
    <col min="9" max="9" width="17.453125" bestFit="1" customWidth="1"/>
    <col min="10" max="10" width="12" style="13" bestFit="1" customWidth="1"/>
    <col min="11" max="11" width="11.453125" style="115" bestFit="1" customWidth="1"/>
    <col min="12" max="12" width="14.36328125" customWidth="1"/>
    <col min="13" max="13" width="10.453125" bestFit="1" customWidth="1"/>
    <col min="14" max="14" width="13.90625" customWidth="1"/>
    <col min="15" max="16" width="10.453125" bestFit="1" customWidth="1"/>
    <col min="17" max="17" width="11.453125" bestFit="1" customWidth="1"/>
  </cols>
  <sheetData>
    <row r="1" spans="1:14" s="167" customFormat="1" ht="15" customHeight="1" x14ac:dyDescent="0.35">
      <c r="A1"/>
      <c r="B1"/>
      <c r="C1"/>
      <c r="D1"/>
      <c r="E1"/>
      <c r="F1"/>
      <c r="G1"/>
      <c r="H1"/>
      <c r="I1" s="9" t="s">
        <v>481</v>
      </c>
      <c r="J1" s="9" t="s">
        <v>800</v>
      </c>
      <c r="K1"/>
      <c r="L1"/>
      <c r="M1"/>
      <c r="N1"/>
    </row>
    <row r="2" spans="1:14" ht="29" x14ac:dyDescent="0.35">
      <c r="D2"/>
      <c r="E2"/>
      <c r="G2"/>
      <c r="H2"/>
      <c r="I2" t="s">
        <v>483</v>
      </c>
      <c r="J2"/>
      <c r="K2" t="s">
        <v>721</v>
      </c>
      <c r="M2" s="167" t="s">
        <v>1566</v>
      </c>
      <c r="N2" s="167" t="s">
        <v>801</v>
      </c>
    </row>
    <row r="3" spans="1:14" ht="29" x14ac:dyDescent="0.35">
      <c r="A3" s="9" t="s">
        <v>213</v>
      </c>
      <c r="B3" s="166" t="s">
        <v>211</v>
      </c>
      <c r="C3" s="166" t="s">
        <v>218</v>
      </c>
      <c r="D3" s="166" t="s">
        <v>216</v>
      </c>
      <c r="E3" s="166" t="s">
        <v>231</v>
      </c>
      <c r="F3" s="9" t="s">
        <v>232</v>
      </c>
      <c r="G3" s="9" t="s">
        <v>241</v>
      </c>
      <c r="H3" s="9" t="s">
        <v>242</v>
      </c>
      <c r="I3" t="s">
        <v>1567</v>
      </c>
      <c r="J3" t="s">
        <v>480</v>
      </c>
      <c r="K3" t="s">
        <v>1567</v>
      </c>
      <c r="L3" t="s">
        <v>480</v>
      </c>
      <c r="M3" s="167"/>
      <c r="N3" s="167"/>
    </row>
    <row r="4" spans="1:14" x14ac:dyDescent="0.35">
      <c r="A4" t="s">
        <v>61</v>
      </c>
      <c r="B4" t="s">
        <v>268</v>
      </c>
      <c r="C4" t="s">
        <v>309</v>
      </c>
      <c r="D4" t="s">
        <v>520</v>
      </c>
      <c r="E4">
        <v>38</v>
      </c>
      <c r="F4">
        <v>756</v>
      </c>
      <c r="G4" t="s">
        <v>773</v>
      </c>
      <c r="H4" t="s">
        <v>1005</v>
      </c>
      <c r="I4" s="362">
        <v>1</v>
      </c>
      <c r="J4" s="70">
        <v>311473.76000000007</v>
      </c>
      <c r="K4" s="362"/>
      <c r="L4" s="70"/>
      <c r="M4" s="362">
        <v>1</v>
      </c>
      <c r="N4" s="70">
        <v>311473.76000000007</v>
      </c>
    </row>
    <row r="5" spans="1:14" x14ac:dyDescent="0.35">
      <c r="D5" t="s">
        <v>738</v>
      </c>
      <c r="E5">
        <v>36</v>
      </c>
      <c r="F5">
        <v>925</v>
      </c>
      <c r="G5" t="s">
        <v>764</v>
      </c>
      <c r="H5" t="s">
        <v>1007</v>
      </c>
      <c r="I5" s="362"/>
      <c r="J5" s="70"/>
      <c r="K5" s="362">
        <v>1</v>
      </c>
      <c r="L5" s="70">
        <v>535191</v>
      </c>
      <c r="M5" s="362">
        <v>1</v>
      </c>
      <c r="N5" s="70">
        <v>535191</v>
      </c>
    </row>
    <row r="6" spans="1:14" x14ac:dyDescent="0.35">
      <c r="D6" t="s">
        <v>521</v>
      </c>
      <c r="E6">
        <v>1</v>
      </c>
      <c r="F6">
        <v>7</v>
      </c>
      <c r="G6" t="s">
        <v>757</v>
      </c>
      <c r="H6" t="s">
        <v>757</v>
      </c>
      <c r="I6" s="362">
        <v>1</v>
      </c>
      <c r="J6" s="70">
        <v>6068.79</v>
      </c>
      <c r="K6" s="362"/>
      <c r="L6" s="70"/>
      <c r="M6" s="362">
        <v>1</v>
      </c>
      <c r="N6" s="70">
        <v>6068.79</v>
      </c>
    </row>
    <row r="7" spans="1:14" x14ac:dyDescent="0.35">
      <c r="D7" t="s">
        <v>1564</v>
      </c>
      <c r="E7">
        <v>1</v>
      </c>
      <c r="F7">
        <v>20</v>
      </c>
      <c r="G7" t="s">
        <v>761</v>
      </c>
      <c r="H7" t="s">
        <v>761</v>
      </c>
      <c r="I7" s="362">
        <v>1</v>
      </c>
      <c r="J7" s="70">
        <v>3454</v>
      </c>
      <c r="K7" s="362"/>
      <c r="L7" s="70"/>
      <c r="M7" s="362">
        <v>1</v>
      </c>
      <c r="N7" s="70">
        <v>3454</v>
      </c>
    </row>
    <row r="8" spans="1:14" x14ac:dyDescent="0.35">
      <c r="D8" t="s">
        <v>748</v>
      </c>
      <c r="E8">
        <v>2</v>
      </c>
      <c r="F8">
        <v>10</v>
      </c>
      <c r="G8" t="s">
        <v>972</v>
      </c>
      <c r="H8" t="s">
        <v>972</v>
      </c>
      <c r="I8" s="362"/>
      <c r="J8" s="70"/>
      <c r="K8" s="362">
        <v>1</v>
      </c>
      <c r="L8" s="70">
        <v>3240</v>
      </c>
      <c r="M8" s="362">
        <v>1</v>
      </c>
      <c r="N8" s="70">
        <v>3240</v>
      </c>
    </row>
    <row r="9" spans="1:14" x14ac:dyDescent="0.35">
      <c r="D9" t="s">
        <v>523</v>
      </c>
      <c r="E9">
        <v>1</v>
      </c>
      <c r="F9">
        <v>12</v>
      </c>
      <c r="G9" t="s">
        <v>761</v>
      </c>
      <c r="H9" t="s">
        <v>761</v>
      </c>
      <c r="I9" s="362">
        <v>1</v>
      </c>
      <c r="J9" s="70">
        <v>5839.5599999999995</v>
      </c>
      <c r="K9" s="362"/>
      <c r="L9" s="70"/>
      <c r="M9" s="362">
        <v>1</v>
      </c>
      <c r="N9" s="70">
        <v>5839.5599999999995</v>
      </c>
    </row>
    <row r="10" spans="1:14" x14ac:dyDescent="0.35">
      <c r="D10" t="s">
        <v>497</v>
      </c>
      <c r="E10">
        <v>11</v>
      </c>
      <c r="F10">
        <v>271</v>
      </c>
      <c r="G10" t="s">
        <v>753</v>
      </c>
      <c r="H10" t="s">
        <v>753</v>
      </c>
      <c r="I10" s="362">
        <v>0</v>
      </c>
      <c r="J10" s="70">
        <v>127455</v>
      </c>
      <c r="K10" s="362"/>
      <c r="L10" s="70"/>
      <c r="M10" s="362">
        <v>0</v>
      </c>
      <c r="N10" s="70">
        <v>127455</v>
      </c>
    </row>
    <row r="11" spans="1:14" x14ac:dyDescent="0.35">
      <c r="D11" t="s">
        <v>749</v>
      </c>
      <c r="E11">
        <v>8</v>
      </c>
      <c r="F11">
        <v>47</v>
      </c>
      <c r="G11" t="s">
        <v>1012</v>
      </c>
      <c r="H11" t="s">
        <v>1013</v>
      </c>
      <c r="I11" s="362"/>
      <c r="J11" s="70"/>
      <c r="K11" s="362">
        <v>1</v>
      </c>
      <c r="L11" s="70">
        <v>36622.71</v>
      </c>
      <c r="M11" s="362">
        <v>1</v>
      </c>
      <c r="N11" s="70">
        <v>36622.71</v>
      </c>
    </row>
    <row r="12" spans="1:14" x14ac:dyDescent="0.35">
      <c r="C12" s="224" t="s">
        <v>536</v>
      </c>
      <c r="D12" s="224"/>
      <c r="E12" s="224"/>
      <c r="F12" s="224"/>
      <c r="G12" s="224"/>
      <c r="H12" s="224"/>
      <c r="I12" s="365">
        <v>4</v>
      </c>
      <c r="J12" s="225">
        <v>454291.11000000004</v>
      </c>
      <c r="K12" s="365">
        <v>3</v>
      </c>
      <c r="L12" s="225">
        <v>575053.71</v>
      </c>
      <c r="M12" s="365">
        <v>7</v>
      </c>
      <c r="N12" s="225">
        <v>1029344.8200000001</v>
      </c>
    </row>
    <row r="13" spans="1:14" x14ac:dyDescent="0.35">
      <c r="C13" t="s">
        <v>477</v>
      </c>
      <c r="D13" t="s">
        <v>792</v>
      </c>
      <c r="E13">
        <v>1</v>
      </c>
      <c r="F13">
        <v>1</v>
      </c>
      <c r="G13" t="s">
        <v>767</v>
      </c>
      <c r="H13" t="s">
        <v>767</v>
      </c>
      <c r="I13" s="362"/>
      <c r="J13" s="70"/>
      <c r="K13" s="362">
        <v>1</v>
      </c>
      <c r="L13" s="70">
        <v>2190.15</v>
      </c>
      <c r="M13" s="362">
        <v>1</v>
      </c>
      <c r="N13" s="70">
        <v>2190.15</v>
      </c>
    </row>
    <row r="14" spans="1:14" x14ac:dyDescent="0.35">
      <c r="C14" s="224" t="s">
        <v>1565</v>
      </c>
      <c r="D14" s="224"/>
      <c r="E14" s="224"/>
      <c r="F14" s="224"/>
      <c r="G14" s="224"/>
      <c r="H14" s="224"/>
      <c r="I14" s="365"/>
      <c r="J14" s="225"/>
      <c r="K14" s="365">
        <v>1</v>
      </c>
      <c r="L14" s="225">
        <v>2190.15</v>
      </c>
      <c r="M14" s="365">
        <v>1</v>
      </c>
      <c r="N14" s="225">
        <v>2190.15</v>
      </c>
    </row>
    <row r="15" spans="1:14" x14ac:dyDescent="0.35">
      <c r="B15" s="301" t="s">
        <v>787</v>
      </c>
      <c r="C15" s="301"/>
      <c r="D15" s="301"/>
      <c r="E15" s="301"/>
      <c r="F15" s="301"/>
      <c r="G15" s="301"/>
      <c r="H15" s="301"/>
      <c r="I15" s="366">
        <v>4</v>
      </c>
      <c r="J15" s="302">
        <v>454291.11000000004</v>
      </c>
      <c r="K15" s="366">
        <v>4</v>
      </c>
      <c r="L15" s="302">
        <v>577243.86</v>
      </c>
      <c r="M15" s="366">
        <v>8</v>
      </c>
      <c r="N15" s="302">
        <v>1031534.9700000001</v>
      </c>
    </row>
    <row r="16" spans="1:14" x14ac:dyDescent="0.35">
      <c r="B16" t="s">
        <v>323</v>
      </c>
      <c r="C16" t="s">
        <v>309</v>
      </c>
      <c r="D16" t="s">
        <v>743</v>
      </c>
      <c r="E16">
        <v>17</v>
      </c>
      <c r="F16">
        <v>25</v>
      </c>
      <c r="G16" t="s">
        <v>771</v>
      </c>
      <c r="H16" t="s">
        <v>771</v>
      </c>
      <c r="I16" s="362">
        <v>1</v>
      </c>
      <c r="J16" s="70">
        <v>33810.54</v>
      </c>
      <c r="K16" s="362"/>
      <c r="L16" s="70"/>
      <c r="M16" s="362">
        <v>1</v>
      </c>
      <c r="N16" s="70">
        <v>33810.54</v>
      </c>
    </row>
    <row r="17" spans="1:14" x14ac:dyDescent="0.35">
      <c r="D17" t="s">
        <v>744</v>
      </c>
      <c r="E17">
        <v>15</v>
      </c>
      <c r="F17">
        <v>31</v>
      </c>
      <c r="G17" t="s">
        <v>756</v>
      </c>
      <c r="H17" t="s">
        <v>756</v>
      </c>
      <c r="I17" s="362">
        <v>1</v>
      </c>
      <c r="J17" s="70">
        <v>32385.58</v>
      </c>
      <c r="K17" s="362"/>
      <c r="L17" s="70"/>
      <c r="M17" s="362">
        <v>1</v>
      </c>
      <c r="N17" s="70">
        <v>32385.58</v>
      </c>
    </row>
    <row r="18" spans="1:14" x14ac:dyDescent="0.35">
      <c r="D18" t="s">
        <v>769</v>
      </c>
      <c r="E18">
        <v>2</v>
      </c>
      <c r="F18">
        <v>2</v>
      </c>
      <c r="G18" t="s">
        <v>753</v>
      </c>
      <c r="H18" t="s">
        <v>753</v>
      </c>
      <c r="I18" s="362">
        <v>1</v>
      </c>
      <c r="J18" s="70">
        <v>5542.32</v>
      </c>
      <c r="K18" s="362"/>
      <c r="L18" s="70"/>
      <c r="M18" s="362">
        <v>1</v>
      </c>
      <c r="N18" s="70">
        <v>5542.32</v>
      </c>
    </row>
    <row r="19" spans="1:14" x14ac:dyDescent="0.35">
      <c r="C19" s="224" t="s">
        <v>536</v>
      </c>
      <c r="D19" s="224"/>
      <c r="E19" s="224"/>
      <c r="F19" s="224"/>
      <c r="G19" s="224"/>
      <c r="H19" s="224"/>
      <c r="I19" s="365">
        <v>3</v>
      </c>
      <c r="J19" s="225">
        <v>71738.44</v>
      </c>
      <c r="K19" s="365"/>
      <c r="L19" s="225"/>
      <c r="M19" s="365">
        <v>3</v>
      </c>
      <c r="N19" s="225">
        <v>71738.44</v>
      </c>
    </row>
    <row r="20" spans="1:14" x14ac:dyDescent="0.35">
      <c r="B20" s="301" t="s">
        <v>786</v>
      </c>
      <c r="C20" s="301"/>
      <c r="D20" s="301"/>
      <c r="E20" s="301"/>
      <c r="F20" s="301"/>
      <c r="G20" s="301"/>
      <c r="H20" s="301"/>
      <c r="I20" s="366">
        <v>3</v>
      </c>
      <c r="J20" s="302">
        <v>71738.44</v>
      </c>
      <c r="K20" s="366"/>
      <c r="L20" s="302"/>
      <c r="M20" s="366">
        <v>3</v>
      </c>
      <c r="N20" s="302">
        <v>71738.44</v>
      </c>
    </row>
    <row r="21" spans="1:14" x14ac:dyDescent="0.35">
      <c r="A21" s="241" t="s">
        <v>1562</v>
      </c>
      <c r="B21" s="241"/>
      <c r="C21" s="241"/>
      <c r="D21" s="241"/>
      <c r="E21" s="241"/>
      <c r="F21" s="241"/>
      <c r="G21" s="241"/>
      <c r="H21" s="241"/>
      <c r="I21" s="363">
        <v>7</v>
      </c>
      <c r="J21" s="249">
        <v>526029.55000000005</v>
      </c>
      <c r="K21" s="363">
        <v>4</v>
      </c>
      <c r="L21" s="249">
        <v>577243.86</v>
      </c>
      <c r="M21" s="363">
        <v>11</v>
      </c>
      <c r="N21" s="249">
        <v>1103273.4100000001</v>
      </c>
    </row>
    <row r="22" spans="1:14" s="122" customFormat="1" x14ac:dyDescent="0.35">
      <c r="A22" t="s">
        <v>484</v>
      </c>
      <c r="B22"/>
      <c r="C22"/>
      <c r="D22"/>
      <c r="E22"/>
      <c r="F22"/>
      <c r="G22"/>
      <c r="H22"/>
      <c r="I22" s="362">
        <v>7</v>
      </c>
      <c r="J22" s="70">
        <v>526029.55000000005</v>
      </c>
      <c r="K22" s="362">
        <v>4</v>
      </c>
      <c r="L22" s="70">
        <v>577243.86</v>
      </c>
      <c r="M22" s="362">
        <v>11</v>
      </c>
      <c r="N22" s="70">
        <v>1103273.4100000001</v>
      </c>
    </row>
    <row r="23" spans="1:14" x14ac:dyDescent="0.35">
      <c r="D23"/>
      <c r="E23"/>
      <c r="G23"/>
      <c r="H23"/>
      <c r="J23"/>
      <c r="K23"/>
    </row>
    <row r="24" spans="1:14" x14ac:dyDescent="0.35">
      <c r="D24"/>
      <c r="E24"/>
      <c r="G24"/>
      <c r="H24"/>
      <c r="J24"/>
      <c r="K24"/>
    </row>
    <row r="25" spans="1:14" x14ac:dyDescent="0.35">
      <c r="D25"/>
      <c r="E25"/>
      <c r="G25"/>
      <c r="H25"/>
      <c r="J25"/>
      <c r="K25"/>
    </row>
    <row r="26" spans="1:14" x14ac:dyDescent="0.35">
      <c r="D26"/>
      <c r="E26"/>
      <c r="G26"/>
      <c r="H26"/>
      <c r="J26"/>
      <c r="K26"/>
    </row>
    <row r="27" spans="1:14" x14ac:dyDescent="0.35">
      <c r="D27"/>
      <c r="E27"/>
      <c r="G27"/>
      <c r="H27"/>
      <c r="J27"/>
      <c r="K27"/>
    </row>
    <row r="28" spans="1:14" x14ac:dyDescent="0.35">
      <c r="D28"/>
      <c r="E28"/>
      <c r="G28"/>
      <c r="H28"/>
      <c r="J28"/>
      <c r="K28"/>
    </row>
    <row r="29" spans="1:14" x14ac:dyDescent="0.35">
      <c r="D29"/>
      <c r="E29"/>
      <c r="G29"/>
      <c r="H29"/>
      <c r="J29"/>
      <c r="K29"/>
    </row>
    <row r="30" spans="1:14" x14ac:dyDescent="0.35">
      <c r="D30"/>
      <c r="E30"/>
      <c r="G30"/>
      <c r="H30"/>
      <c r="J30"/>
      <c r="K30"/>
    </row>
    <row r="31" spans="1:14" x14ac:dyDescent="0.35">
      <c r="D31"/>
      <c r="E31"/>
      <c r="G31"/>
      <c r="H31"/>
      <c r="J31"/>
      <c r="K31"/>
    </row>
    <row r="32" spans="1:14" x14ac:dyDescent="0.35">
      <c r="D32"/>
      <c r="E32"/>
      <c r="G32"/>
      <c r="H32"/>
      <c r="J32"/>
      <c r="K32"/>
    </row>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spans="4:11" x14ac:dyDescent="0.35">
      <c r="D49"/>
      <c r="E49"/>
      <c r="G49"/>
      <c r="H49"/>
      <c r="J49"/>
      <c r="K49"/>
    </row>
    <row r="50" spans="4:11" x14ac:dyDescent="0.35">
      <c r="D50"/>
      <c r="E50"/>
      <c r="G50"/>
      <c r="H50"/>
      <c r="J50"/>
      <c r="K50"/>
    </row>
    <row r="51" spans="4:11" x14ac:dyDescent="0.35">
      <c r="D51"/>
      <c r="E51"/>
      <c r="G51"/>
      <c r="H51"/>
      <c r="J51"/>
      <c r="K51"/>
    </row>
    <row r="52" spans="4:11" x14ac:dyDescent="0.35">
      <c r="D52"/>
      <c r="E52"/>
      <c r="G52"/>
      <c r="H52"/>
      <c r="J52"/>
      <c r="K52"/>
    </row>
    <row r="53" spans="4:11" x14ac:dyDescent="0.35">
      <c r="D53"/>
      <c r="E53"/>
      <c r="G53"/>
      <c r="H53"/>
      <c r="J53"/>
      <c r="K53"/>
    </row>
    <row r="54" spans="4:11" x14ac:dyDescent="0.35">
      <c r="D54"/>
      <c r="E54"/>
      <c r="G54"/>
      <c r="H54"/>
      <c r="J54"/>
      <c r="K54"/>
    </row>
    <row r="55" spans="4:11" x14ac:dyDescent="0.35">
      <c r="D55"/>
      <c r="E55"/>
      <c r="G55"/>
      <c r="H55"/>
      <c r="J55"/>
      <c r="K55"/>
    </row>
    <row r="56" spans="4:11" x14ac:dyDescent="0.35">
      <c r="D56"/>
      <c r="E56"/>
      <c r="G56"/>
      <c r="H56"/>
      <c r="J56"/>
      <c r="K56"/>
    </row>
    <row r="57" spans="4:11" x14ac:dyDescent="0.35">
      <c r="D57"/>
      <c r="E57"/>
      <c r="G57"/>
      <c r="H57"/>
      <c r="J57"/>
      <c r="K57"/>
    </row>
    <row r="58" spans="4:11" x14ac:dyDescent="0.35">
      <c r="D58"/>
      <c r="E58"/>
      <c r="G58"/>
      <c r="H58"/>
      <c r="J58"/>
      <c r="K58"/>
    </row>
    <row r="59" spans="4:11" x14ac:dyDescent="0.35">
      <c r="D59"/>
      <c r="E59"/>
      <c r="G59"/>
      <c r="H59"/>
      <c r="J59"/>
      <c r="K59"/>
    </row>
    <row r="60" spans="4:11" x14ac:dyDescent="0.35">
      <c r="D60"/>
      <c r="E60"/>
      <c r="G60"/>
      <c r="H60"/>
      <c r="J60"/>
      <c r="K60"/>
    </row>
    <row r="61" spans="4:11" x14ac:dyDescent="0.35">
      <c r="D61"/>
      <c r="E61"/>
      <c r="G61"/>
      <c r="H61"/>
      <c r="J61"/>
      <c r="K61"/>
    </row>
    <row r="62" spans="4:11" x14ac:dyDescent="0.35">
      <c r="D62"/>
      <c r="E62"/>
      <c r="G62"/>
      <c r="H62"/>
      <c r="J62"/>
    </row>
    <row r="63" spans="4:11" x14ac:dyDescent="0.35">
      <c r="D63"/>
      <c r="E63"/>
      <c r="G63"/>
      <c r="H63"/>
      <c r="J63"/>
    </row>
    <row r="64" spans="4:11" x14ac:dyDescent="0.35">
      <c r="D64"/>
      <c r="E64"/>
      <c r="G64"/>
      <c r="H64"/>
      <c r="J64"/>
    </row>
    <row r="65" spans="4:10" x14ac:dyDescent="0.35">
      <c r="D65"/>
      <c r="E65"/>
      <c r="G65"/>
      <c r="H65"/>
      <c r="J65"/>
    </row>
    <row r="66" spans="4:10" x14ac:dyDescent="0.35">
      <c r="D66"/>
      <c r="E66"/>
      <c r="G66"/>
      <c r="H66"/>
      <c r="J66"/>
    </row>
    <row r="67" spans="4:10" x14ac:dyDescent="0.35">
      <c r="D67"/>
      <c r="E67"/>
      <c r="G67"/>
      <c r="H67"/>
      <c r="J67"/>
    </row>
    <row r="68" spans="4:10" x14ac:dyDescent="0.35">
      <c r="D68"/>
      <c r="E68"/>
      <c r="G68"/>
      <c r="H68"/>
      <c r="J68"/>
    </row>
    <row r="69" spans="4:10" x14ac:dyDescent="0.35">
      <c r="D69"/>
      <c r="E69"/>
      <c r="G69"/>
      <c r="H69"/>
      <c r="J69"/>
    </row>
    <row r="70" spans="4:10" x14ac:dyDescent="0.35">
      <c r="D70"/>
      <c r="E70"/>
      <c r="G70"/>
      <c r="H70"/>
      <c r="J70"/>
    </row>
    <row r="71" spans="4:10" x14ac:dyDescent="0.35">
      <c r="D71"/>
      <c r="E71"/>
      <c r="G71"/>
      <c r="H71"/>
      <c r="J71"/>
    </row>
    <row r="72" spans="4:10" x14ac:dyDescent="0.35">
      <c r="D72"/>
      <c r="E72"/>
      <c r="G72"/>
      <c r="H72"/>
      <c r="J72"/>
    </row>
    <row r="73" spans="4:10" x14ac:dyDescent="0.35">
      <c r="D73"/>
      <c r="E73"/>
      <c r="G73"/>
      <c r="H73"/>
      <c r="J73"/>
    </row>
    <row r="74" spans="4:10" x14ac:dyDescent="0.35">
      <c r="D74"/>
      <c r="E74"/>
      <c r="G74"/>
      <c r="H74"/>
      <c r="J74"/>
    </row>
    <row r="75" spans="4:10" x14ac:dyDescent="0.35">
      <c r="D75"/>
      <c r="E75"/>
      <c r="G75"/>
      <c r="H75"/>
      <c r="J75"/>
    </row>
    <row r="76" spans="4:10" x14ac:dyDescent="0.35">
      <c r="D76"/>
      <c r="E76"/>
      <c r="G76"/>
      <c r="H76"/>
      <c r="J76"/>
    </row>
    <row r="77" spans="4:10" x14ac:dyDescent="0.35">
      <c r="D77"/>
      <c r="E77"/>
      <c r="G77"/>
      <c r="H77"/>
      <c r="J77"/>
    </row>
    <row r="78" spans="4:10" x14ac:dyDescent="0.35">
      <c r="D78"/>
      <c r="E78"/>
      <c r="G78"/>
      <c r="H78"/>
      <c r="J78"/>
    </row>
    <row r="79" spans="4:10" x14ac:dyDescent="0.35">
      <c r="D79"/>
      <c r="E79"/>
      <c r="G79"/>
      <c r="H79"/>
      <c r="J79"/>
    </row>
    <row r="80" spans="4:10" x14ac:dyDescent="0.35">
      <c r="D80"/>
      <c r="E80"/>
      <c r="G80"/>
      <c r="H80"/>
      <c r="J80"/>
    </row>
    <row r="81" spans="4:10" x14ac:dyDescent="0.35">
      <c r="D81"/>
      <c r="E81"/>
      <c r="G81"/>
      <c r="H81"/>
      <c r="J81"/>
    </row>
    <row r="82" spans="4:10" x14ac:dyDescent="0.35">
      <c r="D82"/>
      <c r="E82"/>
      <c r="G82"/>
      <c r="H82"/>
      <c r="J82"/>
    </row>
    <row r="83" spans="4:10" x14ac:dyDescent="0.35">
      <c r="D83"/>
      <c r="E83"/>
      <c r="G83"/>
      <c r="H83"/>
      <c r="J83"/>
    </row>
    <row r="84" spans="4:10" x14ac:dyDescent="0.35">
      <c r="D84"/>
      <c r="E84"/>
      <c r="G84"/>
      <c r="H84"/>
      <c r="J84"/>
    </row>
    <row r="85" spans="4:10" x14ac:dyDescent="0.35">
      <c r="D85"/>
      <c r="E85"/>
      <c r="G85"/>
      <c r="H85"/>
      <c r="J85"/>
    </row>
    <row r="86" spans="4:10" x14ac:dyDescent="0.35">
      <c r="D86"/>
      <c r="E86"/>
      <c r="G86"/>
      <c r="H86"/>
      <c r="J86"/>
    </row>
    <row r="87" spans="4:10" x14ac:dyDescent="0.35">
      <c r="D87"/>
      <c r="E87"/>
      <c r="G87"/>
      <c r="H87"/>
      <c r="J87"/>
    </row>
    <row r="88" spans="4:10" x14ac:dyDescent="0.35">
      <c r="D88"/>
      <c r="E88"/>
      <c r="G88"/>
      <c r="H88"/>
      <c r="J88"/>
    </row>
    <row r="89" spans="4:10" x14ac:dyDescent="0.35">
      <c r="D89"/>
      <c r="E89"/>
      <c r="G89"/>
      <c r="H89"/>
      <c r="J89"/>
    </row>
    <row r="90" spans="4:10" x14ac:dyDescent="0.35">
      <c r="D90"/>
      <c r="E90"/>
      <c r="G90"/>
      <c r="H90"/>
      <c r="J90"/>
    </row>
    <row r="91" spans="4:10" x14ac:dyDescent="0.35">
      <c r="D91"/>
      <c r="E91"/>
      <c r="G91"/>
      <c r="H91"/>
      <c r="J91"/>
    </row>
    <row r="92" spans="4:10" x14ac:dyDescent="0.35">
      <c r="D92"/>
      <c r="E92"/>
      <c r="G92"/>
      <c r="H92"/>
      <c r="J92"/>
    </row>
    <row r="93" spans="4:10" x14ac:dyDescent="0.35">
      <c r="D93"/>
      <c r="E93"/>
      <c r="G93"/>
      <c r="H93"/>
      <c r="J93"/>
    </row>
    <row r="94" spans="4:10" x14ac:dyDescent="0.35">
      <c r="D94"/>
      <c r="E94"/>
      <c r="G94"/>
      <c r="H94"/>
      <c r="J94"/>
    </row>
    <row r="95" spans="4:10" x14ac:dyDescent="0.35">
      <c r="D95"/>
      <c r="E95"/>
      <c r="G95"/>
      <c r="H95"/>
      <c r="J95"/>
    </row>
    <row r="96" spans="4:10" x14ac:dyDescent="0.35">
      <c r="D96"/>
      <c r="E96"/>
      <c r="G96"/>
      <c r="H96"/>
      <c r="J96"/>
    </row>
    <row r="97" spans="4:10" x14ac:dyDescent="0.35">
      <c r="D97"/>
      <c r="E97"/>
      <c r="G97"/>
      <c r="H97"/>
      <c r="J97"/>
    </row>
    <row r="98" spans="4:10" x14ac:dyDescent="0.35">
      <c r="D98"/>
      <c r="E98"/>
      <c r="G98"/>
      <c r="H98"/>
      <c r="J98"/>
    </row>
    <row r="99" spans="4:10" x14ac:dyDescent="0.35">
      <c r="D99"/>
      <c r="E99"/>
      <c r="G99"/>
      <c r="H99"/>
      <c r="J99"/>
    </row>
    <row r="100" spans="4:10" x14ac:dyDescent="0.35">
      <c r="D100"/>
      <c r="E100"/>
      <c r="G100"/>
      <c r="H100"/>
      <c r="J100"/>
    </row>
    <row r="101" spans="4:10" x14ac:dyDescent="0.35">
      <c r="D101"/>
      <c r="E101"/>
      <c r="G101"/>
      <c r="H101"/>
      <c r="J101"/>
    </row>
  </sheetData>
  <conditionalFormatting sqref="D97:D1048576 D1:D2">
    <cfRule type="duplicateValues" dxfId="77" priority="7"/>
    <cfRule type="duplicateValues" dxfId="76" priority="8"/>
  </conditionalFormatting>
  <conditionalFormatting sqref="E1 E102:H1048576">
    <cfRule type="cellIs" dxfId="75" priority="9" operator="equal">
      <formula>"no"</formula>
    </cfRule>
  </conditionalFormatting>
  <conditionalFormatting sqref="J102:J1048576 J1:J2">
    <cfRule type="duplicateValues" dxfId="74" priority="1"/>
    <cfRule type="duplicateValues" dxfId="73" priority="2"/>
  </conditionalFormatting>
  <conditionalFormatting sqref="K1 K97:L1048576">
    <cfRule type="cellIs" dxfId="72" priority="3" operator="equal">
      <formula>"no"</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C602F-3259-47A1-AFFB-DB33D96EFE39}">
  <dimension ref="A1:A25"/>
  <sheetViews>
    <sheetView topLeftCell="A4" workbookViewId="0">
      <selection activeCell="A4" sqref="A4:A25"/>
    </sheetView>
  </sheetViews>
  <sheetFormatPr defaultRowHeight="14.5" x14ac:dyDescent="0.35"/>
  <cols>
    <col min="1" max="1" width="40.453125" bestFit="1" customWidth="1"/>
  </cols>
  <sheetData>
    <row r="1" spans="1:1" x14ac:dyDescent="0.35">
      <c r="A1" t="s">
        <v>802</v>
      </c>
    </row>
    <row r="2" spans="1:1" x14ac:dyDescent="0.35">
      <c r="A2" t="s">
        <v>803</v>
      </c>
    </row>
    <row r="3" spans="1:1" x14ac:dyDescent="0.35">
      <c r="A3" t="s">
        <v>804</v>
      </c>
    </row>
    <row r="4" spans="1:1" x14ac:dyDescent="0.35">
      <c r="A4" t="s">
        <v>805</v>
      </c>
    </row>
    <row r="5" spans="1:1" x14ac:dyDescent="0.35">
      <c r="A5" t="s">
        <v>806</v>
      </c>
    </row>
    <row r="6" spans="1:1" x14ac:dyDescent="0.35">
      <c r="A6" t="s">
        <v>807</v>
      </c>
    </row>
    <row r="7" spans="1:1" x14ac:dyDescent="0.35">
      <c r="A7" t="s">
        <v>808</v>
      </c>
    </row>
    <row r="8" spans="1:1" x14ac:dyDescent="0.35">
      <c r="A8" t="s">
        <v>809</v>
      </c>
    </row>
    <row r="9" spans="1:1" x14ac:dyDescent="0.35">
      <c r="A9" t="s">
        <v>810</v>
      </c>
    </row>
    <row r="10" spans="1:1" x14ac:dyDescent="0.35">
      <c r="A10" t="s">
        <v>811</v>
      </c>
    </row>
    <row r="11" spans="1:1" x14ac:dyDescent="0.35">
      <c r="A11" t="s">
        <v>812</v>
      </c>
    </row>
    <row r="12" spans="1:1" x14ac:dyDescent="0.35">
      <c r="A12" t="s">
        <v>813</v>
      </c>
    </row>
    <row r="14" spans="1:1" x14ac:dyDescent="0.35">
      <c r="A14" t="s">
        <v>814</v>
      </c>
    </row>
    <row r="15" spans="1:1" x14ac:dyDescent="0.35">
      <c r="A15" t="s">
        <v>815</v>
      </c>
    </row>
    <row r="16" spans="1:1" x14ac:dyDescent="0.35">
      <c r="A16" t="s">
        <v>816</v>
      </c>
    </row>
    <row r="17" spans="1:1" x14ac:dyDescent="0.35">
      <c r="A17" t="s">
        <v>817</v>
      </c>
    </row>
    <row r="18" spans="1:1" x14ac:dyDescent="0.35">
      <c r="A18" t="s">
        <v>818</v>
      </c>
    </row>
    <row r="19" spans="1:1" x14ac:dyDescent="0.35">
      <c r="A19" t="s">
        <v>819</v>
      </c>
    </row>
    <row r="20" spans="1:1" x14ac:dyDescent="0.35">
      <c r="A20" t="s">
        <v>820</v>
      </c>
    </row>
    <row r="22" spans="1:1" x14ac:dyDescent="0.35">
      <c r="A22" t="s">
        <v>821</v>
      </c>
    </row>
    <row r="23" spans="1:1" x14ac:dyDescent="0.35">
      <c r="A23" t="s">
        <v>822</v>
      </c>
    </row>
    <row r="24" spans="1:1" x14ac:dyDescent="0.35">
      <c r="A24" t="s">
        <v>823</v>
      </c>
    </row>
    <row r="25" spans="1:1" x14ac:dyDescent="0.35">
      <c r="A25" t="s">
        <v>824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159EE-F02F-443E-A0A2-2383FF362587}">
  <sheetPr>
    <tabColor rgb="FF0000FF"/>
  </sheetPr>
  <dimension ref="A1:N30"/>
  <sheetViews>
    <sheetView zoomScale="80" zoomScaleNormal="80" workbookViewId="0">
      <pane xSplit="4" ySplit="3" topLeftCell="F10" activePane="bottomRight" state="frozen"/>
      <selection pane="topRight" activeCell="G1" sqref="G1"/>
      <selection pane="bottomLeft" activeCell="A6" sqref="A6"/>
      <selection pane="bottomRight" activeCell="C17" sqref="C17"/>
    </sheetView>
  </sheetViews>
  <sheetFormatPr defaultRowHeight="14.5" x14ac:dyDescent="0.35"/>
  <cols>
    <col min="1" max="1" width="52.54296875" customWidth="1"/>
    <col min="2" max="2" width="40.54296875" customWidth="1"/>
    <col min="3" max="3" width="19.54296875" bestFit="1" customWidth="1"/>
    <col min="4" max="4" width="40.54296875" customWidth="1"/>
    <col min="5" max="5" width="10.453125" style="126" bestFit="1" customWidth="1"/>
    <col min="6" max="6" width="10.453125" bestFit="1" customWidth="1"/>
    <col min="7" max="8" width="10.54296875" bestFit="1" customWidth="1"/>
    <col min="9" max="9" width="12" bestFit="1" customWidth="1"/>
    <col min="10" max="13" width="10.54296875" bestFit="1" customWidth="1"/>
    <col min="14" max="14" width="12" hidden="1" customWidth="1"/>
    <col min="15" max="17" width="10.54296875" bestFit="1" customWidth="1"/>
    <col min="18" max="28" width="12" bestFit="1" customWidth="1"/>
  </cols>
  <sheetData>
    <row r="1" spans="1:6" ht="21" x14ac:dyDescent="0.5">
      <c r="A1" s="169" t="s">
        <v>209</v>
      </c>
    </row>
    <row r="3" spans="1:6" s="125" customFormat="1" ht="31.4" customHeight="1" x14ac:dyDescent="0.35">
      <c r="A3" s="170" t="s">
        <v>213</v>
      </c>
      <c r="B3" s="170" t="s">
        <v>214</v>
      </c>
      <c r="C3" s="170" t="s">
        <v>210</v>
      </c>
      <c r="D3" s="170" t="s">
        <v>224</v>
      </c>
    </row>
    <row r="4" spans="1:6" x14ac:dyDescent="0.35">
      <c r="A4" t="s">
        <v>61</v>
      </c>
      <c r="B4" t="s">
        <v>59</v>
      </c>
      <c r="C4" t="s">
        <v>59</v>
      </c>
      <c r="D4" t="e">
        <v>#N/A</v>
      </c>
      <c r="F4" t="s">
        <v>586</v>
      </c>
    </row>
    <row r="5" spans="1:6" x14ac:dyDescent="0.35">
      <c r="A5" t="s">
        <v>130</v>
      </c>
      <c r="B5" t="s">
        <v>825</v>
      </c>
      <c r="C5" t="s">
        <v>46</v>
      </c>
      <c r="D5" t="e">
        <v>#N/A</v>
      </c>
    </row>
    <row r="6" spans="1:6" x14ac:dyDescent="0.35">
      <c r="A6" t="s">
        <v>373</v>
      </c>
      <c r="B6" t="s">
        <v>826</v>
      </c>
      <c r="C6" t="s">
        <v>46</v>
      </c>
      <c r="D6" t="e">
        <v>#N/A</v>
      </c>
    </row>
    <row r="7" spans="1:6" x14ac:dyDescent="0.35">
      <c r="A7" t="s">
        <v>376</v>
      </c>
      <c r="B7" t="s">
        <v>827</v>
      </c>
      <c r="C7" t="s">
        <v>46</v>
      </c>
      <c r="D7" t="e">
        <v>#N/A</v>
      </c>
    </row>
    <row r="8" spans="1:6" x14ac:dyDescent="0.35">
      <c r="A8" t="s">
        <v>366</v>
      </c>
      <c r="B8" t="s">
        <v>828</v>
      </c>
      <c r="C8" t="s">
        <v>46</v>
      </c>
      <c r="D8" t="s">
        <v>171</v>
      </c>
    </row>
    <row r="9" spans="1:6" x14ac:dyDescent="0.35">
      <c r="A9" t="s">
        <v>48</v>
      </c>
      <c r="B9" t="s">
        <v>829</v>
      </c>
      <c r="C9" t="s">
        <v>46</v>
      </c>
      <c r="D9" t="e">
        <v>#N/A</v>
      </c>
    </row>
    <row r="10" spans="1:6" x14ac:dyDescent="0.35">
      <c r="A10" t="s">
        <v>98</v>
      </c>
      <c r="B10" t="s">
        <v>830</v>
      </c>
      <c r="C10" t="s">
        <v>46</v>
      </c>
      <c r="D10" t="s">
        <v>831</v>
      </c>
    </row>
    <row r="11" spans="1:6" x14ac:dyDescent="0.35">
      <c r="A11" t="s">
        <v>143</v>
      </c>
      <c r="B11" t="s">
        <v>832</v>
      </c>
      <c r="C11" t="s">
        <v>46</v>
      </c>
      <c r="D11" t="s">
        <v>171</v>
      </c>
    </row>
    <row r="12" spans="1:6" x14ac:dyDescent="0.35">
      <c r="A12" t="s">
        <v>122</v>
      </c>
      <c r="B12" t="s">
        <v>833</v>
      </c>
      <c r="C12" t="s">
        <v>46</v>
      </c>
      <c r="D12" t="e">
        <v>#N/A</v>
      </c>
    </row>
    <row r="13" spans="1:6" x14ac:dyDescent="0.35">
      <c r="A13" t="s">
        <v>82</v>
      </c>
      <c r="B13" t="s">
        <v>834</v>
      </c>
      <c r="C13" t="s">
        <v>46</v>
      </c>
      <c r="D13" t="s">
        <v>171</v>
      </c>
    </row>
    <row r="14" spans="1:6" x14ac:dyDescent="0.35">
      <c r="A14" t="s">
        <v>139</v>
      </c>
      <c r="B14" t="s">
        <v>608</v>
      </c>
      <c r="C14" t="s">
        <v>1616</v>
      </c>
      <c r="D14" t="e">
        <v>#N/A</v>
      </c>
    </row>
    <row r="15" spans="1:6" x14ac:dyDescent="0.35">
      <c r="A15" t="s">
        <v>168</v>
      </c>
      <c r="B15" t="s">
        <v>168</v>
      </c>
      <c r="C15" t="s">
        <v>46</v>
      </c>
      <c r="D15" t="s">
        <v>171</v>
      </c>
    </row>
    <row r="16" spans="1:6" x14ac:dyDescent="0.35">
      <c r="A16" t="s">
        <v>361</v>
      </c>
      <c r="B16" t="s">
        <v>835</v>
      </c>
      <c r="C16" t="s">
        <v>1617</v>
      </c>
      <c r="D16" t="e">
        <v>#N/A</v>
      </c>
    </row>
    <row r="17" spans="1:4" x14ac:dyDescent="0.35">
      <c r="A17" t="s">
        <v>176</v>
      </c>
      <c r="B17" t="s">
        <v>836</v>
      </c>
      <c r="C17" t="s">
        <v>46</v>
      </c>
      <c r="D17" t="s">
        <v>171</v>
      </c>
    </row>
    <row r="18" spans="1:4" x14ac:dyDescent="0.35">
      <c r="A18" t="s">
        <v>119</v>
      </c>
      <c r="B18" t="s">
        <v>837</v>
      </c>
      <c r="C18" t="s">
        <v>46</v>
      </c>
      <c r="D18" t="e">
        <v>#N/A</v>
      </c>
    </row>
    <row r="19" spans="1:4" x14ac:dyDescent="0.35">
      <c r="A19" t="s">
        <v>196</v>
      </c>
      <c r="B19" t="s">
        <v>838</v>
      </c>
      <c r="C19" t="s">
        <v>46</v>
      </c>
      <c r="D19" t="s">
        <v>171</v>
      </c>
    </row>
    <row r="20" spans="1:4" x14ac:dyDescent="0.35">
      <c r="A20" t="s">
        <v>379</v>
      </c>
      <c r="B20" t="s">
        <v>379</v>
      </c>
      <c r="C20" t="s">
        <v>46</v>
      </c>
      <c r="D20" t="e">
        <v>#N/A</v>
      </c>
    </row>
    <row r="21" spans="1:4" x14ac:dyDescent="0.35">
      <c r="A21" t="s">
        <v>839</v>
      </c>
      <c r="B21" t="s">
        <v>839</v>
      </c>
      <c r="C21" t="s">
        <v>46</v>
      </c>
    </row>
    <row r="22" spans="1:4" x14ac:dyDescent="0.35">
      <c r="A22" t="s">
        <v>417</v>
      </c>
      <c r="B22" t="s">
        <v>840</v>
      </c>
      <c r="C22" t="s">
        <v>46</v>
      </c>
    </row>
    <row r="23" spans="1:4" x14ac:dyDescent="0.35">
      <c r="A23" t="s">
        <v>427</v>
      </c>
      <c r="B23" t="s">
        <v>841</v>
      </c>
      <c r="C23" t="s">
        <v>46</v>
      </c>
    </row>
    <row r="24" spans="1:4" x14ac:dyDescent="0.35">
      <c r="A24" t="s">
        <v>437</v>
      </c>
      <c r="B24" t="s">
        <v>842</v>
      </c>
      <c r="C24" t="s">
        <v>46</v>
      </c>
    </row>
    <row r="25" spans="1:4" x14ac:dyDescent="0.35">
      <c r="A25" t="s">
        <v>448</v>
      </c>
      <c r="B25" t="s">
        <v>843</v>
      </c>
      <c r="C25" t="s">
        <v>46</v>
      </c>
    </row>
    <row r="26" spans="1:4" x14ac:dyDescent="0.35">
      <c r="A26" t="s">
        <v>450</v>
      </c>
      <c r="B26" t="s">
        <v>844</v>
      </c>
      <c r="C26" t="s">
        <v>46</v>
      </c>
    </row>
    <row r="27" spans="1:4" x14ac:dyDescent="0.35">
      <c r="A27" t="s">
        <v>472</v>
      </c>
      <c r="B27" t="s">
        <v>472</v>
      </c>
      <c r="C27" t="s">
        <v>46</v>
      </c>
    </row>
    <row r="28" spans="1:4" x14ac:dyDescent="0.35">
      <c r="A28" t="s">
        <v>475</v>
      </c>
      <c r="B28" t="s">
        <v>845</v>
      </c>
      <c r="C28" t="s">
        <v>46</v>
      </c>
    </row>
    <row r="29" spans="1:4" x14ac:dyDescent="0.35">
      <c r="A29" t="s">
        <v>1592</v>
      </c>
      <c r="B29" t="str">
        <f>UPPER(A29)</f>
        <v>FAIRFIELD</v>
      </c>
      <c r="C29" t="s">
        <v>46</v>
      </c>
    </row>
    <row r="30" spans="1:4" x14ac:dyDescent="0.35">
      <c r="A30" t="s">
        <v>1593</v>
      </c>
      <c r="B30" t="s">
        <v>1594</v>
      </c>
      <c r="C30" t="s">
        <v>46</v>
      </c>
    </row>
  </sheetData>
  <autoFilter ref="A3:D26" xr:uid="{5DF159EE-F02F-443E-A0A2-2383FF362587}"/>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66B76-D7D8-4FAC-B221-23A161974702}">
  <sheetPr filterMode="1">
    <tabColor rgb="FFFF0000"/>
  </sheetPr>
  <dimension ref="A1:BA108"/>
  <sheetViews>
    <sheetView zoomScale="60" zoomScaleNormal="55" workbookViewId="0">
      <pane xSplit="12" ySplit="2" topLeftCell="M85" activePane="bottomRight" state="frozen"/>
      <selection pane="topRight" activeCell="L1" sqref="L1"/>
      <selection pane="bottomLeft" activeCell="A3" sqref="A3"/>
      <selection pane="bottomRight" activeCell="K118" sqref="K118"/>
    </sheetView>
  </sheetViews>
  <sheetFormatPr defaultColWidth="8.54296875" defaultRowHeight="15" customHeight="1" outlineLevelRow="1" outlineLevelCol="1" x14ac:dyDescent="0.35"/>
  <cols>
    <col min="1" max="1" width="9" style="194" customWidth="1" outlineLevel="1"/>
    <col min="2" max="2" width="13.54296875" style="194" customWidth="1"/>
    <col min="3" max="3" width="15.453125" style="194" customWidth="1"/>
    <col min="4" max="4" width="9.54296875" style="194" customWidth="1"/>
    <col min="5" max="5" width="40" style="194" hidden="1" customWidth="1" outlineLevel="1"/>
    <col min="6" max="6" width="31.453125" style="194" hidden="1" customWidth="1" outlineLevel="1"/>
    <col min="7" max="7" width="32.54296875" style="194" hidden="1" customWidth="1" outlineLevel="1" collapsed="1"/>
    <col min="8" max="8" width="49.54296875" style="194" customWidth="1" collapsed="1"/>
    <col min="9" max="9" width="13" style="194" customWidth="1"/>
    <col min="10" max="10" width="17.453125" style="191" customWidth="1"/>
    <col min="11" max="11" width="13" style="195" customWidth="1"/>
    <col min="12" max="12" width="32.453125" style="191" customWidth="1"/>
    <col min="13" max="13" width="21.453125" style="191" customWidth="1"/>
    <col min="14" max="14" width="19.54296875" style="196" customWidth="1"/>
    <col min="15" max="15" width="22.54296875" style="194" customWidth="1"/>
    <col min="16" max="16" width="20.54296875" style="196" customWidth="1"/>
    <col min="17" max="17" width="12.54296875" style="195" customWidth="1"/>
    <col min="18" max="18" width="16.453125" style="195" customWidth="1"/>
    <col min="19" max="19" width="15.54296875" style="195" customWidth="1"/>
    <col min="20" max="21" width="18.54296875" style="197" customWidth="1"/>
    <col min="22" max="22" width="13.54296875" style="197" customWidth="1"/>
    <col min="23" max="23" width="11.453125" style="198" customWidth="1"/>
    <col min="24" max="29" width="19.453125" style="196" customWidth="1"/>
    <col min="30" max="30" width="16.54296875" style="191" customWidth="1"/>
    <col min="31" max="31" width="16.54296875" style="194" customWidth="1"/>
    <col min="32" max="32" width="16.54296875" style="191" customWidth="1"/>
    <col min="33" max="33" width="16.54296875" style="194" customWidth="1"/>
    <col min="34" max="34" width="16.54296875" style="191" customWidth="1"/>
    <col min="35" max="35" width="16.54296875" style="194" customWidth="1"/>
    <col min="36" max="36" width="16.54296875" style="191" customWidth="1"/>
    <col min="37" max="37" width="16.54296875" style="194" customWidth="1"/>
    <col min="38" max="38" width="16.54296875" style="191" customWidth="1"/>
    <col min="39" max="39" width="16.54296875" style="194" customWidth="1"/>
    <col min="40" max="40" width="16.54296875" style="191" customWidth="1"/>
    <col min="41" max="41" width="16.54296875" style="194" customWidth="1"/>
    <col min="42" max="42" width="16.54296875" style="191" customWidth="1"/>
    <col min="43" max="43" width="16.54296875" style="194" customWidth="1"/>
    <col min="44" max="44" width="22.54296875" style="194" customWidth="1"/>
    <col min="45" max="45" width="17.54296875" style="194" customWidth="1"/>
    <col min="46" max="49" width="17.453125" style="194" customWidth="1"/>
    <col min="50" max="51" width="18.453125" style="194" customWidth="1"/>
    <col min="52" max="52" width="17.453125" style="194" customWidth="1"/>
    <col min="53" max="53" width="32.453125" style="199" customWidth="1"/>
    <col min="54" max="16384" width="8.54296875" style="194"/>
  </cols>
  <sheetData>
    <row r="1" spans="1:53" ht="15" customHeight="1" x14ac:dyDescent="0.35">
      <c r="H1" s="194" t="s">
        <v>209</v>
      </c>
      <c r="U1" s="219" t="s">
        <v>284</v>
      </c>
      <c r="V1" s="215"/>
      <c r="W1" s="216"/>
    </row>
    <row r="2" spans="1:53" s="177" customFormat="1" ht="62" outlineLevel="1" x14ac:dyDescent="0.35">
      <c r="B2" s="172" t="s">
        <v>210</v>
      </c>
      <c r="C2" s="172" t="s">
        <v>211</v>
      </c>
      <c r="D2" s="172" t="s">
        <v>7</v>
      </c>
      <c r="E2" s="172" t="s">
        <v>213</v>
      </c>
      <c r="F2" s="172" t="s">
        <v>214</v>
      </c>
      <c r="G2" s="176" t="s">
        <v>215</v>
      </c>
      <c r="H2" s="172" t="s">
        <v>216</v>
      </c>
      <c r="I2" s="172" t="s">
        <v>217</v>
      </c>
      <c r="J2" s="172" t="s">
        <v>218</v>
      </c>
      <c r="K2" s="172" t="s">
        <v>219</v>
      </c>
      <c r="L2" s="172" t="s">
        <v>220</v>
      </c>
      <c r="M2" s="176" t="s">
        <v>221</v>
      </c>
      <c r="N2" s="176" t="s">
        <v>222</v>
      </c>
      <c r="O2" s="176" t="s">
        <v>223</v>
      </c>
      <c r="P2" s="172" t="s">
        <v>224</v>
      </c>
      <c r="Q2" s="172" t="s">
        <v>225</v>
      </c>
      <c r="R2" s="172" t="s">
        <v>226</v>
      </c>
      <c r="S2" s="172" t="s">
        <v>231</v>
      </c>
      <c r="T2" s="172" t="s">
        <v>233</v>
      </c>
      <c r="U2" s="217" t="s">
        <v>234</v>
      </c>
      <c r="V2" s="218" t="s">
        <v>846</v>
      </c>
      <c r="W2" s="218" t="s">
        <v>481</v>
      </c>
      <c r="X2" s="176" t="s">
        <v>237</v>
      </c>
      <c r="Y2" s="176" t="s">
        <v>238</v>
      </c>
      <c r="Z2" s="176" t="s">
        <v>239</v>
      </c>
      <c r="AA2" s="176" t="s">
        <v>240</v>
      </c>
      <c r="AB2" s="176" t="s">
        <v>241</v>
      </c>
      <c r="AC2" s="176" t="s">
        <v>242</v>
      </c>
      <c r="AD2" s="220" t="s">
        <v>243</v>
      </c>
      <c r="AE2" s="221" t="s">
        <v>245</v>
      </c>
      <c r="AF2" s="220" t="s">
        <v>246</v>
      </c>
      <c r="AG2" s="221" t="s">
        <v>847</v>
      </c>
      <c r="AH2" s="220" t="s">
        <v>249</v>
      </c>
      <c r="AI2" s="221" t="s">
        <v>848</v>
      </c>
      <c r="AJ2" s="220" t="s">
        <v>252</v>
      </c>
      <c r="AK2" s="221" t="s">
        <v>849</v>
      </c>
      <c r="AL2" s="220" t="s">
        <v>255</v>
      </c>
      <c r="AM2" s="221" t="s">
        <v>850</v>
      </c>
      <c r="AN2" s="220" t="s">
        <v>258</v>
      </c>
      <c r="AO2" s="221" t="s">
        <v>851</v>
      </c>
      <c r="AP2" s="220" t="s">
        <v>261</v>
      </c>
      <c r="AQ2" s="221" t="s">
        <v>852</v>
      </c>
      <c r="AR2" s="212" t="s">
        <v>853</v>
      </c>
      <c r="AS2" s="212" t="s">
        <v>854</v>
      </c>
      <c r="AT2" s="212" t="s">
        <v>855</v>
      </c>
      <c r="AU2" s="212" t="s">
        <v>856</v>
      </c>
      <c r="AV2" s="212" t="s">
        <v>857</v>
      </c>
      <c r="AW2" s="212" t="s">
        <v>858</v>
      </c>
      <c r="AX2" s="212" t="s">
        <v>859</v>
      </c>
      <c r="AY2" s="212" t="s">
        <v>860</v>
      </c>
      <c r="AZ2" s="200" t="s">
        <v>264</v>
      </c>
      <c r="BA2" s="173" t="s">
        <v>267</v>
      </c>
    </row>
    <row r="3" spans="1:53" s="191" customFormat="1" ht="15.5" hidden="1" x14ac:dyDescent="0.35">
      <c r="A3" s="191" t="str">
        <f>H3&amp;C3</f>
        <v>2026-RH-GRAND HYATT BAHA MARNPI</v>
      </c>
      <c r="B3" s="178" t="str">
        <f>VLOOKUP(E3,'Customer '!A:C,3,0)</f>
        <v>RH</v>
      </c>
      <c r="C3" s="178" t="s">
        <v>268</v>
      </c>
      <c r="D3" s="178" t="s">
        <v>290</v>
      </c>
      <c r="E3" s="179" t="s">
        <v>61</v>
      </c>
      <c r="F3" s="179" t="str">
        <f>VLOOKUP(E3,'Customer '!A:B,2,0)</f>
        <v>RH</v>
      </c>
      <c r="G3" s="178" t="s">
        <v>106</v>
      </c>
      <c r="H3" s="178" t="str">
        <f>2026&amp;"-"&amp;F3&amp;"-"&amp;G3</f>
        <v>2026-RH-GRAND HYATT BAHA MAR</v>
      </c>
      <c r="I3" s="178">
        <v>1</v>
      </c>
      <c r="J3" s="180" t="s">
        <v>309</v>
      </c>
      <c r="K3" s="181" t="s">
        <v>273</v>
      </c>
      <c r="L3" s="180" t="s">
        <v>310</v>
      </c>
      <c r="M3" s="182">
        <v>46033</v>
      </c>
      <c r="N3" s="183">
        <v>46098</v>
      </c>
      <c r="O3" s="181"/>
      <c r="P3" s="183" t="e">
        <f>VLOOKUP(E3,'Customer '!A:D,4,0)</f>
        <v>#N/A</v>
      </c>
      <c r="Q3" s="178" t="s">
        <v>275</v>
      </c>
      <c r="R3" s="178" t="s">
        <v>276</v>
      </c>
      <c r="S3" s="178">
        <v>26</v>
      </c>
      <c r="T3" s="184">
        <v>2427743</v>
      </c>
      <c r="U3" s="184">
        <v>199002.78999999998</v>
      </c>
      <c r="V3" s="184" t="s">
        <v>277</v>
      </c>
      <c r="W3" s="185">
        <v>2026</v>
      </c>
      <c r="X3" s="183" t="s">
        <v>645</v>
      </c>
      <c r="Y3" s="183"/>
      <c r="Z3" s="183" t="s">
        <v>861</v>
      </c>
      <c r="AA3" s="183"/>
      <c r="AB3" s="183" t="s">
        <v>862</v>
      </c>
      <c r="AC3" s="183" t="s">
        <v>863</v>
      </c>
      <c r="AD3" s="180" t="s">
        <v>56</v>
      </c>
      <c r="AE3" s="181"/>
      <c r="AF3" s="180" t="s">
        <v>56</v>
      </c>
      <c r="AG3" s="181"/>
      <c r="AH3" s="180" t="s">
        <v>56</v>
      </c>
      <c r="AI3" s="181"/>
      <c r="AJ3" s="180" t="s">
        <v>56</v>
      </c>
      <c r="AK3" s="181"/>
      <c r="AL3" s="180" t="s">
        <v>73</v>
      </c>
      <c r="AM3" s="181"/>
      <c r="AN3" s="180" t="s">
        <v>304</v>
      </c>
      <c r="AO3" s="181"/>
      <c r="AP3" s="180" t="s">
        <v>57</v>
      </c>
      <c r="AQ3" s="181"/>
      <c r="AR3" s="186"/>
      <c r="AS3" s="187"/>
      <c r="AT3" s="186"/>
      <c r="AU3" s="187"/>
      <c r="AV3" s="186"/>
      <c r="AW3" s="187"/>
      <c r="AX3" s="186"/>
      <c r="AY3" s="187"/>
      <c r="AZ3" s="188" t="str">
        <f t="shared" ref="AZ3:AZ34" si="0">IF(J3="SHIPPED","Complete",IF(J3="VIEWING","Archived","Active"))</f>
        <v>Active</v>
      </c>
      <c r="BA3" s="190"/>
    </row>
    <row r="4" spans="1:53" s="191" customFormat="1" ht="15.5" hidden="1" x14ac:dyDescent="0.35">
      <c r="A4" s="191" t="str">
        <f t="shared" ref="A4:A67" si="1">H4&amp;C4</f>
        <v>2026-RH-GRAND HYATT BAHA MARNPI</v>
      </c>
      <c r="B4" s="178" t="str">
        <f>VLOOKUP(E4,'Customer '!A:C,3,0)</f>
        <v>RH</v>
      </c>
      <c r="C4" s="178" t="s">
        <v>268</v>
      </c>
      <c r="D4" s="178" t="s">
        <v>290</v>
      </c>
      <c r="E4" s="179" t="s">
        <v>61</v>
      </c>
      <c r="F4" s="179" t="str">
        <f>VLOOKUP(E4,'Customer '!A:B,2,0)</f>
        <v>RH</v>
      </c>
      <c r="G4" s="178" t="s">
        <v>106</v>
      </c>
      <c r="H4" s="178" t="str">
        <f t="shared" ref="H4:H67" si="2">2026&amp;"-"&amp;F4&amp;"-"&amp;G4</f>
        <v>2026-RH-GRAND HYATT BAHA MAR</v>
      </c>
      <c r="I4" s="178">
        <v>0</v>
      </c>
      <c r="J4" s="180" t="s">
        <v>309</v>
      </c>
      <c r="K4" s="181" t="s">
        <v>273</v>
      </c>
      <c r="L4" s="180" t="s">
        <v>310</v>
      </c>
      <c r="M4" s="182">
        <v>46033</v>
      </c>
      <c r="N4" s="183">
        <v>46098</v>
      </c>
      <c r="O4" s="181"/>
      <c r="P4" s="183" t="e">
        <f>VLOOKUP(E4,'Customer '!A:D,4,0)</f>
        <v>#N/A</v>
      </c>
      <c r="Q4" s="178" t="s">
        <v>275</v>
      </c>
      <c r="R4" s="178" t="s">
        <v>276</v>
      </c>
      <c r="S4" s="178">
        <v>26</v>
      </c>
      <c r="T4" s="184">
        <v>2427743</v>
      </c>
      <c r="U4" s="184">
        <v>1199129.2</v>
      </c>
      <c r="V4" s="184" t="s">
        <v>280</v>
      </c>
      <c r="W4" s="185">
        <v>2026</v>
      </c>
      <c r="X4" s="183" t="s">
        <v>645</v>
      </c>
      <c r="Y4" s="183"/>
      <c r="Z4" s="183" t="s">
        <v>861</v>
      </c>
      <c r="AA4" s="183"/>
      <c r="AB4" s="183" t="s">
        <v>862</v>
      </c>
      <c r="AC4" s="183" t="s">
        <v>863</v>
      </c>
      <c r="AD4" s="180" t="s">
        <v>56</v>
      </c>
      <c r="AE4" s="181"/>
      <c r="AF4" s="180" t="s">
        <v>56</v>
      </c>
      <c r="AG4" s="181"/>
      <c r="AH4" s="180" t="s">
        <v>56</v>
      </c>
      <c r="AI4" s="181"/>
      <c r="AJ4" s="180" t="s">
        <v>56</v>
      </c>
      <c r="AK4" s="181"/>
      <c r="AL4" s="180" t="s">
        <v>73</v>
      </c>
      <c r="AM4" s="181"/>
      <c r="AN4" s="180" t="s">
        <v>304</v>
      </c>
      <c r="AO4" s="181"/>
      <c r="AP4" s="180" t="s">
        <v>57</v>
      </c>
      <c r="AQ4" s="181"/>
      <c r="AR4" s="186"/>
      <c r="AS4" s="187"/>
      <c r="AT4" s="186"/>
      <c r="AU4" s="187"/>
      <c r="AV4" s="186"/>
      <c r="AW4" s="187"/>
      <c r="AX4" s="186"/>
      <c r="AY4" s="187"/>
      <c r="AZ4" s="188" t="str">
        <f t="shared" si="0"/>
        <v>Active</v>
      </c>
      <c r="BA4" s="190"/>
    </row>
    <row r="5" spans="1:53" s="191" customFormat="1" ht="15.5" hidden="1" x14ac:dyDescent="0.35">
      <c r="A5" s="191" t="str">
        <f t="shared" si="1"/>
        <v>2026-RH-GRAND HYATT BAHA MARNPI</v>
      </c>
      <c r="B5" s="178" t="str">
        <f>VLOOKUP(E5,'Customer '!A:C,3,0)</f>
        <v>RH</v>
      </c>
      <c r="C5" s="178" t="s">
        <v>268</v>
      </c>
      <c r="D5" s="178" t="s">
        <v>290</v>
      </c>
      <c r="E5" s="179" t="s">
        <v>61</v>
      </c>
      <c r="F5" s="179" t="str">
        <f>VLOOKUP(E5,'Customer '!A:B,2,0)</f>
        <v>RH</v>
      </c>
      <c r="G5" s="178" t="s">
        <v>106</v>
      </c>
      <c r="H5" s="178" t="str">
        <f t="shared" si="2"/>
        <v>2026-RH-GRAND HYATT BAHA MAR</v>
      </c>
      <c r="I5" s="178">
        <v>0</v>
      </c>
      <c r="J5" s="180" t="s">
        <v>309</v>
      </c>
      <c r="K5" s="181" t="s">
        <v>273</v>
      </c>
      <c r="L5" s="180" t="s">
        <v>310</v>
      </c>
      <c r="M5" s="182">
        <v>46033</v>
      </c>
      <c r="N5" s="183">
        <v>46098</v>
      </c>
      <c r="O5" s="181"/>
      <c r="P5" s="183" t="e">
        <f>VLOOKUP(E5,'Customer '!A:D,4,0)</f>
        <v>#N/A</v>
      </c>
      <c r="Q5" s="178" t="s">
        <v>275</v>
      </c>
      <c r="R5" s="178" t="s">
        <v>276</v>
      </c>
      <c r="S5" s="178">
        <v>26</v>
      </c>
      <c r="T5" s="184">
        <v>2427743</v>
      </c>
      <c r="U5" s="184">
        <v>720021</v>
      </c>
      <c r="V5" s="184" t="s">
        <v>281</v>
      </c>
      <c r="W5" s="185">
        <v>2026</v>
      </c>
      <c r="X5" s="183" t="s">
        <v>645</v>
      </c>
      <c r="Y5" s="183"/>
      <c r="Z5" s="183" t="s">
        <v>861</v>
      </c>
      <c r="AA5" s="183"/>
      <c r="AB5" s="183" t="s">
        <v>862</v>
      </c>
      <c r="AC5" s="183" t="s">
        <v>863</v>
      </c>
      <c r="AD5" s="180" t="s">
        <v>56</v>
      </c>
      <c r="AE5" s="181"/>
      <c r="AF5" s="180" t="s">
        <v>56</v>
      </c>
      <c r="AG5" s="181"/>
      <c r="AH5" s="180" t="s">
        <v>56</v>
      </c>
      <c r="AI5" s="181"/>
      <c r="AJ5" s="180" t="s">
        <v>56</v>
      </c>
      <c r="AK5" s="181"/>
      <c r="AL5" s="180" t="s">
        <v>73</v>
      </c>
      <c r="AM5" s="181"/>
      <c r="AN5" s="180" t="s">
        <v>304</v>
      </c>
      <c r="AO5" s="181"/>
      <c r="AP5" s="180" t="s">
        <v>57</v>
      </c>
      <c r="AQ5" s="181"/>
      <c r="AR5" s="186"/>
      <c r="AS5" s="187"/>
      <c r="AT5" s="186"/>
      <c r="AU5" s="187"/>
      <c r="AV5" s="186"/>
      <c r="AW5" s="187"/>
      <c r="AX5" s="186"/>
      <c r="AY5" s="187"/>
      <c r="AZ5" s="188" t="str">
        <f t="shared" si="0"/>
        <v>Active</v>
      </c>
      <c r="BA5" s="190"/>
    </row>
    <row r="6" spans="1:53" s="191" customFormat="1" ht="15.5" hidden="1" x14ac:dyDescent="0.35">
      <c r="A6" s="191" t="str">
        <f t="shared" si="1"/>
        <v>2026-RH-GRAND HYATT BAHA MARNPI</v>
      </c>
      <c r="B6" s="178" t="str">
        <f>VLOOKUP(E6,'Customer '!A:C,3,0)</f>
        <v>RH</v>
      </c>
      <c r="C6" s="178" t="s">
        <v>268</v>
      </c>
      <c r="D6" s="178" t="s">
        <v>290</v>
      </c>
      <c r="E6" s="179" t="s">
        <v>61</v>
      </c>
      <c r="F6" s="179" t="str">
        <f>VLOOKUP(E6,'Customer '!A:B,2,0)</f>
        <v>RH</v>
      </c>
      <c r="G6" s="178" t="s">
        <v>106</v>
      </c>
      <c r="H6" s="178" t="str">
        <f t="shared" si="2"/>
        <v>2026-RH-GRAND HYATT BAHA MAR</v>
      </c>
      <c r="I6" s="178">
        <v>0</v>
      </c>
      <c r="J6" s="180" t="s">
        <v>309</v>
      </c>
      <c r="K6" s="181" t="s">
        <v>273</v>
      </c>
      <c r="L6" s="180" t="s">
        <v>310</v>
      </c>
      <c r="M6" s="182">
        <v>46033</v>
      </c>
      <c r="N6" s="183">
        <v>46098</v>
      </c>
      <c r="O6" s="181"/>
      <c r="P6" s="183" t="e">
        <f>VLOOKUP(E6,'Customer '!A:D,4,0)</f>
        <v>#N/A</v>
      </c>
      <c r="Q6" s="178" t="s">
        <v>275</v>
      </c>
      <c r="R6" s="178" t="s">
        <v>276</v>
      </c>
      <c r="S6" s="178">
        <v>26</v>
      </c>
      <c r="T6" s="184">
        <v>2427743</v>
      </c>
      <c r="U6" s="184">
        <v>309590</v>
      </c>
      <c r="V6" s="184" t="s">
        <v>282</v>
      </c>
      <c r="W6" s="185">
        <v>2026</v>
      </c>
      <c r="X6" s="183" t="s">
        <v>645</v>
      </c>
      <c r="Y6" s="183"/>
      <c r="Z6" s="183" t="s">
        <v>861</v>
      </c>
      <c r="AA6" s="183"/>
      <c r="AB6" s="183" t="s">
        <v>862</v>
      </c>
      <c r="AC6" s="183" t="s">
        <v>863</v>
      </c>
      <c r="AD6" s="180" t="s">
        <v>56</v>
      </c>
      <c r="AE6" s="181"/>
      <c r="AF6" s="180" t="s">
        <v>56</v>
      </c>
      <c r="AG6" s="181"/>
      <c r="AH6" s="180" t="s">
        <v>56</v>
      </c>
      <c r="AI6" s="181"/>
      <c r="AJ6" s="180" t="s">
        <v>56</v>
      </c>
      <c r="AK6" s="181"/>
      <c r="AL6" s="180" t="s">
        <v>73</v>
      </c>
      <c r="AM6" s="181"/>
      <c r="AN6" s="180" t="s">
        <v>304</v>
      </c>
      <c r="AO6" s="181"/>
      <c r="AP6" s="180" t="s">
        <v>57</v>
      </c>
      <c r="AQ6" s="181"/>
      <c r="AR6" s="186"/>
      <c r="AS6" s="187"/>
      <c r="AT6" s="186"/>
      <c r="AU6" s="187"/>
      <c r="AV6" s="186"/>
      <c r="AW6" s="187"/>
      <c r="AX6" s="186"/>
      <c r="AY6" s="187"/>
      <c r="AZ6" s="188" t="str">
        <f t="shared" si="0"/>
        <v>Active</v>
      </c>
      <c r="BA6" s="190"/>
    </row>
    <row r="7" spans="1:53" s="191" customFormat="1" ht="15.5" hidden="1" x14ac:dyDescent="0.35">
      <c r="A7" s="191" t="str">
        <f t="shared" si="1"/>
        <v>2026-RH-FOX HARBORNPI</v>
      </c>
      <c r="B7" s="178" t="str">
        <f>VLOOKUP(E7,'Customer '!A:C,3,0)</f>
        <v>RH</v>
      </c>
      <c r="C7" s="178" t="s">
        <v>268</v>
      </c>
      <c r="D7" s="178" t="s">
        <v>290</v>
      </c>
      <c r="E7" s="179" t="s">
        <v>61</v>
      </c>
      <c r="F7" s="179" t="str">
        <f>VLOOKUP(E7,'Customer '!A:B,2,0)</f>
        <v>RH</v>
      </c>
      <c r="G7" s="178" t="s">
        <v>103</v>
      </c>
      <c r="H7" s="178" t="str">
        <f t="shared" si="2"/>
        <v>2026-RH-FOX HARBOR</v>
      </c>
      <c r="I7" s="178">
        <v>1</v>
      </c>
      <c r="J7" s="180" t="s">
        <v>272</v>
      </c>
      <c r="K7" s="181" t="s">
        <v>291</v>
      </c>
      <c r="L7" s="180" t="s">
        <v>274</v>
      </c>
      <c r="M7" s="182">
        <v>45917</v>
      </c>
      <c r="N7" s="183" t="s">
        <v>292</v>
      </c>
      <c r="O7" s="181"/>
      <c r="P7" s="183" t="e">
        <f>VLOOKUP(E7,'Customer '!A:D,4,0)</f>
        <v>#N/A</v>
      </c>
      <c r="Q7" s="178" t="s">
        <v>152</v>
      </c>
      <c r="R7" s="178" t="s">
        <v>293</v>
      </c>
      <c r="S7" s="178">
        <v>26</v>
      </c>
      <c r="T7" s="192">
        <v>30383.550000000003</v>
      </c>
      <c r="U7" s="192">
        <v>30383.550000000003</v>
      </c>
      <c r="V7" s="184" t="s">
        <v>294</v>
      </c>
      <c r="W7" s="185">
        <v>2026</v>
      </c>
      <c r="X7" s="183" t="s">
        <v>292</v>
      </c>
      <c r="Y7" s="183"/>
      <c r="Z7" s="183" t="s">
        <v>864</v>
      </c>
      <c r="AA7" s="183"/>
      <c r="AB7" s="183"/>
      <c r="AC7" s="183"/>
      <c r="AD7" s="180" t="s">
        <v>56</v>
      </c>
      <c r="AE7" s="181"/>
      <c r="AF7" s="180" t="s">
        <v>56</v>
      </c>
      <c r="AG7" s="181"/>
      <c r="AH7" s="180" t="s">
        <v>73</v>
      </c>
      <c r="AI7" s="181"/>
      <c r="AJ7" s="180" t="s">
        <v>56</v>
      </c>
      <c r="AK7" s="181"/>
      <c r="AL7" s="180" t="s">
        <v>73</v>
      </c>
      <c r="AM7" s="181"/>
      <c r="AN7" s="180" t="s">
        <v>73</v>
      </c>
      <c r="AO7" s="181"/>
      <c r="AP7" s="180" t="s">
        <v>57</v>
      </c>
      <c r="AQ7" s="181"/>
      <c r="AR7" s="186"/>
      <c r="AS7" s="187"/>
      <c r="AT7" s="186"/>
      <c r="AU7" s="187"/>
      <c r="AV7" s="186"/>
      <c r="AW7" s="187"/>
      <c r="AX7" s="186"/>
      <c r="AY7" s="187"/>
      <c r="AZ7" s="188" t="str">
        <f t="shared" si="0"/>
        <v>Complete</v>
      </c>
      <c r="BA7" s="190"/>
    </row>
    <row r="8" spans="1:53" s="191" customFormat="1" ht="15.5" hidden="1" x14ac:dyDescent="0.35">
      <c r="A8" s="191" t="str">
        <f t="shared" si="1"/>
        <v>2026-RH-RH CASSIA CONDONPI</v>
      </c>
      <c r="B8" s="178" t="str">
        <f>VLOOKUP(E8,'Customer '!A:C,3,0)</f>
        <v>RH</v>
      </c>
      <c r="C8" s="178" t="s">
        <v>268</v>
      </c>
      <c r="D8" s="178" t="s">
        <v>290</v>
      </c>
      <c r="E8" s="179" t="s">
        <v>61</v>
      </c>
      <c r="F8" s="179" t="str">
        <f>VLOOKUP(E8,'Customer '!A:B,2,0)</f>
        <v>RH</v>
      </c>
      <c r="G8" s="178" t="s">
        <v>155</v>
      </c>
      <c r="H8" s="178" t="str">
        <f t="shared" si="2"/>
        <v>2026-RH-RH CASSIA CONDO</v>
      </c>
      <c r="I8" s="178">
        <v>1</v>
      </c>
      <c r="J8" s="180" t="s">
        <v>309</v>
      </c>
      <c r="K8" s="181" t="s">
        <v>273</v>
      </c>
      <c r="L8" s="180" t="s">
        <v>333</v>
      </c>
      <c r="M8" s="182">
        <v>46020</v>
      </c>
      <c r="N8" s="183">
        <v>46101</v>
      </c>
      <c r="O8" s="181"/>
      <c r="P8" s="183" t="e">
        <f>VLOOKUP(E8,'Customer '!A:D,4,0)</f>
        <v>#N/A</v>
      </c>
      <c r="Q8" s="178" t="s">
        <v>51</v>
      </c>
      <c r="R8" s="178" t="s">
        <v>295</v>
      </c>
      <c r="S8" s="178">
        <v>50</v>
      </c>
      <c r="T8" s="192">
        <v>1161167</v>
      </c>
      <c r="U8" s="192">
        <v>271553</v>
      </c>
      <c r="V8" s="184" t="s">
        <v>281</v>
      </c>
      <c r="W8" s="185">
        <v>2026</v>
      </c>
      <c r="X8" s="183" t="s">
        <v>865</v>
      </c>
      <c r="Y8" s="183"/>
      <c r="Z8" s="183" t="s">
        <v>866</v>
      </c>
      <c r="AA8" s="183"/>
      <c r="AB8" s="183" t="s">
        <v>404</v>
      </c>
      <c r="AC8" s="183" t="s">
        <v>863</v>
      </c>
      <c r="AD8" s="180" t="s">
        <v>56</v>
      </c>
      <c r="AE8" s="181"/>
      <c r="AF8" s="180" t="s">
        <v>56</v>
      </c>
      <c r="AG8" s="181"/>
      <c r="AH8" s="180" t="s">
        <v>73</v>
      </c>
      <c r="AI8" s="181"/>
      <c r="AJ8" s="180" t="s">
        <v>56</v>
      </c>
      <c r="AK8" s="181"/>
      <c r="AL8" s="180" t="s">
        <v>73</v>
      </c>
      <c r="AM8" s="181"/>
      <c r="AN8" s="180" t="s">
        <v>73</v>
      </c>
      <c r="AO8" s="181"/>
      <c r="AP8" s="180" t="s">
        <v>57</v>
      </c>
      <c r="AQ8" s="181"/>
      <c r="AR8" s="186"/>
      <c r="AS8" s="187"/>
      <c r="AT8" s="186"/>
      <c r="AU8" s="187"/>
      <c r="AV8" s="186"/>
      <c r="AW8" s="187"/>
      <c r="AX8" s="186"/>
      <c r="AY8" s="187"/>
      <c r="AZ8" s="188" t="str">
        <f t="shared" si="0"/>
        <v>Active</v>
      </c>
      <c r="BA8" s="190"/>
    </row>
    <row r="9" spans="1:53" s="191" customFormat="1" ht="15.5" hidden="1" x14ac:dyDescent="0.35">
      <c r="A9" s="191" t="str">
        <f t="shared" si="1"/>
        <v>2026-RH-RH CASSIA CONDONPI</v>
      </c>
      <c r="B9" s="178" t="str">
        <f>VLOOKUP(E9,'Customer '!A:C,3,0)</f>
        <v>RH</v>
      </c>
      <c r="C9" s="178" t="s">
        <v>268</v>
      </c>
      <c r="D9" s="178" t="s">
        <v>290</v>
      </c>
      <c r="E9" s="179" t="s">
        <v>61</v>
      </c>
      <c r="F9" s="179" t="str">
        <f>VLOOKUP(E9,'Customer '!A:B,2,0)</f>
        <v>RH</v>
      </c>
      <c r="G9" s="178" t="s">
        <v>155</v>
      </c>
      <c r="H9" s="178" t="str">
        <f t="shared" si="2"/>
        <v>2026-RH-RH CASSIA CONDO</v>
      </c>
      <c r="I9" s="178">
        <v>0</v>
      </c>
      <c r="J9" s="180" t="s">
        <v>309</v>
      </c>
      <c r="K9" s="181" t="s">
        <v>273</v>
      </c>
      <c r="L9" s="180" t="s">
        <v>333</v>
      </c>
      <c r="M9" s="182">
        <v>46020</v>
      </c>
      <c r="N9" s="183">
        <v>46101</v>
      </c>
      <c r="O9" s="178"/>
      <c r="P9" s="183" t="e">
        <f>VLOOKUP(E9,'Customer '!A:D,4,0)</f>
        <v>#N/A</v>
      </c>
      <c r="Q9" s="178" t="s">
        <v>51</v>
      </c>
      <c r="R9" s="178" t="s">
        <v>295</v>
      </c>
      <c r="S9" s="178">
        <v>50</v>
      </c>
      <c r="T9" s="192">
        <v>1161167</v>
      </c>
      <c r="U9" s="192">
        <v>668951</v>
      </c>
      <c r="V9" s="184" t="s">
        <v>282</v>
      </c>
      <c r="W9" s="185">
        <v>2026</v>
      </c>
      <c r="X9" s="183" t="s">
        <v>865</v>
      </c>
      <c r="Y9" s="183"/>
      <c r="Z9" s="183" t="s">
        <v>866</v>
      </c>
      <c r="AA9" s="183"/>
      <c r="AB9" s="183" t="s">
        <v>404</v>
      </c>
      <c r="AC9" s="183" t="s">
        <v>863</v>
      </c>
      <c r="AD9" s="180" t="s">
        <v>56</v>
      </c>
      <c r="AE9" s="181"/>
      <c r="AF9" s="180" t="s">
        <v>56</v>
      </c>
      <c r="AG9" s="181"/>
      <c r="AH9" s="180" t="s">
        <v>73</v>
      </c>
      <c r="AI9" s="181"/>
      <c r="AJ9" s="180" t="s">
        <v>56</v>
      </c>
      <c r="AK9" s="181"/>
      <c r="AL9" s="180" t="s">
        <v>73</v>
      </c>
      <c r="AM9" s="181"/>
      <c r="AN9" s="180" t="s">
        <v>73</v>
      </c>
      <c r="AO9" s="181"/>
      <c r="AP9" s="180" t="s">
        <v>57</v>
      </c>
      <c r="AQ9" s="213"/>
      <c r="AR9" s="186"/>
      <c r="AS9" s="187"/>
      <c r="AT9" s="186"/>
      <c r="AU9" s="187"/>
      <c r="AV9" s="186"/>
      <c r="AW9" s="187"/>
      <c r="AX9" s="186"/>
      <c r="AY9" s="187"/>
      <c r="AZ9" s="188" t="str">
        <f t="shared" si="0"/>
        <v>Active</v>
      </c>
      <c r="BA9" s="190"/>
    </row>
    <row r="10" spans="1:53" s="191" customFormat="1" ht="15.5" hidden="1" x14ac:dyDescent="0.35">
      <c r="A10" s="191" t="str">
        <f t="shared" si="1"/>
        <v>2026-RH-RH CASSIA CONDONPI</v>
      </c>
      <c r="B10" s="178" t="str">
        <f>VLOOKUP(E10,'Customer '!A:C,3,0)</f>
        <v>RH</v>
      </c>
      <c r="C10" s="178" t="s">
        <v>268</v>
      </c>
      <c r="D10" s="178" t="s">
        <v>290</v>
      </c>
      <c r="E10" s="179" t="s">
        <v>61</v>
      </c>
      <c r="F10" s="179" t="str">
        <f>VLOOKUP(E10,'Customer '!A:B,2,0)</f>
        <v>RH</v>
      </c>
      <c r="G10" s="178" t="s">
        <v>155</v>
      </c>
      <c r="H10" s="178" t="str">
        <f t="shared" si="2"/>
        <v>2026-RH-RH CASSIA CONDO</v>
      </c>
      <c r="I10" s="178">
        <v>0</v>
      </c>
      <c r="J10" s="180" t="s">
        <v>309</v>
      </c>
      <c r="K10" s="181" t="s">
        <v>273</v>
      </c>
      <c r="L10" s="180" t="s">
        <v>333</v>
      </c>
      <c r="M10" s="182">
        <v>46020</v>
      </c>
      <c r="N10" s="183">
        <v>46101</v>
      </c>
      <c r="O10" s="183"/>
      <c r="P10" s="183" t="e">
        <f>VLOOKUP(E10,'Customer '!A:D,4,0)</f>
        <v>#N/A</v>
      </c>
      <c r="Q10" s="178" t="s">
        <v>51</v>
      </c>
      <c r="R10" s="178" t="s">
        <v>295</v>
      </c>
      <c r="S10" s="178">
        <v>50</v>
      </c>
      <c r="T10" s="192">
        <v>1161167</v>
      </c>
      <c r="U10" s="192">
        <v>220663</v>
      </c>
      <c r="V10" s="184" t="s">
        <v>282</v>
      </c>
      <c r="W10" s="185">
        <v>2026</v>
      </c>
      <c r="X10" s="183" t="s">
        <v>865</v>
      </c>
      <c r="Y10" s="183"/>
      <c r="Z10" s="183" t="s">
        <v>866</v>
      </c>
      <c r="AA10" s="183"/>
      <c r="AB10" s="183" t="s">
        <v>404</v>
      </c>
      <c r="AC10" s="183" t="s">
        <v>863</v>
      </c>
      <c r="AD10" s="180" t="s">
        <v>56</v>
      </c>
      <c r="AE10" s="181"/>
      <c r="AF10" s="180" t="s">
        <v>56</v>
      </c>
      <c r="AG10" s="181"/>
      <c r="AH10" s="180" t="s">
        <v>73</v>
      </c>
      <c r="AI10" s="181"/>
      <c r="AJ10" s="180" t="s">
        <v>56</v>
      </c>
      <c r="AK10" s="181"/>
      <c r="AL10" s="180" t="s">
        <v>73</v>
      </c>
      <c r="AM10" s="181"/>
      <c r="AN10" s="180" t="s">
        <v>73</v>
      </c>
      <c r="AO10" s="181"/>
      <c r="AP10" s="180" t="s">
        <v>57</v>
      </c>
      <c r="AQ10" s="181"/>
      <c r="AR10" s="186"/>
      <c r="AS10" s="187"/>
      <c r="AT10" s="186"/>
      <c r="AU10" s="187"/>
      <c r="AV10" s="186"/>
      <c r="AW10" s="187"/>
      <c r="AX10" s="186"/>
      <c r="AY10" s="187"/>
      <c r="AZ10" s="188" t="str">
        <f t="shared" si="0"/>
        <v>Active</v>
      </c>
      <c r="BA10" s="190"/>
    </row>
    <row r="11" spans="1:53" s="191" customFormat="1" ht="15.5" x14ac:dyDescent="0.35">
      <c r="A11" s="191" t="str">
        <f t="shared" si="1"/>
        <v>2026-RH-MAIN STREET BOUTIQUE HOTELNPI</v>
      </c>
      <c r="B11" s="178" t="str">
        <f>VLOOKUP(E11,'Customer '!A:C,3,0)</f>
        <v>RH</v>
      </c>
      <c r="C11" s="178" t="s">
        <v>268</v>
      </c>
      <c r="D11" s="178" t="s">
        <v>298</v>
      </c>
      <c r="E11" s="179" t="s">
        <v>61</v>
      </c>
      <c r="F11" s="179" t="str">
        <f>VLOOKUP(E11,'Customer '!A:B,2,0)</f>
        <v>RH</v>
      </c>
      <c r="G11" s="178" t="s">
        <v>299</v>
      </c>
      <c r="H11" s="178" t="str">
        <f t="shared" si="2"/>
        <v>2026-RH-MAIN STREET BOUTIQUE HOTEL</v>
      </c>
      <c r="I11" s="178">
        <v>1</v>
      </c>
      <c r="J11" s="180" t="s">
        <v>272</v>
      </c>
      <c r="K11" s="181" t="s">
        <v>273</v>
      </c>
      <c r="L11" s="180" t="s">
        <v>274</v>
      </c>
      <c r="M11" s="182">
        <v>45953</v>
      </c>
      <c r="N11" s="183">
        <v>45964</v>
      </c>
      <c r="O11" s="181"/>
      <c r="P11" s="183" t="e">
        <f>VLOOKUP(E11,'Customer '!A:D,4,0)</f>
        <v>#N/A</v>
      </c>
      <c r="Q11" s="178" t="s">
        <v>51</v>
      </c>
      <c r="R11" s="178" t="s">
        <v>152</v>
      </c>
      <c r="S11" s="178">
        <v>9</v>
      </c>
      <c r="T11" s="192">
        <v>54061.599999999991</v>
      </c>
      <c r="U11" s="192">
        <v>54061.599999999991</v>
      </c>
      <c r="V11" s="184" t="s">
        <v>294</v>
      </c>
      <c r="W11" s="185">
        <v>2026</v>
      </c>
      <c r="X11" s="183" t="s">
        <v>292</v>
      </c>
      <c r="Y11" s="183"/>
      <c r="Z11" s="183" t="s">
        <v>867</v>
      </c>
      <c r="AA11" s="183"/>
      <c r="AB11" s="183"/>
      <c r="AC11" s="183"/>
      <c r="AD11" s="180" t="s">
        <v>56</v>
      </c>
      <c r="AE11" s="181"/>
      <c r="AF11" s="180" t="s">
        <v>56</v>
      </c>
      <c r="AG11" s="181"/>
      <c r="AH11" s="180" t="s">
        <v>73</v>
      </c>
      <c r="AI11" s="181"/>
      <c r="AJ11" s="180" t="s">
        <v>56</v>
      </c>
      <c r="AK11" s="181"/>
      <c r="AL11" s="180" t="s">
        <v>56</v>
      </c>
      <c r="AM11" s="181"/>
      <c r="AN11" s="180" t="s">
        <v>56</v>
      </c>
      <c r="AO11" s="181"/>
      <c r="AP11" s="180" t="s">
        <v>57</v>
      </c>
      <c r="AQ11" s="181"/>
      <c r="AR11" s="186"/>
      <c r="AS11" s="187"/>
      <c r="AT11" s="186"/>
      <c r="AU11" s="187"/>
      <c r="AV11" s="186"/>
      <c r="AW11" s="187"/>
      <c r="AX11" s="186"/>
      <c r="AY11" s="187"/>
      <c r="AZ11" s="188" t="str">
        <f t="shared" si="0"/>
        <v>Complete</v>
      </c>
      <c r="BA11" s="190"/>
    </row>
    <row r="12" spans="1:53" s="191" customFormat="1" ht="15.5" x14ac:dyDescent="0.35">
      <c r="A12" s="191" t="str">
        <f t="shared" si="1"/>
        <v>2026-RH-CHICAGO PENDRYNPI</v>
      </c>
      <c r="B12" s="178" t="str">
        <f>VLOOKUP(E12,'Customer '!A:C,3,0)</f>
        <v>RH</v>
      </c>
      <c r="C12" s="178" t="s">
        <v>268</v>
      </c>
      <c r="D12" s="178" t="s">
        <v>298</v>
      </c>
      <c r="E12" s="179" t="s">
        <v>61</v>
      </c>
      <c r="F12" s="179" t="str">
        <f>VLOOKUP(E12,'Customer '!A:B,2,0)</f>
        <v>RH</v>
      </c>
      <c r="G12" s="178" t="s">
        <v>70</v>
      </c>
      <c r="H12" s="178" t="str">
        <f t="shared" si="2"/>
        <v>2026-RH-CHICAGO PENDRY</v>
      </c>
      <c r="I12" s="178">
        <v>1</v>
      </c>
      <c r="J12" s="180" t="s">
        <v>300</v>
      </c>
      <c r="K12" s="181" t="s">
        <v>273</v>
      </c>
      <c r="L12" s="180" t="s">
        <v>868</v>
      </c>
      <c r="M12" s="182">
        <v>45828</v>
      </c>
      <c r="N12" s="183"/>
      <c r="O12" s="181"/>
      <c r="P12" s="183" t="e">
        <f>VLOOKUP(E12,'Customer '!A:D,4,0)</f>
        <v>#N/A</v>
      </c>
      <c r="Q12" s="178" t="s">
        <v>51</v>
      </c>
      <c r="R12" s="178" t="s">
        <v>302</v>
      </c>
      <c r="S12" s="178">
        <v>2</v>
      </c>
      <c r="T12" s="192">
        <v>135705</v>
      </c>
      <c r="U12" s="192">
        <v>135705</v>
      </c>
      <c r="V12" s="184" t="s">
        <v>303</v>
      </c>
      <c r="W12" s="185">
        <v>2026</v>
      </c>
      <c r="X12" s="183" t="s">
        <v>292</v>
      </c>
      <c r="Y12" s="183"/>
      <c r="Z12" s="183"/>
      <c r="AA12" s="183"/>
      <c r="AB12" s="183"/>
      <c r="AC12" s="183"/>
      <c r="AD12" s="180" t="s">
        <v>304</v>
      </c>
      <c r="AE12" s="181"/>
      <c r="AF12" s="180"/>
      <c r="AG12" s="181"/>
      <c r="AH12" s="180"/>
      <c r="AI12" s="181"/>
      <c r="AJ12" s="180"/>
      <c r="AK12" s="181"/>
      <c r="AL12" s="180"/>
      <c r="AM12" s="181"/>
      <c r="AN12" s="180"/>
      <c r="AO12" s="181"/>
      <c r="AP12" s="180"/>
      <c r="AQ12" s="181"/>
      <c r="AR12" s="186"/>
      <c r="AS12" s="187"/>
      <c r="AT12" s="186"/>
      <c r="AU12" s="187"/>
      <c r="AV12" s="186"/>
      <c r="AW12" s="187"/>
      <c r="AX12" s="186"/>
      <c r="AY12" s="187"/>
      <c r="AZ12" s="188" t="str">
        <f t="shared" si="0"/>
        <v>Active</v>
      </c>
      <c r="BA12" s="190"/>
    </row>
    <row r="13" spans="1:53" s="191" customFormat="1" ht="15.5" x14ac:dyDescent="0.35">
      <c r="A13" s="191" t="str">
        <f t="shared" si="1"/>
        <v>2026-RH-CIA O&amp;O GUESTROOMSNPI</v>
      </c>
      <c r="B13" s="178" t="str">
        <f>VLOOKUP(E13,'Customer '!A:C,3,0)</f>
        <v>RH</v>
      </c>
      <c r="C13" s="178" t="s">
        <v>268</v>
      </c>
      <c r="D13" s="178" t="s">
        <v>298</v>
      </c>
      <c r="E13" s="179" t="s">
        <v>61</v>
      </c>
      <c r="F13" s="179" t="str">
        <f>VLOOKUP(E13,'Customer '!A:B,2,0)</f>
        <v>RH</v>
      </c>
      <c r="G13" s="178" t="s">
        <v>74</v>
      </c>
      <c r="H13" s="178" t="str">
        <f t="shared" si="2"/>
        <v>2026-RH-CIA O&amp;O GUESTROOMS</v>
      </c>
      <c r="I13" s="178">
        <v>1</v>
      </c>
      <c r="J13" s="180" t="s">
        <v>284</v>
      </c>
      <c r="K13" s="181" t="s">
        <v>273</v>
      </c>
      <c r="L13" s="180" t="s">
        <v>317</v>
      </c>
      <c r="M13" s="182">
        <v>45980</v>
      </c>
      <c r="N13" s="183">
        <v>46112</v>
      </c>
      <c r="O13" s="181"/>
      <c r="P13" s="183" t="e">
        <f>VLOOKUP(E13,'Customer '!A:D,4,0)</f>
        <v>#N/A</v>
      </c>
      <c r="Q13" s="178" t="s">
        <v>51</v>
      </c>
      <c r="R13" s="178" t="s">
        <v>152</v>
      </c>
      <c r="S13" s="178">
        <v>12</v>
      </c>
      <c r="T13" s="184">
        <v>144368.60999999999</v>
      </c>
      <c r="U13" s="184">
        <v>144368.60999999999</v>
      </c>
      <c r="V13" s="184" t="s">
        <v>311</v>
      </c>
      <c r="W13" s="185">
        <v>2026</v>
      </c>
      <c r="X13" s="183" t="s">
        <v>292</v>
      </c>
      <c r="Y13" s="183"/>
      <c r="Z13" s="183"/>
      <c r="AA13" s="183"/>
      <c r="AB13" s="183"/>
      <c r="AC13" s="183"/>
      <c r="AD13" s="180" t="s">
        <v>342</v>
      </c>
      <c r="AE13" s="181"/>
      <c r="AF13" s="180" t="s">
        <v>342</v>
      </c>
      <c r="AG13" s="181"/>
      <c r="AH13" s="180" t="s">
        <v>342</v>
      </c>
      <c r="AI13" s="181"/>
      <c r="AJ13" s="180" t="s">
        <v>342</v>
      </c>
      <c r="AK13" s="181"/>
      <c r="AL13" s="180" t="s">
        <v>342</v>
      </c>
      <c r="AM13" s="181"/>
      <c r="AN13" s="180" t="s">
        <v>73</v>
      </c>
      <c r="AO13" s="181"/>
      <c r="AP13" s="180" t="s">
        <v>342</v>
      </c>
      <c r="AQ13" s="181"/>
      <c r="AR13" s="186"/>
      <c r="AS13" s="187"/>
      <c r="AT13" s="186"/>
      <c r="AU13" s="187"/>
      <c r="AV13" s="186"/>
      <c r="AW13" s="187"/>
      <c r="AX13" s="186"/>
      <c r="AY13" s="187"/>
      <c r="AZ13" s="188" t="str">
        <f t="shared" si="0"/>
        <v>Active</v>
      </c>
      <c r="BA13" s="190"/>
    </row>
    <row r="14" spans="1:53" s="191" customFormat="1" ht="15.5" hidden="1" x14ac:dyDescent="0.35">
      <c r="A14" s="191" t="str">
        <f t="shared" si="1"/>
        <v>2026-RH-HA STUDIO PICO/WILKINSNPI</v>
      </c>
      <c r="B14" s="178" t="str">
        <f>VLOOKUP(E14,'Customer '!A:C,3,0)</f>
        <v>RH</v>
      </c>
      <c r="C14" s="178" t="s">
        <v>268</v>
      </c>
      <c r="D14" s="178" t="s">
        <v>306</v>
      </c>
      <c r="E14" s="179" t="s">
        <v>61</v>
      </c>
      <c r="F14" s="179" t="str">
        <f>VLOOKUP(E14,'Customer '!A:B,2,0)</f>
        <v>RH</v>
      </c>
      <c r="G14" s="178" t="s">
        <v>307</v>
      </c>
      <c r="H14" s="178" t="str">
        <f t="shared" si="2"/>
        <v>2026-RH-HA STUDIO PICO/WILKINS</v>
      </c>
      <c r="I14" s="178">
        <v>1</v>
      </c>
      <c r="J14" s="180" t="s">
        <v>309</v>
      </c>
      <c r="K14" s="181" t="s">
        <v>273</v>
      </c>
      <c r="L14" s="180" t="s">
        <v>310</v>
      </c>
      <c r="M14" s="182">
        <v>46027</v>
      </c>
      <c r="N14" s="183">
        <v>46048</v>
      </c>
      <c r="O14" s="181"/>
      <c r="P14" s="183" t="e">
        <f>VLOOKUP(E14,'Customer '!A:D,4,0)</f>
        <v>#N/A</v>
      </c>
      <c r="Q14" s="178" t="s">
        <v>51</v>
      </c>
      <c r="R14" s="178" t="s">
        <v>152</v>
      </c>
      <c r="S14" s="178">
        <v>1</v>
      </c>
      <c r="T14" s="184">
        <v>12309</v>
      </c>
      <c r="U14" s="184">
        <v>12309</v>
      </c>
      <c r="V14" s="184" t="s">
        <v>280</v>
      </c>
      <c r="W14" s="185">
        <v>2026</v>
      </c>
      <c r="X14" s="183">
        <v>46171</v>
      </c>
      <c r="Y14" s="183"/>
      <c r="Z14" s="183" t="s">
        <v>869</v>
      </c>
      <c r="AA14" s="183"/>
      <c r="AB14" s="183"/>
      <c r="AC14" s="183"/>
      <c r="AD14" s="180" t="s">
        <v>56</v>
      </c>
      <c r="AE14" s="181"/>
      <c r="AF14" s="180" t="s">
        <v>56</v>
      </c>
      <c r="AG14" s="181"/>
      <c r="AH14" s="180" t="s">
        <v>73</v>
      </c>
      <c r="AI14" s="181"/>
      <c r="AJ14" s="180" t="s">
        <v>56</v>
      </c>
      <c r="AK14" s="181"/>
      <c r="AL14" s="180" t="s">
        <v>73</v>
      </c>
      <c r="AM14" s="181"/>
      <c r="AN14" s="180" t="s">
        <v>73</v>
      </c>
      <c r="AO14" s="181"/>
      <c r="AP14" s="180" t="s">
        <v>73</v>
      </c>
      <c r="AQ14" s="181"/>
      <c r="AR14" s="186"/>
      <c r="AS14" s="187"/>
      <c r="AT14" s="186"/>
      <c r="AU14" s="187"/>
      <c r="AV14" s="186"/>
      <c r="AW14" s="187"/>
      <c r="AX14" s="186"/>
      <c r="AY14" s="187"/>
      <c r="AZ14" s="188" t="str">
        <f t="shared" si="0"/>
        <v>Active</v>
      </c>
      <c r="BA14" s="190"/>
    </row>
    <row r="15" spans="1:53" s="191" customFormat="1" ht="15.5" hidden="1" x14ac:dyDescent="0.35">
      <c r="A15" s="191" t="str">
        <f t="shared" si="1"/>
        <v>2026-RH-NAMA LISBONNPI</v>
      </c>
      <c r="B15" s="178" t="str">
        <f>VLOOKUP(E15,'Customer '!A:C,3,0)</f>
        <v>RH</v>
      </c>
      <c r="C15" s="178" t="s">
        <v>268</v>
      </c>
      <c r="D15" s="178" t="s">
        <v>306</v>
      </c>
      <c r="E15" s="179" t="s">
        <v>61</v>
      </c>
      <c r="F15" s="179" t="str">
        <f>VLOOKUP(E15,'Customer '!A:B,2,0)</f>
        <v>RH</v>
      </c>
      <c r="G15" s="178" t="s">
        <v>146</v>
      </c>
      <c r="H15" s="178" t="str">
        <f t="shared" si="2"/>
        <v>2026-RH-NAMA LISBON</v>
      </c>
      <c r="I15" s="178">
        <v>1</v>
      </c>
      <c r="J15" s="180" t="s">
        <v>309</v>
      </c>
      <c r="K15" s="181" t="s">
        <v>273</v>
      </c>
      <c r="L15" s="180" t="s">
        <v>310</v>
      </c>
      <c r="M15" s="182">
        <v>46037</v>
      </c>
      <c r="N15" s="183">
        <v>46083</v>
      </c>
      <c r="O15" s="181"/>
      <c r="P15" s="183" t="e">
        <f>VLOOKUP(E15,'Customer '!A:D,4,0)</f>
        <v>#N/A</v>
      </c>
      <c r="Q15" s="178" t="s">
        <v>147</v>
      </c>
      <c r="R15" s="178" t="s">
        <v>313</v>
      </c>
      <c r="S15" s="178">
        <v>11</v>
      </c>
      <c r="T15" s="184">
        <v>198340.06</v>
      </c>
      <c r="U15" s="209">
        <v>198340.06</v>
      </c>
      <c r="V15" s="184" t="s">
        <v>297</v>
      </c>
      <c r="W15" s="185">
        <v>2026</v>
      </c>
      <c r="X15" s="183" t="s">
        <v>754</v>
      </c>
      <c r="Y15" s="183"/>
      <c r="Z15" s="183" t="s">
        <v>754</v>
      </c>
      <c r="AA15" s="183"/>
      <c r="AB15" s="183"/>
      <c r="AC15" s="183"/>
      <c r="AD15" s="180" t="s">
        <v>56</v>
      </c>
      <c r="AE15" s="181"/>
      <c r="AF15" s="180" t="s">
        <v>56</v>
      </c>
      <c r="AG15" s="181"/>
      <c r="AH15" s="180" t="s">
        <v>73</v>
      </c>
      <c r="AI15" s="181"/>
      <c r="AJ15" s="180" t="s">
        <v>56</v>
      </c>
      <c r="AK15" s="181"/>
      <c r="AL15" s="180" t="s">
        <v>73</v>
      </c>
      <c r="AM15" s="181"/>
      <c r="AN15" s="180" t="s">
        <v>73</v>
      </c>
      <c r="AO15" s="181"/>
      <c r="AP15" s="180" t="s">
        <v>73</v>
      </c>
      <c r="AQ15" s="181"/>
      <c r="AR15" s="186"/>
      <c r="AS15" s="187"/>
      <c r="AT15" s="186"/>
      <c r="AU15" s="187"/>
      <c r="AV15" s="186"/>
      <c r="AW15" s="187"/>
      <c r="AX15" s="186"/>
      <c r="AY15" s="187"/>
      <c r="AZ15" s="188" t="str">
        <f t="shared" si="0"/>
        <v>Active</v>
      </c>
      <c r="BA15" s="190"/>
    </row>
    <row r="16" spans="1:53" s="191" customFormat="1" ht="15.5" hidden="1" x14ac:dyDescent="0.35">
      <c r="A16" s="191" t="str">
        <f t="shared" si="1"/>
        <v>2026-RH-RANCHO VALENCIANPI</v>
      </c>
      <c r="B16" s="178" t="str">
        <f>VLOOKUP(E16,'Customer '!A:C,3,0)</f>
        <v>RH</v>
      </c>
      <c r="C16" s="178" t="s">
        <v>268</v>
      </c>
      <c r="D16" s="178" t="s">
        <v>290</v>
      </c>
      <c r="E16" s="179" t="s">
        <v>61</v>
      </c>
      <c r="F16" s="179" t="str">
        <f>VLOOKUP(E16,'Customer '!A:B,2,0)</f>
        <v>RH</v>
      </c>
      <c r="G16" s="178" t="s">
        <v>154</v>
      </c>
      <c r="H16" s="178" t="str">
        <f t="shared" si="2"/>
        <v>2026-RH-RANCHO VALENCIA</v>
      </c>
      <c r="I16" s="178">
        <v>1</v>
      </c>
      <c r="J16" s="180" t="s">
        <v>316</v>
      </c>
      <c r="K16" s="181" t="s">
        <v>273</v>
      </c>
      <c r="L16" s="180" t="s">
        <v>317</v>
      </c>
      <c r="M16" s="182">
        <v>46029</v>
      </c>
      <c r="N16" s="183" t="s">
        <v>292</v>
      </c>
      <c r="O16" s="181"/>
      <c r="P16" s="183" t="e">
        <f>VLOOKUP(E16,'Customer '!A:D,4,0)</f>
        <v>#N/A</v>
      </c>
      <c r="Q16" s="178" t="s">
        <v>51</v>
      </c>
      <c r="R16" s="178" t="s">
        <v>152</v>
      </c>
      <c r="S16" s="178">
        <v>1</v>
      </c>
      <c r="T16" s="184">
        <v>14520</v>
      </c>
      <c r="U16" s="184">
        <v>14520</v>
      </c>
      <c r="V16" s="184" t="s">
        <v>149</v>
      </c>
      <c r="W16" s="185" t="s">
        <v>149</v>
      </c>
      <c r="X16" s="183" t="s">
        <v>292</v>
      </c>
      <c r="Y16" s="183"/>
      <c r="Z16" s="183" t="s">
        <v>149</v>
      </c>
      <c r="AA16" s="183"/>
      <c r="AB16" s="183"/>
      <c r="AC16" s="183"/>
      <c r="AD16" s="180" t="s">
        <v>318</v>
      </c>
      <c r="AE16" s="181"/>
      <c r="AF16" s="180" t="s">
        <v>56</v>
      </c>
      <c r="AG16" s="181"/>
      <c r="AH16" s="180" t="s">
        <v>73</v>
      </c>
      <c r="AI16" s="181"/>
      <c r="AJ16" s="180" t="s">
        <v>73</v>
      </c>
      <c r="AK16" s="181"/>
      <c r="AL16" s="180" t="s">
        <v>73</v>
      </c>
      <c r="AM16" s="181"/>
      <c r="AN16" s="180" t="s">
        <v>73</v>
      </c>
      <c r="AO16" s="181"/>
      <c r="AP16" s="180" t="s">
        <v>57</v>
      </c>
      <c r="AQ16" s="181"/>
      <c r="AR16" s="186"/>
      <c r="AS16" s="187"/>
      <c r="AT16" s="186"/>
      <c r="AU16" s="187"/>
      <c r="AV16" s="186"/>
      <c r="AW16" s="187"/>
      <c r="AX16" s="186"/>
      <c r="AY16" s="187"/>
      <c r="AZ16" s="188" t="str">
        <f t="shared" si="0"/>
        <v>Active</v>
      </c>
      <c r="BA16" s="190"/>
    </row>
    <row r="17" spans="1:53" s="191" customFormat="1" ht="15.5" hidden="1" x14ac:dyDescent="0.35">
      <c r="A17" s="191" t="str">
        <f t="shared" si="1"/>
        <v>2026-RH-RH CONTRACT (LARA CHAIR 25)NPI</v>
      </c>
      <c r="B17" s="178" t="str">
        <f>VLOOKUP(E17,'Customer '!A:C,3,0)</f>
        <v>RH</v>
      </c>
      <c r="C17" s="178" t="s">
        <v>268</v>
      </c>
      <c r="D17" s="178" t="s">
        <v>319</v>
      </c>
      <c r="E17" s="179" t="s">
        <v>61</v>
      </c>
      <c r="F17" s="179" t="str">
        <f>VLOOKUP(E17,'Customer '!A:B,2,0)</f>
        <v>RH</v>
      </c>
      <c r="G17" s="178" t="s">
        <v>320</v>
      </c>
      <c r="H17" s="178" t="str">
        <f t="shared" si="2"/>
        <v>2026-RH-RH CONTRACT (LARA CHAIR 25)</v>
      </c>
      <c r="I17" s="178">
        <v>1</v>
      </c>
      <c r="J17" s="180" t="s">
        <v>272</v>
      </c>
      <c r="K17" s="181" t="s">
        <v>291</v>
      </c>
      <c r="L17" s="180" t="s">
        <v>274</v>
      </c>
      <c r="M17" s="182"/>
      <c r="N17" s="183">
        <v>46034</v>
      </c>
      <c r="O17" s="181"/>
      <c r="P17" s="183" t="e">
        <f>VLOOKUP(E17,'Customer '!A:D,4,0)</f>
        <v>#N/A</v>
      </c>
      <c r="Q17" s="178" t="s">
        <v>51</v>
      </c>
      <c r="R17" s="178" t="s">
        <v>152</v>
      </c>
      <c r="S17" s="178">
        <v>1</v>
      </c>
      <c r="T17" s="184">
        <v>4200</v>
      </c>
      <c r="U17" s="184">
        <v>4200</v>
      </c>
      <c r="V17" s="184" t="s">
        <v>321</v>
      </c>
      <c r="W17" s="185">
        <v>2026</v>
      </c>
      <c r="X17" s="183" t="s">
        <v>322</v>
      </c>
      <c r="Y17" s="183"/>
      <c r="Z17" s="183" t="s">
        <v>322</v>
      </c>
      <c r="AA17" s="183"/>
      <c r="AB17" s="183"/>
      <c r="AC17" s="183"/>
      <c r="AD17" s="180" t="s">
        <v>56</v>
      </c>
      <c r="AE17" s="181"/>
      <c r="AF17" s="180" t="s">
        <v>56</v>
      </c>
      <c r="AG17" s="181"/>
      <c r="AH17" s="180" t="s">
        <v>73</v>
      </c>
      <c r="AI17" s="181"/>
      <c r="AJ17" s="180" t="s">
        <v>73</v>
      </c>
      <c r="AK17" s="181"/>
      <c r="AL17" s="180" t="s">
        <v>73</v>
      </c>
      <c r="AM17" s="181"/>
      <c r="AN17" s="180" t="s">
        <v>73</v>
      </c>
      <c r="AO17" s="181"/>
      <c r="AP17" s="180" t="s">
        <v>57</v>
      </c>
      <c r="AQ17" s="181"/>
      <c r="AR17" s="186"/>
      <c r="AS17" s="187"/>
      <c r="AT17" s="186"/>
      <c r="AU17" s="187"/>
      <c r="AV17" s="186"/>
      <c r="AW17" s="187"/>
      <c r="AX17" s="186"/>
      <c r="AY17" s="187"/>
      <c r="AZ17" s="188" t="str">
        <f t="shared" si="0"/>
        <v>Complete</v>
      </c>
      <c r="BA17" s="190"/>
    </row>
    <row r="18" spans="1:53" s="191" customFormat="1" ht="15.5" hidden="1" x14ac:dyDescent="0.35">
      <c r="A18" s="191" t="str">
        <f t="shared" si="1"/>
        <v>2026-RH-TRUMP NYCNPD</v>
      </c>
      <c r="B18" s="178" t="str">
        <f>VLOOKUP(E18,'Customer '!A:C,3,0)</f>
        <v>RH</v>
      </c>
      <c r="C18" s="178" t="s">
        <v>323</v>
      </c>
      <c r="D18" s="178" t="s">
        <v>290</v>
      </c>
      <c r="E18" s="179" t="s">
        <v>61</v>
      </c>
      <c r="F18" s="179" t="str">
        <f>VLOOKUP(E18,'Customer '!A:B,2,0)</f>
        <v>RH</v>
      </c>
      <c r="G18" s="178" t="s">
        <v>870</v>
      </c>
      <c r="H18" s="178" t="str">
        <f t="shared" si="2"/>
        <v>2026-RH-TRUMP NYC</v>
      </c>
      <c r="I18" s="178">
        <v>1</v>
      </c>
      <c r="J18" s="180" t="s">
        <v>477</v>
      </c>
      <c r="K18" s="181" t="s">
        <v>273</v>
      </c>
      <c r="L18" s="180" t="s">
        <v>372</v>
      </c>
      <c r="M18" s="182">
        <v>45831</v>
      </c>
      <c r="N18" s="183">
        <v>46078</v>
      </c>
      <c r="O18" s="181"/>
      <c r="P18" s="183" t="e">
        <f>VLOOKUP(E18,'Customer '!A:D,4,0)</f>
        <v>#N/A</v>
      </c>
      <c r="Q18" s="178" t="s">
        <v>51</v>
      </c>
      <c r="R18" s="178" t="s">
        <v>325</v>
      </c>
      <c r="S18" s="178">
        <v>1</v>
      </c>
      <c r="T18" s="184">
        <v>1234.8599999999999</v>
      </c>
      <c r="U18" s="184">
        <v>1234.8599999999999</v>
      </c>
      <c r="V18" s="184" t="s">
        <v>277</v>
      </c>
      <c r="W18" s="185">
        <v>2026</v>
      </c>
      <c r="X18" s="183">
        <v>46179</v>
      </c>
      <c r="Y18" s="183"/>
      <c r="Z18" s="183" t="s">
        <v>871</v>
      </c>
      <c r="AA18" s="183"/>
      <c r="AB18" s="183"/>
      <c r="AC18" s="183"/>
      <c r="AD18" s="180" t="s">
        <v>56</v>
      </c>
      <c r="AE18" s="181"/>
      <c r="AF18" s="180" t="s">
        <v>56</v>
      </c>
      <c r="AG18" s="181"/>
      <c r="AH18" s="180" t="s">
        <v>73</v>
      </c>
      <c r="AI18" s="181"/>
      <c r="AJ18" s="180" t="s">
        <v>56</v>
      </c>
      <c r="AK18" s="181"/>
      <c r="AL18" s="180" t="s">
        <v>73</v>
      </c>
      <c r="AM18" s="181"/>
      <c r="AN18" s="180" t="s">
        <v>73</v>
      </c>
      <c r="AO18" s="181"/>
      <c r="AP18" s="180" t="s">
        <v>73</v>
      </c>
      <c r="AQ18" s="181"/>
      <c r="AR18" s="186"/>
      <c r="AS18" s="187"/>
      <c r="AT18" s="186"/>
      <c r="AU18" s="187"/>
      <c r="AV18" s="186"/>
      <c r="AW18" s="187"/>
      <c r="AX18" s="186"/>
      <c r="AY18" s="187"/>
      <c r="AZ18" s="188" t="str">
        <f t="shared" si="0"/>
        <v>Active</v>
      </c>
      <c r="BA18" s="190"/>
    </row>
    <row r="19" spans="1:53" s="191" customFormat="1" ht="15.5" hidden="1" x14ac:dyDescent="0.35">
      <c r="A19" s="191" t="str">
        <f t="shared" si="1"/>
        <v>2026-RH-TRUMP DORALNPI</v>
      </c>
      <c r="B19" s="178" t="str">
        <f>VLOOKUP(E19,'Customer '!A:C,3,0)</f>
        <v>RH</v>
      </c>
      <c r="C19" s="178" t="s">
        <v>268</v>
      </c>
      <c r="D19" s="178" t="s">
        <v>290</v>
      </c>
      <c r="E19" s="179" t="s">
        <v>61</v>
      </c>
      <c r="F19" s="179" t="str">
        <f>VLOOKUP(E19,'Customer '!A:B,2,0)</f>
        <v>RH</v>
      </c>
      <c r="G19" s="178" t="s">
        <v>326</v>
      </c>
      <c r="H19" s="178" t="str">
        <f t="shared" si="2"/>
        <v>2026-RH-TRUMP DORAL</v>
      </c>
      <c r="I19" s="178">
        <v>1</v>
      </c>
      <c r="J19" s="180" t="s">
        <v>309</v>
      </c>
      <c r="K19" s="181" t="s">
        <v>291</v>
      </c>
      <c r="L19" s="180" t="s">
        <v>372</v>
      </c>
      <c r="M19" s="182">
        <v>45597</v>
      </c>
      <c r="N19" s="183">
        <v>46120</v>
      </c>
      <c r="O19" s="181"/>
      <c r="P19" s="183" t="e">
        <f>VLOOKUP(E19,'Customer '!A:D,4,0)</f>
        <v>#N/A</v>
      </c>
      <c r="Q19" s="178" t="s">
        <v>51</v>
      </c>
      <c r="R19" s="178" t="s">
        <v>295</v>
      </c>
      <c r="S19" s="178">
        <v>1</v>
      </c>
      <c r="T19" s="184">
        <v>1376</v>
      </c>
      <c r="U19" s="184">
        <v>1376</v>
      </c>
      <c r="V19" s="184" t="s">
        <v>277</v>
      </c>
      <c r="W19" s="185">
        <v>2026</v>
      </c>
      <c r="X19" s="183">
        <v>46179</v>
      </c>
      <c r="Y19" s="183"/>
      <c r="Z19" s="183" t="s">
        <v>871</v>
      </c>
      <c r="AA19" s="183"/>
      <c r="AB19" s="183"/>
      <c r="AC19" s="183"/>
      <c r="AD19" s="180" t="s">
        <v>56</v>
      </c>
      <c r="AE19" s="181"/>
      <c r="AF19" s="180" t="s">
        <v>56</v>
      </c>
      <c r="AG19" s="181"/>
      <c r="AH19" s="180" t="s">
        <v>73</v>
      </c>
      <c r="AI19" s="181"/>
      <c r="AJ19" s="180" t="s">
        <v>56</v>
      </c>
      <c r="AK19" s="181"/>
      <c r="AL19" s="180" t="s">
        <v>73</v>
      </c>
      <c r="AM19" s="181"/>
      <c r="AN19" s="180" t="s">
        <v>73</v>
      </c>
      <c r="AO19" s="181"/>
      <c r="AP19" s="180" t="s">
        <v>57</v>
      </c>
      <c r="AQ19" s="181"/>
      <c r="AR19" s="186"/>
      <c r="AS19" s="187"/>
      <c r="AT19" s="186"/>
      <c r="AU19" s="187"/>
      <c r="AV19" s="186"/>
      <c r="AW19" s="187"/>
      <c r="AX19" s="186"/>
      <c r="AY19" s="187"/>
      <c r="AZ19" s="188" t="str">
        <f t="shared" si="0"/>
        <v>Active</v>
      </c>
      <c r="BA19" s="190"/>
    </row>
    <row r="20" spans="1:53" s="191" customFormat="1" ht="15.5" hidden="1" x14ac:dyDescent="0.35">
      <c r="A20" s="191" t="str">
        <f t="shared" si="1"/>
        <v>2026-RH-RH TRUMP SUITES NYCNPI</v>
      </c>
      <c r="B20" s="178" t="str">
        <f>VLOOKUP(E20,'Customer '!A:C,3,0)</f>
        <v>RH</v>
      </c>
      <c r="C20" s="178" t="s">
        <v>268</v>
      </c>
      <c r="D20" s="178" t="s">
        <v>290</v>
      </c>
      <c r="E20" s="179" t="s">
        <v>61</v>
      </c>
      <c r="F20" s="179" t="str">
        <f>VLOOKUP(E20,'Customer '!A:B,2,0)</f>
        <v>RH</v>
      </c>
      <c r="G20" s="178" t="s">
        <v>160</v>
      </c>
      <c r="H20" s="178" t="str">
        <f t="shared" si="2"/>
        <v>2026-RH-RH TRUMP SUITES NYC</v>
      </c>
      <c r="I20" s="178">
        <v>1</v>
      </c>
      <c r="J20" s="180" t="s">
        <v>284</v>
      </c>
      <c r="K20" s="181" t="s">
        <v>273</v>
      </c>
      <c r="L20" s="180" t="s">
        <v>327</v>
      </c>
      <c r="M20" s="182">
        <v>46136</v>
      </c>
      <c r="N20" s="183"/>
      <c r="O20" s="181"/>
      <c r="P20" s="183" t="e">
        <f>VLOOKUP(E20,'Customer '!A:D,4,0)</f>
        <v>#N/A</v>
      </c>
      <c r="Q20" s="178" t="s">
        <v>51</v>
      </c>
      <c r="R20" s="178" t="s">
        <v>325</v>
      </c>
      <c r="S20" s="178">
        <v>33</v>
      </c>
      <c r="T20" s="184">
        <v>1585651</v>
      </c>
      <c r="U20" s="184">
        <f>T20/2</f>
        <v>792825.5</v>
      </c>
      <c r="V20" s="184" t="s">
        <v>303</v>
      </c>
      <c r="W20" s="185">
        <v>2026</v>
      </c>
      <c r="X20" s="183" t="s">
        <v>292</v>
      </c>
      <c r="Y20" s="183"/>
      <c r="Z20" s="183" t="s">
        <v>149</v>
      </c>
      <c r="AA20" s="183"/>
      <c r="AB20" s="183"/>
      <c r="AC20" s="183"/>
      <c r="AD20" s="180" t="s">
        <v>318</v>
      </c>
      <c r="AE20" s="181"/>
      <c r="AF20" s="180" t="s">
        <v>56</v>
      </c>
      <c r="AG20" s="181"/>
      <c r="AH20" s="180" t="s">
        <v>73</v>
      </c>
      <c r="AI20" s="181"/>
      <c r="AJ20" s="180" t="s">
        <v>56</v>
      </c>
      <c r="AK20" s="181"/>
      <c r="AL20" s="180" t="s">
        <v>73</v>
      </c>
      <c r="AM20" s="181"/>
      <c r="AN20" s="180" t="s">
        <v>304</v>
      </c>
      <c r="AO20" s="181"/>
      <c r="AP20" s="180" t="s">
        <v>57</v>
      </c>
      <c r="AQ20" s="181"/>
      <c r="AR20" s="186"/>
      <c r="AS20" s="187"/>
      <c r="AT20" s="186"/>
      <c r="AU20" s="187"/>
      <c r="AV20" s="186"/>
      <c r="AW20" s="187"/>
      <c r="AX20" s="186"/>
      <c r="AY20" s="187"/>
      <c r="AZ20" s="188" t="str">
        <f t="shared" si="0"/>
        <v>Active</v>
      </c>
      <c r="BA20" s="190"/>
    </row>
    <row r="21" spans="1:53" s="191" customFormat="1" ht="15.5" hidden="1" x14ac:dyDescent="0.35">
      <c r="A21" s="191" t="str">
        <f t="shared" si="1"/>
        <v>2026-RH-RH TRUMP SUITES NYCNPI</v>
      </c>
      <c r="B21" s="178" t="str">
        <f>VLOOKUP(E21,'Customer '!A:C,3,0)</f>
        <v>RH</v>
      </c>
      <c r="C21" s="178" t="s">
        <v>268</v>
      </c>
      <c r="D21" s="178" t="s">
        <v>290</v>
      </c>
      <c r="E21" s="179" t="s">
        <v>61</v>
      </c>
      <c r="F21" s="179" t="str">
        <f>VLOOKUP(E21,'Customer '!A:B,2,0)</f>
        <v>RH</v>
      </c>
      <c r="G21" s="178" t="s">
        <v>160</v>
      </c>
      <c r="H21" s="178" t="str">
        <f t="shared" si="2"/>
        <v>2026-RH-RH TRUMP SUITES NYC</v>
      </c>
      <c r="I21" s="178">
        <v>0</v>
      </c>
      <c r="J21" s="180" t="s">
        <v>284</v>
      </c>
      <c r="K21" s="181" t="s">
        <v>273</v>
      </c>
      <c r="L21" s="180" t="s">
        <v>327</v>
      </c>
      <c r="M21" s="182">
        <v>46136</v>
      </c>
      <c r="N21" s="183"/>
      <c r="O21" s="181"/>
      <c r="P21" s="183" t="e">
        <f>VLOOKUP(E21,'Customer '!A:D,4,0)</f>
        <v>#N/A</v>
      </c>
      <c r="Q21" s="178" t="s">
        <v>51</v>
      </c>
      <c r="R21" s="178" t="s">
        <v>325</v>
      </c>
      <c r="S21" s="178">
        <v>33</v>
      </c>
      <c r="T21" s="184">
        <v>1585651</v>
      </c>
      <c r="U21" s="184">
        <f>T20-U20</f>
        <v>792825.5</v>
      </c>
      <c r="V21" s="184" t="s">
        <v>311</v>
      </c>
      <c r="W21" s="185">
        <v>2026</v>
      </c>
      <c r="X21" s="183" t="s">
        <v>292</v>
      </c>
      <c r="Y21" s="183"/>
      <c r="Z21" s="183" t="s">
        <v>149</v>
      </c>
      <c r="AA21" s="183"/>
      <c r="AB21" s="183"/>
      <c r="AC21" s="183"/>
      <c r="AD21" s="180" t="s">
        <v>318</v>
      </c>
      <c r="AE21" s="181"/>
      <c r="AF21" s="180" t="s">
        <v>56</v>
      </c>
      <c r="AG21" s="181"/>
      <c r="AH21" s="180" t="s">
        <v>73</v>
      </c>
      <c r="AI21" s="181"/>
      <c r="AJ21" s="180" t="s">
        <v>56</v>
      </c>
      <c r="AK21" s="181"/>
      <c r="AL21" s="180" t="s">
        <v>73</v>
      </c>
      <c r="AM21" s="181"/>
      <c r="AN21" s="180" t="s">
        <v>304</v>
      </c>
      <c r="AO21" s="181"/>
      <c r="AP21" s="180" t="s">
        <v>57</v>
      </c>
      <c r="AQ21" s="181"/>
      <c r="AR21" s="186"/>
      <c r="AS21" s="187"/>
      <c r="AT21" s="186"/>
      <c r="AU21" s="187"/>
      <c r="AV21" s="186"/>
      <c r="AW21" s="187"/>
      <c r="AX21" s="186"/>
      <c r="AY21" s="187"/>
      <c r="AZ21" s="188" t="str">
        <f t="shared" si="0"/>
        <v>Active</v>
      </c>
      <c r="BA21" s="190"/>
    </row>
    <row r="22" spans="1:53" s="191" customFormat="1" ht="15.5" hidden="1" x14ac:dyDescent="0.35">
      <c r="A22" s="191" t="str">
        <f t="shared" si="1"/>
        <v>2026-RH-ROSEWOOD CALISTOGANPI</v>
      </c>
      <c r="B22" s="178" t="str">
        <f>VLOOKUP(E22,'Customer '!A:C,3,0)</f>
        <v>RH</v>
      </c>
      <c r="C22" s="178" t="s">
        <v>268</v>
      </c>
      <c r="D22" s="178" t="s">
        <v>329</v>
      </c>
      <c r="E22" s="179" t="s">
        <v>61</v>
      </c>
      <c r="F22" s="179" t="str">
        <f>VLOOKUP(E22,'Customer '!A:B,2,0)</f>
        <v>RH</v>
      </c>
      <c r="G22" s="178" t="s">
        <v>165</v>
      </c>
      <c r="H22" s="178" t="str">
        <f t="shared" si="2"/>
        <v>2026-RH-ROSEWOOD CALISTOGA</v>
      </c>
      <c r="I22" s="178">
        <v>1</v>
      </c>
      <c r="J22" s="180" t="s">
        <v>284</v>
      </c>
      <c r="K22" s="181" t="s">
        <v>273</v>
      </c>
      <c r="L22" s="180" t="s">
        <v>868</v>
      </c>
      <c r="M22" s="182">
        <v>45861</v>
      </c>
      <c r="N22" s="183"/>
      <c r="O22" s="181"/>
      <c r="P22" s="183" t="e">
        <f>VLOOKUP(E22,'Customer '!A:D,4,0)</f>
        <v>#N/A</v>
      </c>
      <c r="Q22" s="178" t="s">
        <v>51</v>
      </c>
      <c r="R22" s="178" t="s">
        <v>152</v>
      </c>
      <c r="S22" s="178">
        <v>37</v>
      </c>
      <c r="T22" s="184">
        <v>328638</v>
      </c>
      <c r="U22" s="184">
        <v>328638</v>
      </c>
      <c r="V22" s="184" t="s">
        <v>303</v>
      </c>
      <c r="W22" s="185">
        <v>2026</v>
      </c>
      <c r="X22" s="183" t="s">
        <v>292</v>
      </c>
      <c r="Y22" s="183"/>
      <c r="Z22" s="183"/>
      <c r="AA22" s="183"/>
      <c r="AB22" s="183"/>
      <c r="AC22" s="183"/>
      <c r="AD22" s="180" t="s">
        <v>304</v>
      </c>
      <c r="AE22" s="181"/>
      <c r="AF22" s="180" t="s">
        <v>304</v>
      </c>
      <c r="AG22" s="181"/>
      <c r="AH22" s="180" t="s">
        <v>304</v>
      </c>
      <c r="AI22" s="181"/>
      <c r="AJ22" s="180" t="s">
        <v>304</v>
      </c>
      <c r="AK22" s="181"/>
      <c r="AL22" s="180" t="s">
        <v>73</v>
      </c>
      <c r="AM22" s="181"/>
      <c r="AN22" s="180" t="s">
        <v>73</v>
      </c>
      <c r="AO22" s="181"/>
      <c r="AP22" s="180" t="s">
        <v>57</v>
      </c>
      <c r="AQ22" s="181"/>
      <c r="AR22" s="186"/>
      <c r="AS22" s="187"/>
      <c r="AT22" s="186"/>
      <c r="AU22" s="187"/>
      <c r="AV22" s="186"/>
      <c r="AW22" s="187"/>
      <c r="AX22" s="186"/>
      <c r="AY22" s="187"/>
      <c r="AZ22" s="188" t="str">
        <f t="shared" si="0"/>
        <v>Active</v>
      </c>
      <c r="BA22" s="190"/>
    </row>
    <row r="23" spans="1:53" s="191" customFormat="1" ht="15.5" hidden="1" x14ac:dyDescent="0.35">
      <c r="A23" s="191" t="str">
        <f t="shared" si="1"/>
        <v>2026-RH-SNAKE RIVER LODGE BLUEFLAGNPI</v>
      </c>
      <c r="B23" s="178" t="str">
        <f>VLOOKUP(E23,'Customer '!A:C,3,0)</f>
        <v>RH</v>
      </c>
      <c r="C23" s="178" t="s">
        <v>268</v>
      </c>
      <c r="D23" s="178" t="s">
        <v>306</v>
      </c>
      <c r="E23" s="179" t="s">
        <v>61</v>
      </c>
      <c r="F23" s="179" t="str">
        <f>VLOOKUP(E23,'Customer '!A:B,2,0)</f>
        <v>RH</v>
      </c>
      <c r="G23" s="178" t="s">
        <v>166</v>
      </c>
      <c r="H23" s="178" t="str">
        <f t="shared" si="2"/>
        <v>2026-RH-SNAKE RIVER LODGE BLUEFLAG</v>
      </c>
      <c r="I23" s="178">
        <v>1</v>
      </c>
      <c r="J23" s="180" t="s">
        <v>309</v>
      </c>
      <c r="K23" s="181" t="s">
        <v>273</v>
      </c>
      <c r="L23" s="180" t="s">
        <v>333</v>
      </c>
      <c r="M23" s="182">
        <v>46147</v>
      </c>
      <c r="N23" s="183">
        <v>46125</v>
      </c>
      <c r="O23" s="181"/>
      <c r="P23" s="183" t="e">
        <f>VLOOKUP(E23,'Customer '!A:D,4,0)</f>
        <v>#N/A</v>
      </c>
      <c r="Q23" s="178" t="s">
        <v>51</v>
      </c>
      <c r="R23" s="178" t="s">
        <v>332</v>
      </c>
      <c r="S23" s="178">
        <v>12</v>
      </c>
      <c r="T23" s="184">
        <v>170805.65</v>
      </c>
      <c r="U23" s="184">
        <v>170805.65</v>
      </c>
      <c r="V23" s="184" t="s">
        <v>282</v>
      </c>
      <c r="W23" s="185">
        <v>2026</v>
      </c>
      <c r="X23" s="183" t="s">
        <v>872</v>
      </c>
      <c r="Y23" s="183"/>
      <c r="Z23" s="183" t="s">
        <v>873</v>
      </c>
      <c r="AA23" s="183"/>
      <c r="AB23" s="183"/>
      <c r="AC23" s="183"/>
      <c r="AD23" s="180" t="s">
        <v>56</v>
      </c>
      <c r="AE23" s="181"/>
      <c r="AF23" s="180" t="s">
        <v>56</v>
      </c>
      <c r="AG23" s="181"/>
      <c r="AH23" s="180" t="s">
        <v>56</v>
      </c>
      <c r="AI23" s="181"/>
      <c r="AJ23" s="180" t="s">
        <v>56</v>
      </c>
      <c r="AK23" s="181"/>
      <c r="AL23" s="180" t="s">
        <v>73</v>
      </c>
      <c r="AM23" s="181"/>
      <c r="AN23" s="180" t="s">
        <v>56</v>
      </c>
      <c r="AO23" s="181"/>
      <c r="AP23" s="180" t="s">
        <v>57</v>
      </c>
      <c r="AQ23" s="181"/>
      <c r="AR23" s="186"/>
      <c r="AS23" s="187"/>
      <c r="AT23" s="186"/>
      <c r="AU23" s="187"/>
      <c r="AV23" s="186"/>
      <c r="AW23" s="187"/>
      <c r="AX23" s="186"/>
      <c r="AY23" s="187"/>
      <c r="AZ23" s="188" t="str">
        <f t="shared" si="0"/>
        <v>Active</v>
      </c>
      <c r="BA23" s="190"/>
    </row>
    <row r="24" spans="1:53" s="191" customFormat="1" ht="15.5" hidden="1" x14ac:dyDescent="0.35">
      <c r="A24" s="191" t="str">
        <f t="shared" si="1"/>
        <v>2026-RH-TRUMP LAS VEGAS PENTHOUSESNPI</v>
      </c>
      <c r="B24" s="178" t="str">
        <f>VLOOKUP(E24,'Customer '!A:C,3,0)</f>
        <v>RH</v>
      </c>
      <c r="C24" s="178" t="s">
        <v>268</v>
      </c>
      <c r="D24" s="178" t="s">
        <v>164</v>
      </c>
      <c r="E24" s="179" t="s">
        <v>61</v>
      </c>
      <c r="F24" s="179" t="str">
        <f>VLOOKUP(E24,'Customer '!A:B,2,0)</f>
        <v>RH</v>
      </c>
      <c r="G24" s="178" t="s">
        <v>184</v>
      </c>
      <c r="H24" s="178" t="str">
        <f t="shared" si="2"/>
        <v>2026-RH-TRUMP LAS VEGAS PENTHOUSES</v>
      </c>
      <c r="I24" s="178">
        <v>1</v>
      </c>
      <c r="J24" s="180" t="s">
        <v>316</v>
      </c>
      <c r="K24" s="181" t="s">
        <v>273</v>
      </c>
      <c r="L24" s="180" t="s">
        <v>285</v>
      </c>
      <c r="M24" s="182">
        <v>45955</v>
      </c>
      <c r="N24" s="183" t="s">
        <v>292</v>
      </c>
      <c r="O24" s="181"/>
      <c r="P24" s="183" t="e">
        <f>VLOOKUP(E24,'Customer '!A:D,4,0)</f>
        <v>#N/A</v>
      </c>
      <c r="Q24" s="178" t="s">
        <v>51</v>
      </c>
      <c r="R24" s="178" t="s">
        <v>334</v>
      </c>
      <c r="S24" s="178"/>
      <c r="T24" s="184">
        <v>731096.8</v>
      </c>
      <c r="U24" s="184">
        <v>365549</v>
      </c>
      <c r="V24" s="184" t="s">
        <v>315</v>
      </c>
      <c r="W24" s="185">
        <v>2027</v>
      </c>
      <c r="X24" s="183" t="s">
        <v>292</v>
      </c>
      <c r="Y24" s="183"/>
      <c r="Z24" s="183"/>
      <c r="AA24" s="183"/>
      <c r="AB24" s="183"/>
      <c r="AC24" s="183"/>
      <c r="AD24" s="180" t="s">
        <v>342</v>
      </c>
      <c r="AE24" s="181"/>
      <c r="AF24" s="180"/>
      <c r="AG24" s="181"/>
      <c r="AH24" s="180"/>
      <c r="AI24" s="181"/>
      <c r="AJ24" s="180"/>
      <c r="AK24" s="181"/>
      <c r="AL24" s="180"/>
      <c r="AM24" s="181"/>
      <c r="AN24" s="180"/>
      <c r="AO24" s="181"/>
      <c r="AP24" s="180"/>
      <c r="AQ24" s="181"/>
      <c r="AR24" s="186"/>
      <c r="AS24" s="187"/>
      <c r="AT24" s="186"/>
      <c r="AU24" s="187"/>
      <c r="AV24" s="186"/>
      <c r="AW24" s="187"/>
      <c r="AX24" s="186"/>
      <c r="AY24" s="187"/>
      <c r="AZ24" s="188" t="str">
        <f t="shared" si="0"/>
        <v>Active</v>
      </c>
      <c r="BA24" s="190"/>
    </row>
    <row r="25" spans="1:53" s="191" customFormat="1" ht="15.5" hidden="1" x14ac:dyDescent="0.35">
      <c r="A25" s="191" t="str">
        <f t="shared" si="1"/>
        <v>2026-RH-TRUMP LAS VEGAS PENTHOUSESNPI</v>
      </c>
      <c r="B25" s="178" t="str">
        <f>VLOOKUP(E25,'Customer '!A:C,3,0)</f>
        <v>RH</v>
      </c>
      <c r="C25" s="178" t="s">
        <v>268</v>
      </c>
      <c r="D25" s="178" t="s">
        <v>164</v>
      </c>
      <c r="E25" s="179" t="s">
        <v>61</v>
      </c>
      <c r="F25" s="179" t="str">
        <f>VLOOKUP(E25,'Customer '!A:B,2,0)</f>
        <v>RH</v>
      </c>
      <c r="G25" s="178" t="s">
        <v>184</v>
      </c>
      <c r="H25" s="178" t="str">
        <f t="shared" si="2"/>
        <v>2026-RH-TRUMP LAS VEGAS PENTHOUSES</v>
      </c>
      <c r="I25" s="178">
        <v>1</v>
      </c>
      <c r="J25" s="180" t="s">
        <v>316</v>
      </c>
      <c r="K25" s="181" t="s">
        <v>273</v>
      </c>
      <c r="L25" s="180" t="s">
        <v>285</v>
      </c>
      <c r="M25" s="182">
        <v>45955</v>
      </c>
      <c r="N25" s="183" t="s">
        <v>292</v>
      </c>
      <c r="O25" s="181"/>
      <c r="P25" s="183" t="e">
        <f>VLOOKUP(E25,'Customer '!A:D,4,0)</f>
        <v>#N/A</v>
      </c>
      <c r="Q25" s="178" t="s">
        <v>51</v>
      </c>
      <c r="R25" s="178" t="s">
        <v>334</v>
      </c>
      <c r="S25" s="178"/>
      <c r="T25" s="184">
        <v>731096.8</v>
      </c>
      <c r="U25" s="184">
        <v>365549</v>
      </c>
      <c r="V25" s="184" t="s">
        <v>315</v>
      </c>
      <c r="W25" s="185">
        <v>2027</v>
      </c>
      <c r="X25" s="183" t="s">
        <v>292</v>
      </c>
      <c r="Y25" s="183"/>
      <c r="Z25" s="183"/>
      <c r="AA25" s="183"/>
      <c r="AB25" s="183"/>
      <c r="AC25" s="183"/>
      <c r="AD25" s="180" t="s">
        <v>342</v>
      </c>
      <c r="AE25" s="181"/>
      <c r="AF25" s="180"/>
      <c r="AG25" s="181"/>
      <c r="AH25" s="180"/>
      <c r="AI25" s="181"/>
      <c r="AJ25" s="180"/>
      <c r="AK25" s="181"/>
      <c r="AL25" s="180"/>
      <c r="AM25" s="181"/>
      <c r="AN25" s="180"/>
      <c r="AO25" s="181"/>
      <c r="AP25" s="180"/>
      <c r="AQ25" s="181"/>
      <c r="AR25" s="186"/>
      <c r="AS25" s="187"/>
      <c r="AT25" s="186"/>
      <c r="AU25" s="187"/>
      <c r="AV25" s="186"/>
      <c r="AW25" s="187"/>
      <c r="AX25" s="186"/>
      <c r="AY25" s="187"/>
      <c r="AZ25" s="188" t="str">
        <f t="shared" si="0"/>
        <v>Active</v>
      </c>
      <c r="BA25" s="190"/>
    </row>
    <row r="26" spans="1:53" s="191" customFormat="1" ht="15.5" hidden="1" x14ac:dyDescent="0.35">
      <c r="A26" s="191" t="str">
        <f t="shared" si="1"/>
        <v>2026-RH-RITZ DOVE MOUNTAINNPI</v>
      </c>
      <c r="B26" s="178" t="str">
        <f>VLOOKUP(E26,'Customer '!A:C,3,0)</f>
        <v>RH</v>
      </c>
      <c r="C26" s="178" t="s">
        <v>268</v>
      </c>
      <c r="D26" s="178" t="s">
        <v>306</v>
      </c>
      <c r="E26" s="179" t="s">
        <v>61</v>
      </c>
      <c r="F26" s="179" t="str">
        <f>VLOOKUP(E26,'Customer '!A:B,2,0)</f>
        <v>RH</v>
      </c>
      <c r="G26" s="178" t="s">
        <v>194</v>
      </c>
      <c r="H26" s="178" t="str">
        <f t="shared" si="2"/>
        <v>2026-RH-RITZ DOVE MOUNTAIN</v>
      </c>
      <c r="I26" s="178">
        <v>1</v>
      </c>
      <c r="J26" s="180" t="s">
        <v>284</v>
      </c>
      <c r="K26" s="181" t="s">
        <v>273</v>
      </c>
      <c r="L26" s="180" t="s">
        <v>868</v>
      </c>
      <c r="M26" s="182"/>
      <c r="N26" s="183"/>
      <c r="O26" s="181"/>
      <c r="P26" s="183" t="e">
        <f>VLOOKUP(E26,'Customer '!A:D,4,0)</f>
        <v>#N/A</v>
      </c>
      <c r="Q26" s="178" t="s">
        <v>51</v>
      </c>
      <c r="R26" s="178" t="s">
        <v>335</v>
      </c>
      <c r="S26" s="178">
        <v>14</v>
      </c>
      <c r="T26" s="184">
        <v>228581</v>
      </c>
      <c r="U26" s="184">
        <v>228581</v>
      </c>
      <c r="V26" s="184" t="s">
        <v>303</v>
      </c>
      <c r="W26" s="185">
        <v>2026</v>
      </c>
      <c r="X26" s="183" t="s">
        <v>292</v>
      </c>
      <c r="Y26" s="183"/>
      <c r="Z26" s="183"/>
      <c r="AA26" s="183"/>
      <c r="AB26" s="183"/>
      <c r="AC26" s="183"/>
      <c r="AD26" s="180" t="s">
        <v>304</v>
      </c>
      <c r="AE26" s="181"/>
      <c r="AF26" s="180" t="s">
        <v>318</v>
      </c>
      <c r="AG26" s="181"/>
      <c r="AH26" s="180" t="s">
        <v>73</v>
      </c>
      <c r="AI26" s="181"/>
      <c r="AJ26" s="180" t="s">
        <v>318</v>
      </c>
      <c r="AK26" s="181"/>
      <c r="AL26" s="180" t="s">
        <v>73</v>
      </c>
      <c r="AM26" s="181"/>
      <c r="AN26" s="180" t="s">
        <v>73</v>
      </c>
      <c r="AO26" s="181"/>
      <c r="AP26" s="180" t="s">
        <v>57</v>
      </c>
      <c r="AQ26" s="181"/>
      <c r="AR26" s="186"/>
      <c r="AS26" s="187"/>
      <c r="AT26" s="186"/>
      <c r="AU26" s="187"/>
      <c r="AV26" s="186"/>
      <c r="AW26" s="187"/>
      <c r="AX26" s="186"/>
      <c r="AY26" s="187"/>
      <c r="AZ26" s="188" t="str">
        <f t="shared" si="0"/>
        <v>Active</v>
      </c>
      <c r="BA26" s="190"/>
    </row>
    <row r="27" spans="1:53" s="191" customFormat="1" ht="15.5" hidden="1" x14ac:dyDescent="0.35">
      <c r="A27" s="191" t="str">
        <f t="shared" si="1"/>
        <v>2026-RH-MAYBOURNE_ONE WALL STREET NYNPI</v>
      </c>
      <c r="B27" s="178" t="str">
        <f>VLOOKUP(E27,'Customer '!A:C,3,0)</f>
        <v>RH</v>
      </c>
      <c r="C27" s="178" t="s">
        <v>268</v>
      </c>
      <c r="D27" s="178" t="s">
        <v>306</v>
      </c>
      <c r="E27" s="179" t="s">
        <v>61</v>
      </c>
      <c r="F27" s="179" t="str">
        <f>VLOOKUP(E27,'Customer '!A:B,2,0)</f>
        <v>RH</v>
      </c>
      <c r="G27" s="178" t="s">
        <v>337</v>
      </c>
      <c r="H27" s="178" t="str">
        <f t="shared" si="2"/>
        <v>2026-RH-MAYBOURNE_ONE WALL STREET NY</v>
      </c>
      <c r="I27" s="178">
        <v>1</v>
      </c>
      <c r="J27" s="180" t="s">
        <v>272</v>
      </c>
      <c r="K27" s="181" t="s">
        <v>291</v>
      </c>
      <c r="L27" s="180" t="s">
        <v>310</v>
      </c>
      <c r="M27" s="182"/>
      <c r="N27" s="183">
        <v>46079</v>
      </c>
      <c r="O27" s="181"/>
      <c r="P27" s="183" t="e">
        <f>VLOOKUP(E27,'Customer '!A:D,4,0)</f>
        <v>#N/A</v>
      </c>
      <c r="Q27" s="178" t="s">
        <v>51</v>
      </c>
      <c r="R27" s="178" t="s">
        <v>325</v>
      </c>
      <c r="S27" s="178">
        <v>1</v>
      </c>
      <c r="T27" s="184">
        <v>1672</v>
      </c>
      <c r="U27" s="184">
        <v>1672</v>
      </c>
      <c r="V27" s="184" t="s">
        <v>294</v>
      </c>
      <c r="W27" s="185">
        <v>2026</v>
      </c>
      <c r="X27" s="183">
        <v>46120</v>
      </c>
      <c r="Y27" s="183"/>
      <c r="Z27" s="183" t="s">
        <v>874</v>
      </c>
      <c r="AA27" s="183"/>
      <c r="AB27" s="183"/>
      <c r="AC27" s="183"/>
      <c r="AD27" s="180" t="s">
        <v>56</v>
      </c>
      <c r="AE27" s="181"/>
      <c r="AF27" s="180" t="s">
        <v>56</v>
      </c>
      <c r="AG27" s="181"/>
      <c r="AH27" s="180" t="s">
        <v>73</v>
      </c>
      <c r="AI27" s="181"/>
      <c r="AJ27" s="180" t="s">
        <v>73</v>
      </c>
      <c r="AK27" s="181"/>
      <c r="AL27" s="180" t="s">
        <v>73</v>
      </c>
      <c r="AM27" s="181"/>
      <c r="AN27" s="180" t="s">
        <v>73</v>
      </c>
      <c r="AO27" s="181"/>
      <c r="AP27" s="180" t="s">
        <v>57</v>
      </c>
      <c r="AQ27" s="181"/>
      <c r="AR27" s="186"/>
      <c r="AS27" s="187"/>
      <c r="AT27" s="186"/>
      <c r="AU27" s="187"/>
      <c r="AV27" s="186"/>
      <c r="AW27" s="187"/>
      <c r="AX27" s="186"/>
      <c r="AY27" s="187"/>
      <c r="AZ27" s="188" t="str">
        <f t="shared" si="0"/>
        <v>Complete</v>
      </c>
      <c r="BA27" s="190"/>
    </row>
    <row r="28" spans="1:53" s="191" customFormat="1" ht="15.5" hidden="1" x14ac:dyDescent="0.35">
      <c r="A28" s="191" t="str">
        <f t="shared" si="1"/>
        <v>2026-RH-ST. REGIS KANAINPI</v>
      </c>
      <c r="B28" s="178" t="str">
        <f>VLOOKUP(E28,'Customer '!A:C,3,0)</f>
        <v>RH</v>
      </c>
      <c r="C28" s="178" t="s">
        <v>268</v>
      </c>
      <c r="D28" s="178" t="s">
        <v>164</v>
      </c>
      <c r="E28" s="179" t="s">
        <v>61</v>
      </c>
      <c r="F28" s="179" t="str">
        <f>VLOOKUP(E28,'Customer '!A:B,2,0)</f>
        <v>RH</v>
      </c>
      <c r="G28" s="178" t="s">
        <v>338</v>
      </c>
      <c r="H28" s="178" t="str">
        <f t="shared" si="2"/>
        <v>2026-RH-ST. REGIS KANAI</v>
      </c>
      <c r="I28" s="178">
        <v>1</v>
      </c>
      <c r="J28" s="180" t="s">
        <v>309</v>
      </c>
      <c r="K28" s="181" t="s">
        <v>273</v>
      </c>
      <c r="L28" s="180" t="s">
        <v>310</v>
      </c>
      <c r="M28" s="182">
        <v>45575</v>
      </c>
      <c r="N28" s="183">
        <v>46101</v>
      </c>
      <c r="O28" s="181"/>
      <c r="P28" s="183" t="e">
        <f>VLOOKUP(E28,'Customer '!A:D,4,0)</f>
        <v>#N/A</v>
      </c>
      <c r="Q28" s="178" t="s">
        <v>96</v>
      </c>
      <c r="R28" s="178" t="s">
        <v>339</v>
      </c>
      <c r="S28" s="178">
        <v>18</v>
      </c>
      <c r="T28" s="184">
        <v>164002.01999999999</v>
      </c>
      <c r="U28" s="184">
        <v>124920</v>
      </c>
      <c r="V28" s="184" t="s">
        <v>281</v>
      </c>
      <c r="W28" s="185">
        <v>2026</v>
      </c>
      <c r="X28" s="183" t="s">
        <v>875</v>
      </c>
      <c r="Y28" s="183"/>
      <c r="Z28" s="183" t="s">
        <v>876</v>
      </c>
      <c r="AA28" s="183"/>
      <c r="AB28" s="183" t="s">
        <v>404</v>
      </c>
      <c r="AC28" s="183" t="s">
        <v>875</v>
      </c>
      <c r="AD28" s="180" t="s">
        <v>56</v>
      </c>
      <c r="AE28" s="181"/>
      <c r="AF28" s="180" t="s">
        <v>56</v>
      </c>
      <c r="AG28" s="181"/>
      <c r="AH28" s="180" t="s">
        <v>56</v>
      </c>
      <c r="AI28" s="181"/>
      <c r="AJ28" s="180" t="s">
        <v>73</v>
      </c>
      <c r="AK28" s="181"/>
      <c r="AL28" s="180" t="s">
        <v>73</v>
      </c>
      <c r="AM28" s="181"/>
      <c r="AN28" s="180" t="s">
        <v>73</v>
      </c>
      <c r="AO28" s="181"/>
      <c r="AP28" s="180" t="s">
        <v>304</v>
      </c>
      <c r="AQ28" s="181"/>
      <c r="AR28" s="186"/>
      <c r="AS28" s="187"/>
      <c r="AT28" s="186"/>
      <c r="AU28" s="187"/>
      <c r="AV28" s="186"/>
      <c r="AW28" s="187"/>
      <c r="AX28" s="186"/>
      <c r="AY28" s="187"/>
      <c r="AZ28" s="188" t="str">
        <f t="shared" si="0"/>
        <v>Active</v>
      </c>
      <c r="BA28" s="190"/>
    </row>
    <row r="29" spans="1:53" s="191" customFormat="1" ht="15.5" hidden="1" x14ac:dyDescent="0.35">
      <c r="A29" s="191" t="str">
        <f t="shared" si="1"/>
        <v>2026-RH-ST. REGIS KANAINPI</v>
      </c>
      <c r="B29" s="178" t="str">
        <f>VLOOKUP(E29,'Customer '!A:C,3,0)</f>
        <v>RH</v>
      </c>
      <c r="C29" s="178" t="s">
        <v>268</v>
      </c>
      <c r="D29" s="178" t="s">
        <v>164</v>
      </c>
      <c r="E29" s="179" t="s">
        <v>61</v>
      </c>
      <c r="F29" s="179" t="str">
        <f>VLOOKUP(E29,'Customer '!A:B,2,0)</f>
        <v>RH</v>
      </c>
      <c r="G29" s="178" t="s">
        <v>338</v>
      </c>
      <c r="H29" s="178" t="str">
        <f t="shared" si="2"/>
        <v>2026-RH-ST. REGIS KANAI</v>
      </c>
      <c r="I29" s="178">
        <v>1</v>
      </c>
      <c r="J29" s="180" t="s">
        <v>309</v>
      </c>
      <c r="K29" s="181" t="s">
        <v>273</v>
      </c>
      <c r="L29" s="180" t="s">
        <v>310</v>
      </c>
      <c r="M29" s="182">
        <v>45575</v>
      </c>
      <c r="N29" s="183">
        <v>46101</v>
      </c>
      <c r="O29" s="181"/>
      <c r="P29" s="183" t="e">
        <f>VLOOKUP(E29,'Customer '!A:D,4,0)</f>
        <v>#N/A</v>
      </c>
      <c r="Q29" s="178" t="s">
        <v>96</v>
      </c>
      <c r="R29" s="178" t="s">
        <v>339</v>
      </c>
      <c r="S29" s="178">
        <v>18</v>
      </c>
      <c r="T29" s="184">
        <v>164002.01999999999</v>
      </c>
      <c r="U29" s="184">
        <v>39082</v>
      </c>
      <c r="V29" s="184" t="s">
        <v>282</v>
      </c>
      <c r="W29" s="185">
        <v>2026</v>
      </c>
      <c r="X29" s="183" t="s">
        <v>875</v>
      </c>
      <c r="Y29" s="183"/>
      <c r="Z29" s="183" t="s">
        <v>876</v>
      </c>
      <c r="AA29" s="183"/>
      <c r="AB29" s="183" t="s">
        <v>404</v>
      </c>
      <c r="AC29" s="183" t="s">
        <v>875</v>
      </c>
      <c r="AD29" s="180" t="s">
        <v>56</v>
      </c>
      <c r="AE29" s="181"/>
      <c r="AF29" s="180" t="s">
        <v>56</v>
      </c>
      <c r="AG29" s="181"/>
      <c r="AH29" s="180" t="s">
        <v>56</v>
      </c>
      <c r="AI29" s="181"/>
      <c r="AJ29" s="180" t="s">
        <v>73</v>
      </c>
      <c r="AK29" s="181"/>
      <c r="AL29" s="180" t="s">
        <v>73</v>
      </c>
      <c r="AM29" s="181"/>
      <c r="AN29" s="180" t="s">
        <v>73</v>
      </c>
      <c r="AO29" s="181"/>
      <c r="AP29" s="180" t="s">
        <v>304</v>
      </c>
      <c r="AQ29" s="181"/>
      <c r="AR29" s="186"/>
      <c r="AS29" s="187"/>
      <c r="AT29" s="186"/>
      <c r="AU29" s="187"/>
      <c r="AV29" s="186"/>
      <c r="AW29" s="187"/>
      <c r="AX29" s="186"/>
      <c r="AY29" s="187"/>
      <c r="AZ29" s="188" t="str">
        <f t="shared" si="0"/>
        <v>Active</v>
      </c>
      <c r="BA29" s="190"/>
    </row>
    <row r="30" spans="1:53" s="191" customFormat="1" ht="15.5" x14ac:dyDescent="0.35">
      <c r="A30" s="191" t="str">
        <f t="shared" si="1"/>
        <v>2026-RH-CIA O&amp;O GUESTROOMSNPD</v>
      </c>
      <c r="B30" s="178" t="str">
        <f>VLOOKUP(E30,'Customer '!A:C,3,0)</f>
        <v>RH</v>
      </c>
      <c r="C30" s="178" t="s">
        <v>323</v>
      </c>
      <c r="D30" s="178" t="s">
        <v>298</v>
      </c>
      <c r="E30" s="179" t="s">
        <v>61</v>
      </c>
      <c r="F30" s="179" t="str">
        <f>VLOOKUP(E30,'Customer '!A:B,2,0)</f>
        <v>RH</v>
      </c>
      <c r="G30" s="178" t="s">
        <v>74</v>
      </c>
      <c r="H30" s="178" t="str">
        <f t="shared" si="2"/>
        <v>2026-RH-CIA O&amp;O GUESTROOMS</v>
      </c>
      <c r="I30" s="178">
        <v>1</v>
      </c>
      <c r="J30" s="180" t="s">
        <v>309</v>
      </c>
      <c r="K30" s="181" t="s">
        <v>273</v>
      </c>
      <c r="L30" s="180" t="s">
        <v>317</v>
      </c>
      <c r="M30" s="182">
        <v>46072</v>
      </c>
      <c r="N30" s="183">
        <v>45992</v>
      </c>
      <c r="O30" s="181"/>
      <c r="P30" s="183" t="e">
        <f>VLOOKUP(E30,'Customer '!A:D,4,0)</f>
        <v>#N/A</v>
      </c>
      <c r="Q30" s="178" t="s">
        <v>51</v>
      </c>
      <c r="R30" s="178" t="s">
        <v>152</v>
      </c>
      <c r="S30" s="178">
        <v>12</v>
      </c>
      <c r="T30" s="184">
        <v>12000.059999999998</v>
      </c>
      <c r="U30" s="184">
        <v>10991.34</v>
      </c>
      <c r="V30" s="184" t="s">
        <v>280</v>
      </c>
      <c r="W30" s="185">
        <v>2026</v>
      </c>
      <c r="X30" s="183" t="s">
        <v>292</v>
      </c>
      <c r="Y30" s="183"/>
      <c r="Z30" s="183" t="s">
        <v>871</v>
      </c>
      <c r="AA30" s="183"/>
      <c r="AB30" s="183"/>
      <c r="AC30" s="183"/>
      <c r="AD30" s="180" t="s">
        <v>318</v>
      </c>
      <c r="AE30" s="181"/>
      <c r="AF30" s="180" t="s">
        <v>56</v>
      </c>
      <c r="AG30" s="181"/>
      <c r="AH30" s="180" t="s">
        <v>318</v>
      </c>
      <c r="AI30" s="181"/>
      <c r="AJ30" s="180" t="s">
        <v>56</v>
      </c>
      <c r="AK30" s="181"/>
      <c r="AL30" s="180" t="s">
        <v>56</v>
      </c>
      <c r="AM30" s="181"/>
      <c r="AN30" s="180" t="s">
        <v>73</v>
      </c>
      <c r="AO30" s="181"/>
      <c r="AP30" s="180" t="s">
        <v>331</v>
      </c>
      <c r="AQ30" s="181"/>
      <c r="AR30" s="186"/>
      <c r="AS30" s="187"/>
      <c r="AT30" s="186"/>
      <c r="AU30" s="187"/>
      <c r="AV30" s="186"/>
      <c r="AW30" s="187"/>
      <c r="AX30" s="186"/>
      <c r="AY30" s="187"/>
      <c r="AZ30" s="188" t="str">
        <f t="shared" si="0"/>
        <v>Active</v>
      </c>
      <c r="BA30" s="190"/>
    </row>
    <row r="31" spans="1:53" s="191" customFormat="1" ht="15.5" hidden="1" x14ac:dyDescent="0.35">
      <c r="A31" s="191" t="str">
        <f t="shared" si="1"/>
        <v>2026-COSMIC REALTY-250 FIFTH AVENUE HOTELNPI</v>
      </c>
      <c r="B31" s="178" t="str">
        <f>VLOOKUP(E31,'Customer '!A:C,3,0)</f>
        <v>NON RH</v>
      </c>
      <c r="C31" s="178" t="s">
        <v>268</v>
      </c>
      <c r="D31" s="178" t="s">
        <v>319</v>
      </c>
      <c r="E31" s="179" t="s">
        <v>48</v>
      </c>
      <c r="F31" s="179" t="str">
        <f>VLOOKUP(E31,'Customer '!A:B,2,0)</f>
        <v>COSMIC REALTY</v>
      </c>
      <c r="G31" s="178" t="s">
        <v>49</v>
      </c>
      <c r="H31" s="178" t="str">
        <f t="shared" si="2"/>
        <v>2026-COSMIC REALTY-250 FIFTH AVENUE HOTEL</v>
      </c>
      <c r="I31" s="178">
        <v>1</v>
      </c>
      <c r="J31" s="180" t="s">
        <v>272</v>
      </c>
      <c r="K31" s="181" t="s">
        <v>273</v>
      </c>
      <c r="L31" s="180" t="s">
        <v>274</v>
      </c>
      <c r="M31" s="182"/>
      <c r="N31" s="183" t="s">
        <v>292</v>
      </c>
      <c r="O31" s="181"/>
      <c r="P31" s="183" t="e">
        <f>VLOOKUP(E31,'Customer '!A:D,4,0)</f>
        <v>#N/A</v>
      </c>
      <c r="Q31" s="178" t="s">
        <v>51</v>
      </c>
      <c r="R31" s="178" t="s">
        <v>325</v>
      </c>
      <c r="S31" s="178">
        <v>17</v>
      </c>
      <c r="T31" s="184">
        <v>1908.8</v>
      </c>
      <c r="U31" s="184">
        <v>1908.8</v>
      </c>
      <c r="V31" s="184" t="s">
        <v>294</v>
      </c>
      <c r="W31" s="185">
        <v>2026</v>
      </c>
      <c r="X31" s="183">
        <v>46116</v>
      </c>
      <c r="Y31" s="183"/>
      <c r="Z31" s="183" t="s">
        <v>864</v>
      </c>
      <c r="AA31" s="183"/>
      <c r="AB31" s="183"/>
      <c r="AC31" s="183"/>
      <c r="AD31" s="180" t="s">
        <v>56</v>
      </c>
      <c r="AE31" s="181"/>
      <c r="AF31" s="180" t="s">
        <v>56</v>
      </c>
      <c r="AG31" s="181"/>
      <c r="AH31" s="180" t="s">
        <v>56</v>
      </c>
      <c r="AI31" s="181"/>
      <c r="AJ31" s="180" t="s">
        <v>56</v>
      </c>
      <c r="AK31" s="181"/>
      <c r="AL31" s="180" t="s">
        <v>56</v>
      </c>
      <c r="AM31" s="181"/>
      <c r="AN31" s="180" t="s">
        <v>56</v>
      </c>
      <c r="AO31" s="181"/>
      <c r="AP31" s="180" t="s">
        <v>57</v>
      </c>
      <c r="AQ31" s="181"/>
      <c r="AR31" s="186"/>
      <c r="AS31" s="187"/>
      <c r="AT31" s="186"/>
      <c r="AU31" s="187"/>
      <c r="AV31" s="186"/>
      <c r="AW31" s="187"/>
      <c r="AX31" s="186"/>
      <c r="AY31" s="187"/>
      <c r="AZ31" s="188" t="str">
        <f t="shared" si="0"/>
        <v>Complete</v>
      </c>
      <c r="BA31" s="190"/>
    </row>
    <row r="32" spans="1:53" s="191" customFormat="1" ht="15.5" hidden="1" x14ac:dyDescent="0.35">
      <c r="A32" s="191" t="str">
        <f t="shared" si="1"/>
        <v>2026-L&amp;S-ELYSEE HOTELNPI</v>
      </c>
      <c r="B32" s="178" t="str">
        <f>VLOOKUP(E32,'Customer '!A:C,3,0)</f>
        <v>NON RH</v>
      </c>
      <c r="C32" s="178" t="s">
        <v>268</v>
      </c>
      <c r="D32" s="178" t="s">
        <v>164</v>
      </c>
      <c r="E32" s="179" t="s">
        <v>82</v>
      </c>
      <c r="F32" s="179" t="str">
        <f>VLOOKUP(E32,'Customer '!A:B,2,0)</f>
        <v>L&amp;S</v>
      </c>
      <c r="G32" s="178" t="s">
        <v>90</v>
      </c>
      <c r="H32" s="178" t="str">
        <f t="shared" si="2"/>
        <v>2026-L&amp;S-ELYSEE HOTEL</v>
      </c>
      <c r="I32" s="178">
        <v>1</v>
      </c>
      <c r="J32" s="180" t="s">
        <v>309</v>
      </c>
      <c r="K32" s="181" t="s">
        <v>273</v>
      </c>
      <c r="L32" s="180" t="s">
        <v>310</v>
      </c>
      <c r="M32" s="182">
        <v>46027</v>
      </c>
      <c r="N32" s="183">
        <v>46009</v>
      </c>
      <c r="O32" s="181"/>
      <c r="P32" s="183" t="str">
        <f>VLOOKUP(E32,'Customer '!A:D,4,0)</f>
        <v>50% deposit, 50% prior shipment</v>
      </c>
      <c r="Q32" s="178" t="s">
        <v>51</v>
      </c>
      <c r="R32" s="178" t="s">
        <v>325</v>
      </c>
      <c r="S32" s="178">
        <v>22</v>
      </c>
      <c r="T32" s="184">
        <v>169946</v>
      </c>
      <c r="U32" s="209">
        <v>136498</v>
      </c>
      <c r="V32" s="184" t="s">
        <v>297</v>
      </c>
      <c r="W32" s="185">
        <v>2026</v>
      </c>
      <c r="X32" s="183">
        <v>46188</v>
      </c>
      <c r="Y32" s="183"/>
      <c r="Z32" s="183" t="s">
        <v>877</v>
      </c>
      <c r="AA32" s="183"/>
      <c r="AB32" s="183"/>
      <c r="AC32" s="183"/>
      <c r="AD32" s="180" t="s">
        <v>318</v>
      </c>
      <c r="AE32" s="181"/>
      <c r="AF32" s="180" t="s">
        <v>56</v>
      </c>
      <c r="AG32" s="181"/>
      <c r="AH32" s="180" t="s">
        <v>304</v>
      </c>
      <c r="AI32" s="181"/>
      <c r="AJ32" s="180" t="s">
        <v>56</v>
      </c>
      <c r="AK32" s="181"/>
      <c r="AL32" s="180" t="s">
        <v>56</v>
      </c>
      <c r="AM32" s="181"/>
      <c r="AN32" s="180" t="s">
        <v>73</v>
      </c>
      <c r="AO32" s="181"/>
      <c r="AP32" s="180" t="s">
        <v>57</v>
      </c>
      <c r="AQ32" s="181"/>
      <c r="AR32" s="186"/>
      <c r="AS32" s="187"/>
      <c r="AT32" s="186"/>
      <c r="AU32" s="187"/>
      <c r="AV32" s="186"/>
      <c r="AW32" s="187"/>
      <c r="AX32" s="186"/>
      <c r="AY32" s="187"/>
      <c r="AZ32" s="188" t="str">
        <f t="shared" si="0"/>
        <v>Active</v>
      </c>
      <c r="BA32" s="190"/>
    </row>
    <row r="33" spans="1:53" s="191" customFormat="1" ht="15.5" hidden="1" x14ac:dyDescent="0.35">
      <c r="A33" s="191" t="str">
        <f t="shared" si="1"/>
        <v>2026-L&amp;S-ELYSEE HOTELNPI</v>
      </c>
      <c r="B33" s="178" t="str">
        <f>VLOOKUP(E33,'Customer '!A:C,3,0)</f>
        <v>NON RH</v>
      </c>
      <c r="C33" s="178" t="s">
        <v>268</v>
      </c>
      <c r="D33" s="178" t="s">
        <v>164</v>
      </c>
      <c r="E33" s="179" t="s">
        <v>82</v>
      </c>
      <c r="F33" s="179" t="str">
        <f>VLOOKUP(E33,'Customer '!A:B,2,0)</f>
        <v>L&amp;S</v>
      </c>
      <c r="G33" s="178" t="s">
        <v>90</v>
      </c>
      <c r="H33" s="178" t="str">
        <f t="shared" si="2"/>
        <v>2026-L&amp;S-ELYSEE HOTEL</v>
      </c>
      <c r="I33" s="178">
        <v>0</v>
      </c>
      <c r="J33" s="180" t="s">
        <v>309</v>
      </c>
      <c r="K33" s="181" t="s">
        <v>273</v>
      </c>
      <c r="L33" s="180" t="s">
        <v>310</v>
      </c>
      <c r="M33" s="182">
        <v>46027</v>
      </c>
      <c r="N33" s="183">
        <v>46009</v>
      </c>
      <c r="O33" s="181"/>
      <c r="P33" s="183" t="str">
        <f>VLOOKUP(E33,'Customer '!A:D,4,0)</f>
        <v>50% deposit, 50% prior shipment</v>
      </c>
      <c r="Q33" s="178" t="s">
        <v>51</v>
      </c>
      <c r="R33" s="178" t="s">
        <v>325</v>
      </c>
      <c r="S33" s="178">
        <v>22</v>
      </c>
      <c r="T33" s="184">
        <v>169946</v>
      </c>
      <c r="U33" s="209">
        <v>33448</v>
      </c>
      <c r="V33" s="184" t="s">
        <v>297</v>
      </c>
      <c r="W33" s="185">
        <v>2026</v>
      </c>
      <c r="X33" s="183">
        <v>46188</v>
      </c>
      <c r="Y33" s="183"/>
      <c r="Z33" s="183" t="s">
        <v>877</v>
      </c>
      <c r="AA33" s="183"/>
      <c r="AB33" s="183"/>
      <c r="AC33" s="183"/>
      <c r="AD33" s="180" t="s">
        <v>318</v>
      </c>
      <c r="AE33" s="181"/>
      <c r="AF33" s="180" t="s">
        <v>56</v>
      </c>
      <c r="AG33" s="181"/>
      <c r="AH33" s="180" t="s">
        <v>304</v>
      </c>
      <c r="AI33" s="181"/>
      <c r="AJ33" s="180" t="s">
        <v>56</v>
      </c>
      <c r="AK33" s="181"/>
      <c r="AL33" s="180" t="s">
        <v>56</v>
      </c>
      <c r="AM33" s="181"/>
      <c r="AN33" s="180" t="s">
        <v>73</v>
      </c>
      <c r="AO33" s="181"/>
      <c r="AP33" s="180" t="s">
        <v>57</v>
      </c>
      <c r="AQ33" s="181"/>
      <c r="AR33" s="186"/>
      <c r="AS33" s="187"/>
      <c r="AT33" s="186"/>
      <c r="AU33" s="187"/>
      <c r="AV33" s="186"/>
      <c r="AW33" s="187"/>
      <c r="AX33" s="186"/>
      <c r="AY33" s="187"/>
      <c r="AZ33" s="188" t="str">
        <f t="shared" si="0"/>
        <v>Active</v>
      </c>
      <c r="BA33" s="190"/>
    </row>
    <row r="34" spans="1:53" s="191" customFormat="1" ht="15.5" hidden="1" x14ac:dyDescent="0.35">
      <c r="A34" s="191" t="str">
        <f t="shared" si="1"/>
        <v>2026-L&amp;S-FAENA TULLUM (FTMX)NPI</v>
      </c>
      <c r="B34" s="178" t="str">
        <f>VLOOKUP(E34,'Customer '!A:C,3,0)</f>
        <v>NON RH</v>
      </c>
      <c r="C34" s="178" t="s">
        <v>268</v>
      </c>
      <c r="D34" s="178" t="s">
        <v>306</v>
      </c>
      <c r="E34" s="179" t="s">
        <v>82</v>
      </c>
      <c r="F34" s="179" t="str">
        <f>VLOOKUP(E34,'Customer '!A:B,2,0)</f>
        <v>L&amp;S</v>
      </c>
      <c r="G34" s="178" t="s">
        <v>94</v>
      </c>
      <c r="H34" s="178" t="str">
        <f t="shared" si="2"/>
        <v>2026-L&amp;S-FAENA TULLUM (FTMX)</v>
      </c>
      <c r="I34" s="178">
        <v>1</v>
      </c>
      <c r="J34" s="180" t="s">
        <v>284</v>
      </c>
      <c r="K34" s="181" t="s">
        <v>273</v>
      </c>
      <c r="L34" s="180" t="s">
        <v>285</v>
      </c>
      <c r="M34" s="182"/>
      <c r="N34" s="183" t="s">
        <v>292</v>
      </c>
      <c r="O34" s="181"/>
      <c r="P34" s="183" t="str">
        <f>VLOOKUP(E34,'Customer '!A:D,4,0)</f>
        <v>50% deposit, 50% prior shipment</v>
      </c>
      <c r="Q34" s="178" t="s">
        <v>96</v>
      </c>
      <c r="R34" s="178" t="s">
        <v>339</v>
      </c>
      <c r="S34" s="178">
        <v>12</v>
      </c>
      <c r="T34" s="184">
        <v>1160820</v>
      </c>
      <c r="U34" s="184">
        <v>1160820</v>
      </c>
      <c r="V34" s="193" t="s">
        <v>303</v>
      </c>
      <c r="W34" s="185">
        <v>2026</v>
      </c>
      <c r="X34" s="183" t="s">
        <v>292</v>
      </c>
      <c r="Y34" s="183"/>
      <c r="Z34" s="183"/>
      <c r="AA34" s="183"/>
      <c r="AB34" s="183"/>
      <c r="AC34" s="183"/>
      <c r="AD34" s="180" t="s">
        <v>342</v>
      </c>
      <c r="AE34" s="181"/>
      <c r="AF34" s="180"/>
      <c r="AG34" s="181"/>
      <c r="AH34" s="180"/>
      <c r="AI34" s="181"/>
      <c r="AJ34" s="180"/>
      <c r="AK34" s="181"/>
      <c r="AL34" s="180"/>
      <c r="AM34" s="181"/>
      <c r="AN34" s="180"/>
      <c r="AO34" s="181"/>
      <c r="AP34" s="180"/>
      <c r="AQ34" s="181"/>
      <c r="AR34" s="186"/>
      <c r="AS34" s="187"/>
      <c r="AT34" s="186"/>
      <c r="AU34" s="187"/>
      <c r="AV34" s="186"/>
      <c r="AW34" s="187"/>
      <c r="AX34" s="186"/>
      <c r="AY34" s="187"/>
      <c r="AZ34" s="188" t="str">
        <f t="shared" si="0"/>
        <v>Active</v>
      </c>
      <c r="BA34" s="190"/>
    </row>
    <row r="35" spans="1:53" s="191" customFormat="1" ht="15.5" hidden="1" x14ac:dyDescent="0.35">
      <c r="A35" s="191" t="str">
        <f t="shared" si="1"/>
        <v>2026-FLEETWOOD -FOUR SEASON JACKSONVILLENPI</v>
      </c>
      <c r="B35" s="178" t="str">
        <f>VLOOKUP(E35,'Customer '!A:C,3,0)</f>
        <v>NON RH</v>
      </c>
      <c r="C35" s="178" t="s">
        <v>268</v>
      </c>
      <c r="D35" s="178" t="s">
        <v>306</v>
      </c>
      <c r="E35" s="179" t="s">
        <v>98</v>
      </c>
      <c r="F35" s="179" t="str">
        <f>VLOOKUP(E35,'Customer '!A:B,2,0)</f>
        <v xml:space="preserve">FLEETWOOD </v>
      </c>
      <c r="G35" s="178" t="s">
        <v>99</v>
      </c>
      <c r="H35" s="178" t="str">
        <f t="shared" si="2"/>
        <v>2026-FLEETWOOD -FOUR SEASON JACKSONVILLE</v>
      </c>
      <c r="I35" s="178">
        <v>1</v>
      </c>
      <c r="J35" s="180" t="s">
        <v>272</v>
      </c>
      <c r="K35" s="181" t="s">
        <v>273</v>
      </c>
      <c r="L35" s="180" t="s">
        <v>310</v>
      </c>
      <c r="M35" s="182"/>
      <c r="N35" s="183">
        <v>46053</v>
      </c>
      <c r="O35" s="181"/>
      <c r="P35" s="183" t="str">
        <f>VLOOKUP(E35,'Customer '!A:D,4,0)</f>
        <v>25% desposit, 75% period shipment</v>
      </c>
      <c r="Q35" s="178" t="s">
        <v>51</v>
      </c>
      <c r="R35" s="178" t="s">
        <v>295</v>
      </c>
      <c r="S35" s="178">
        <v>37</v>
      </c>
      <c r="T35" s="184">
        <v>198023</v>
      </c>
      <c r="U35" s="184">
        <v>56748.109999999993</v>
      </c>
      <c r="V35" s="184" t="s">
        <v>294</v>
      </c>
      <c r="W35" s="185">
        <v>2026</v>
      </c>
      <c r="X35" s="183">
        <v>46121</v>
      </c>
      <c r="Y35" s="183"/>
      <c r="Z35" s="183" t="s">
        <v>878</v>
      </c>
      <c r="AA35" s="183"/>
      <c r="AB35" s="183"/>
      <c r="AC35" s="183"/>
      <c r="AD35" s="180" t="s">
        <v>56</v>
      </c>
      <c r="AE35" s="181"/>
      <c r="AF35" s="180" t="s">
        <v>56</v>
      </c>
      <c r="AG35" s="181"/>
      <c r="AH35" s="180" t="s">
        <v>73</v>
      </c>
      <c r="AI35" s="181"/>
      <c r="AJ35" s="180" t="s">
        <v>56</v>
      </c>
      <c r="AK35" s="181"/>
      <c r="AL35" s="180" t="s">
        <v>73</v>
      </c>
      <c r="AM35" s="181"/>
      <c r="AN35" s="180" t="s">
        <v>56</v>
      </c>
      <c r="AO35" s="181"/>
      <c r="AP35" s="180" t="s">
        <v>73</v>
      </c>
      <c r="AQ35" s="181"/>
      <c r="AR35" s="186"/>
      <c r="AS35" s="187"/>
      <c r="AT35" s="186"/>
      <c r="AU35" s="187"/>
      <c r="AV35" s="186"/>
      <c r="AW35" s="187"/>
      <c r="AX35" s="186"/>
      <c r="AY35" s="187"/>
      <c r="AZ35" s="188" t="str">
        <f t="shared" ref="AZ35:AZ66" si="3">IF(J35="SHIPPED","Complete",IF(J35="VIEWING","Archived","Active"))</f>
        <v>Complete</v>
      </c>
      <c r="BA35" s="190"/>
    </row>
    <row r="36" spans="1:53" s="191" customFormat="1" ht="15.5" hidden="1" x14ac:dyDescent="0.35">
      <c r="A36" s="191" t="str">
        <f t="shared" ref="A36" si="4">H36&amp;C36</f>
        <v>2026-FLEETWOOD -FOUR SEASON JACKSONVILLENPI</v>
      </c>
      <c r="B36" s="178" t="str">
        <f>VLOOKUP(E36,'Customer '!A:C,3,0)</f>
        <v>NON RH</v>
      </c>
      <c r="C36" s="178" t="s">
        <v>268</v>
      </c>
      <c r="D36" s="178" t="s">
        <v>306</v>
      </c>
      <c r="E36" s="179" t="s">
        <v>98</v>
      </c>
      <c r="F36" s="179" t="str">
        <f>VLOOKUP(E36,'Customer '!A:B,2,0)</f>
        <v xml:space="preserve">FLEETWOOD </v>
      </c>
      <c r="G36" s="178" t="s">
        <v>99</v>
      </c>
      <c r="H36" s="178" t="str">
        <f t="shared" si="2"/>
        <v>2026-FLEETWOOD -FOUR SEASON JACKSONVILLE</v>
      </c>
      <c r="I36" s="178">
        <v>0</v>
      </c>
      <c r="J36" s="180" t="s">
        <v>272</v>
      </c>
      <c r="K36" s="181" t="s">
        <v>273</v>
      </c>
      <c r="L36" s="180" t="s">
        <v>310</v>
      </c>
      <c r="M36" s="182">
        <v>45987</v>
      </c>
      <c r="N36" s="183">
        <v>46053</v>
      </c>
      <c r="O36" s="181"/>
      <c r="P36" s="183" t="str">
        <f>VLOOKUP(E36,'Customer '!A:D,4,0)</f>
        <v>25% desposit, 75% period shipment</v>
      </c>
      <c r="Q36" s="178" t="s">
        <v>51</v>
      </c>
      <c r="R36" s="178" t="s">
        <v>295</v>
      </c>
      <c r="S36" s="178">
        <v>37</v>
      </c>
      <c r="T36" s="184">
        <v>198023</v>
      </c>
      <c r="U36" s="184">
        <v>57509</v>
      </c>
      <c r="V36" s="184" t="s">
        <v>277</v>
      </c>
      <c r="W36" s="185">
        <v>2026</v>
      </c>
      <c r="X36" s="183">
        <v>46121</v>
      </c>
      <c r="Y36" s="183"/>
      <c r="Z36" s="183" t="s">
        <v>879</v>
      </c>
      <c r="AA36" s="183"/>
      <c r="AB36" s="183"/>
      <c r="AC36" s="183"/>
      <c r="AD36" s="180" t="s">
        <v>56</v>
      </c>
      <c r="AE36" s="181"/>
      <c r="AF36" s="180" t="s">
        <v>56</v>
      </c>
      <c r="AG36" s="181"/>
      <c r="AH36" s="180" t="s">
        <v>73</v>
      </c>
      <c r="AI36" s="181"/>
      <c r="AJ36" s="180" t="s">
        <v>56</v>
      </c>
      <c r="AK36" s="181"/>
      <c r="AL36" s="180" t="s">
        <v>73</v>
      </c>
      <c r="AM36" s="181"/>
      <c r="AN36" s="180" t="s">
        <v>56</v>
      </c>
      <c r="AO36" s="181"/>
      <c r="AP36" s="180" t="s">
        <v>73</v>
      </c>
      <c r="AQ36" s="181"/>
      <c r="AR36" s="186"/>
      <c r="AS36" s="187"/>
      <c r="AT36" s="186"/>
      <c r="AU36" s="187"/>
      <c r="AV36" s="186"/>
      <c r="AW36" s="187"/>
      <c r="AX36" s="186"/>
      <c r="AY36" s="187"/>
      <c r="AZ36" s="188" t="str">
        <f t="shared" si="3"/>
        <v>Complete</v>
      </c>
      <c r="BA36" s="190"/>
    </row>
    <row r="37" spans="1:53" s="191" customFormat="1" ht="15.5" hidden="1" x14ac:dyDescent="0.35">
      <c r="A37" s="191" t="str">
        <f t="shared" si="1"/>
        <v>2026-FLEETWOOD -FOUR SEASON JACKSONVILLENPI</v>
      </c>
      <c r="B37" s="178" t="str">
        <f>VLOOKUP(E37,'Customer '!A:C,3,0)</f>
        <v>NON RH</v>
      </c>
      <c r="C37" s="178" t="s">
        <v>268</v>
      </c>
      <c r="D37" s="178" t="s">
        <v>306</v>
      </c>
      <c r="E37" s="179" t="s">
        <v>98</v>
      </c>
      <c r="F37" s="179" t="str">
        <f>VLOOKUP(E37,'Customer '!A:B,2,0)</f>
        <v xml:space="preserve">FLEETWOOD </v>
      </c>
      <c r="G37" s="178" t="s">
        <v>99</v>
      </c>
      <c r="H37" s="178" t="str">
        <f t="shared" si="2"/>
        <v>2026-FLEETWOOD -FOUR SEASON JACKSONVILLE</v>
      </c>
      <c r="I37" s="178">
        <v>0</v>
      </c>
      <c r="J37" s="180" t="s">
        <v>309</v>
      </c>
      <c r="K37" s="181" t="s">
        <v>273</v>
      </c>
      <c r="L37" s="180" t="s">
        <v>310</v>
      </c>
      <c r="M37" s="182">
        <v>45987</v>
      </c>
      <c r="N37" s="183">
        <v>46053</v>
      </c>
      <c r="O37" s="181"/>
      <c r="P37" s="183" t="str">
        <f>VLOOKUP(E37,'Customer '!A:D,4,0)</f>
        <v>25% desposit, 75% period shipment</v>
      </c>
      <c r="Q37" s="178" t="s">
        <v>51</v>
      </c>
      <c r="R37" s="178" t="s">
        <v>295</v>
      </c>
      <c r="S37" s="178">
        <v>37</v>
      </c>
      <c r="T37" s="184">
        <v>198023</v>
      </c>
      <c r="U37" s="184">
        <v>79470</v>
      </c>
      <c r="V37" s="184" t="s">
        <v>277</v>
      </c>
      <c r="W37" s="185">
        <v>2026</v>
      </c>
      <c r="X37" s="183">
        <v>46121</v>
      </c>
      <c r="Y37" s="183"/>
      <c r="Z37" s="183" t="s">
        <v>879</v>
      </c>
      <c r="AA37" s="183"/>
      <c r="AB37" s="183"/>
      <c r="AC37" s="183"/>
      <c r="AD37" s="180" t="s">
        <v>56</v>
      </c>
      <c r="AE37" s="181"/>
      <c r="AF37" s="180" t="s">
        <v>56</v>
      </c>
      <c r="AG37" s="181"/>
      <c r="AH37" s="180" t="s">
        <v>73</v>
      </c>
      <c r="AI37" s="181"/>
      <c r="AJ37" s="180" t="s">
        <v>56</v>
      </c>
      <c r="AK37" s="181"/>
      <c r="AL37" s="180" t="s">
        <v>73</v>
      </c>
      <c r="AM37" s="181"/>
      <c r="AN37" s="180" t="s">
        <v>56</v>
      </c>
      <c r="AO37" s="181"/>
      <c r="AP37" s="180" t="s">
        <v>73</v>
      </c>
      <c r="AQ37" s="181"/>
      <c r="AR37" s="186"/>
      <c r="AS37" s="187"/>
      <c r="AT37" s="186"/>
      <c r="AU37" s="187"/>
      <c r="AV37" s="186"/>
      <c r="AW37" s="187"/>
      <c r="AX37" s="186"/>
      <c r="AY37" s="187"/>
      <c r="AZ37" s="188" t="str">
        <f t="shared" si="3"/>
        <v>Active</v>
      </c>
      <c r="BA37" s="190"/>
    </row>
    <row r="38" spans="1:53" s="191" customFormat="1" ht="15.5" hidden="1" x14ac:dyDescent="0.35">
      <c r="A38" s="191" t="str">
        <f t="shared" si="1"/>
        <v>2026-FLEETWOOD -FOUR SEASON JACKSONVILLENPI</v>
      </c>
      <c r="B38" s="178" t="str">
        <f>VLOOKUP(E38,'Customer '!A:C,3,0)</f>
        <v>NON RH</v>
      </c>
      <c r="C38" s="178" t="s">
        <v>268</v>
      </c>
      <c r="D38" s="178" t="s">
        <v>306</v>
      </c>
      <c r="E38" s="179" t="s">
        <v>98</v>
      </c>
      <c r="F38" s="179" t="str">
        <f>VLOOKUP(E38,'Customer '!A:B,2,0)</f>
        <v xml:space="preserve">FLEETWOOD </v>
      </c>
      <c r="G38" s="178" t="s">
        <v>99</v>
      </c>
      <c r="H38" s="178" t="str">
        <f t="shared" si="2"/>
        <v>2026-FLEETWOOD -FOUR SEASON JACKSONVILLE</v>
      </c>
      <c r="I38" s="178">
        <v>0</v>
      </c>
      <c r="J38" s="180" t="s">
        <v>309</v>
      </c>
      <c r="K38" s="181" t="s">
        <v>273</v>
      </c>
      <c r="L38" s="180" t="s">
        <v>310</v>
      </c>
      <c r="M38" s="182">
        <v>45987</v>
      </c>
      <c r="N38" s="183">
        <v>46053</v>
      </c>
      <c r="O38" s="181"/>
      <c r="P38" s="183" t="str">
        <f>VLOOKUP(E38,'Customer '!A:D,4,0)</f>
        <v>25% desposit, 75% period shipment</v>
      </c>
      <c r="Q38" s="178" t="s">
        <v>51</v>
      </c>
      <c r="R38" s="178" t="s">
        <v>295</v>
      </c>
      <c r="S38" s="178">
        <v>37</v>
      </c>
      <c r="T38" s="184">
        <v>198023</v>
      </c>
      <c r="U38" s="184">
        <v>4295.41</v>
      </c>
      <c r="V38" s="184" t="s">
        <v>280</v>
      </c>
      <c r="W38" s="185">
        <v>2026</v>
      </c>
      <c r="X38" s="183">
        <v>46121</v>
      </c>
      <c r="Y38" s="183"/>
      <c r="Z38" s="183" t="s">
        <v>869</v>
      </c>
      <c r="AA38" s="183"/>
      <c r="AB38" s="183"/>
      <c r="AC38" s="183"/>
      <c r="AD38" s="180" t="s">
        <v>56</v>
      </c>
      <c r="AE38" s="181"/>
      <c r="AF38" s="180" t="s">
        <v>56</v>
      </c>
      <c r="AG38" s="181"/>
      <c r="AH38" s="180" t="s">
        <v>73</v>
      </c>
      <c r="AI38" s="181"/>
      <c r="AJ38" s="180" t="s">
        <v>56</v>
      </c>
      <c r="AK38" s="181"/>
      <c r="AL38" s="180" t="s">
        <v>73</v>
      </c>
      <c r="AM38" s="181"/>
      <c r="AN38" s="180" t="s">
        <v>56</v>
      </c>
      <c r="AO38" s="181"/>
      <c r="AP38" s="180" t="s">
        <v>73</v>
      </c>
      <c r="AQ38" s="181"/>
      <c r="AR38" s="186"/>
      <c r="AS38" s="187"/>
      <c r="AT38" s="186"/>
      <c r="AU38" s="187"/>
      <c r="AV38" s="186"/>
      <c r="AW38" s="187"/>
      <c r="AX38" s="186"/>
      <c r="AY38" s="187"/>
      <c r="AZ38" s="188" t="str">
        <f t="shared" si="3"/>
        <v>Active</v>
      </c>
      <c r="BA38" s="190"/>
    </row>
    <row r="39" spans="1:53" s="191" customFormat="1" ht="15.5" hidden="1" x14ac:dyDescent="0.35">
      <c r="A39" s="191" t="str">
        <f t="shared" si="1"/>
        <v>2026-FLEETWOOD -HARD ROCK LAS VEGAS WEST TOWERNPI</v>
      </c>
      <c r="B39" s="178" t="str">
        <f>VLOOKUP(E39,'Customer '!A:C,3,0)</f>
        <v>NON RH</v>
      </c>
      <c r="C39" s="178" t="s">
        <v>268</v>
      </c>
      <c r="D39" s="178" t="s">
        <v>340</v>
      </c>
      <c r="E39" s="179" t="s">
        <v>98</v>
      </c>
      <c r="F39" s="179" t="str">
        <f>VLOOKUP(E39,'Customer '!A:B,2,0)</f>
        <v xml:space="preserve">FLEETWOOD </v>
      </c>
      <c r="G39" s="178" t="s">
        <v>111</v>
      </c>
      <c r="H39" s="178" t="str">
        <f t="shared" si="2"/>
        <v>2026-FLEETWOOD -HARD ROCK LAS VEGAS WEST TOWER</v>
      </c>
      <c r="I39" s="178">
        <v>1</v>
      </c>
      <c r="J39" s="180" t="s">
        <v>284</v>
      </c>
      <c r="K39" s="181" t="s">
        <v>273</v>
      </c>
      <c r="L39" s="180" t="s">
        <v>327</v>
      </c>
      <c r="M39" s="182">
        <v>46130</v>
      </c>
      <c r="N39" s="183" t="s">
        <v>292</v>
      </c>
      <c r="O39" s="181"/>
      <c r="P39" s="183" t="str">
        <f>VLOOKUP(E39,'Customer '!A:D,4,0)</f>
        <v>25% desposit, 75% period shipment</v>
      </c>
      <c r="Q39" s="178" t="s">
        <v>51</v>
      </c>
      <c r="R39" s="178" t="s">
        <v>334</v>
      </c>
      <c r="S39" s="178">
        <v>94</v>
      </c>
      <c r="T39" s="184">
        <v>3218808.5900000008</v>
      </c>
      <c r="U39" s="184">
        <v>536468</v>
      </c>
      <c r="V39" s="184" t="s">
        <v>303</v>
      </c>
      <c r="W39" s="185">
        <v>2026</v>
      </c>
      <c r="X39" s="183"/>
      <c r="Y39" s="183"/>
      <c r="Z39" s="183"/>
      <c r="AA39" s="183"/>
      <c r="AB39" s="183"/>
      <c r="AC39" s="183"/>
      <c r="AD39" s="180" t="s">
        <v>304</v>
      </c>
      <c r="AE39" s="181"/>
      <c r="AF39" s="180" t="s">
        <v>56</v>
      </c>
      <c r="AG39" s="182">
        <v>45948</v>
      </c>
      <c r="AH39" s="180" t="s">
        <v>318</v>
      </c>
      <c r="AI39" s="181"/>
      <c r="AJ39" s="180" t="s">
        <v>318</v>
      </c>
      <c r="AK39" s="181"/>
      <c r="AL39" s="180" t="s">
        <v>72</v>
      </c>
      <c r="AM39" s="181"/>
      <c r="AN39" s="180" t="s">
        <v>304</v>
      </c>
      <c r="AO39" s="181"/>
      <c r="AP39" s="180" t="s">
        <v>331</v>
      </c>
      <c r="AQ39" s="181"/>
      <c r="AR39" s="186"/>
      <c r="AS39" s="187"/>
      <c r="AT39" s="186"/>
      <c r="AU39" s="187"/>
      <c r="AV39" s="186"/>
      <c r="AW39" s="187"/>
      <c r="AX39" s="186"/>
      <c r="AY39" s="187"/>
      <c r="AZ39" s="188" t="str">
        <f t="shared" si="3"/>
        <v>Active</v>
      </c>
      <c r="BA39" s="190"/>
    </row>
    <row r="40" spans="1:53" s="191" customFormat="1" ht="15.5" hidden="1" x14ac:dyDescent="0.35">
      <c r="A40" s="191" t="str">
        <f t="shared" si="1"/>
        <v>2026-FLEETWOOD -HARD ROCK LAS VEGAS WEST TOWERNPI</v>
      </c>
      <c r="B40" s="178" t="str">
        <f>VLOOKUP(E40,'Customer '!A:C,3,0)</f>
        <v>NON RH</v>
      </c>
      <c r="C40" s="178" t="s">
        <v>268</v>
      </c>
      <c r="D40" s="178" t="s">
        <v>340</v>
      </c>
      <c r="E40" s="179" t="s">
        <v>98</v>
      </c>
      <c r="F40" s="179" t="str">
        <f>VLOOKUP(E40,'Customer '!A:B,2,0)</f>
        <v xml:space="preserve">FLEETWOOD </v>
      </c>
      <c r="G40" s="178" t="s">
        <v>111</v>
      </c>
      <c r="H40" s="178" t="str">
        <f t="shared" si="2"/>
        <v>2026-FLEETWOOD -HARD ROCK LAS VEGAS WEST TOWER</v>
      </c>
      <c r="I40" s="178">
        <v>0</v>
      </c>
      <c r="J40" s="180" t="s">
        <v>284</v>
      </c>
      <c r="K40" s="181" t="s">
        <v>273</v>
      </c>
      <c r="L40" s="180" t="s">
        <v>327</v>
      </c>
      <c r="M40" s="182">
        <v>46130</v>
      </c>
      <c r="N40" s="183" t="s">
        <v>292</v>
      </c>
      <c r="O40" s="181"/>
      <c r="P40" s="183" t="str">
        <f>VLOOKUP(E40,'Customer '!A:D,4,0)</f>
        <v>25% desposit, 75% period shipment</v>
      </c>
      <c r="Q40" s="178" t="s">
        <v>51</v>
      </c>
      <c r="R40" s="178" t="s">
        <v>334</v>
      </c>
      <c r="S40" s="178">
        <v>94</v>
      </c>
      <c r="T40" s="184">
        <v>3218808.5900000008</v>
      </c>
      <c r="U40" s="184">
        <v>1341170</v>
      </c>
      <c r="V40" s="184" t="s">
        <v>311</v>
      </c>
      <c r="W40" s="185">
        <v>2026</v>
      </c>
      <c r="X40" s="183"/>
      <c r="Y40" s="183"/>
      <c r="Z40" s="183"/>
      <c r="AA40" s="183"/>
      <c r="AB40" s="183"/>
      <c r="AC40" s="183"/>
      <c r="AD40" s="180" t="s">
        <v>304</v>
      </c>
      <c r="AE40" s="181"/>
      <c r="AF40" s="180" t="s">
        <v>56</v>
      </c>
      <c r="AG40" s="182">
        <v>45948</v>
      </c>
      <c r="AH40" s="180" t="s">
        <v>318</v>
      </c>
      <c r="AI40" s="181"/>
      <c r="AJ40" s="180" t="s">
        <v>318</v>
      </c>
      <c r="AK40" s="181"/>
      <c r="AL40" s="180" t="s">
        <v>72</v>
      </c>
      <c r="AM40" s="181"/>
      <c r="AN40" s="180" t="s">
        <v>304</v>
      </c>
      <c r="AO40" s="181"/>
      <c r="AP40" s="180" t="s">
        <v>331</v>
      </c>
      <c r="AQ40" s="181"/>
      <c r="AR40" s="186"/>
      <c r="AS40" s="187"/>
      <c r="AT40" s="186"/>
      <c r="AU40" s="187"/>
      <c r="AV40" s="186"/>
      <c r="AW40" s="187"/>
      <c r="AX40" s="186"/>
      <c r="AY40" s="187"/>
      <c r="AZ40" s="188" t="str">
        <f t="shared" si="3"/>
        <v>Active</v>
      </c>
      <c r="BA40" s="190"/>
    </row>
    <row r="41" spans="1:53" s="191" customFormat="1" ht="15.5" hidden="1" x14ac:dyDescent="0.35">
      <c r="A41" s="191" t="str">
        <f t="shared" si="1"/>
        <v>2026-FLEETWOOD -HARD ROCK LAS VEGAS WEST TOWERNPI</v>
      </c>
      <c r="B41" s="178" t="str">
        <f>VLOOKUP(E41,'Customer '!A:C,3,0)</f>
        <v>NON RH</v>
      </c>
      <c r="C41" s="178" t="s">
        <v>268</v>
      </c>
      <c r="D41" s="178" t="s">
        <v>340</v>
      </c>
      <c r="E41" s="179" t="s">
        <v>98</v>
      </c>
      <c r="F41" s="179" t="str">
        <f>VLOOKUP(E41,'Customer '!A:B,2,0)</f>
        <v xml:space="preserve">FLEETWOOD </v>
      </c>
      <c r="G41" s="178" t="s">
        <v>111</v>
      </c>
      <c r="H41" s="178" t="str">
        <f t="shared" si="2"/>
        <v>2026-FLEETWOOD -HARD ROCK LAS VEGAS WEST TOWER</v>
      </c>
      <c r="I41" s="178">
        <v>0</v>
      </c>
      <c r="J41" s="180" t="s">
        <v>284</v>
      </c>
      <c r="K41" s="181" t="s">
        <v>273</v>
      </c>
      <c r="L41" s="180" t="s">
        <v>327</v>
      </c>
      <c r="M41" s="182">
        <v>46130</v>
      </c>
      <c r="N41" s="183" t="s">
        <v>292</v>
      </c>
      <c r="O41" s="181"/>
      <c r="P41" s="183" t="str">
        <f>VLOOKUP(E41,'Customer '!A:D,4,0)</f>
        <v>25% desposit, 75% period shipment</v>
      </c>
      <c r="Q41" s="178" t="s">
        <v>51</v>
      </c>
      <c r="R41" s="178" t="s">
        <v>334</v>
      </c>
      <c r="S41" s="178">
        <v>94</v>
      </c>
      <c r="T41" s="184">
        <v>3218808.5900000008</v>
      </c>
      <c r="U41" s="184">
        <v>1341170</v>
      </c>
      <c r="V41" s="184" t="s">
        <v>330</v>
      </c>
      <c r="W41" s="185">
        <v>2026</v>
      </c>
      <c r="X41" s="183"/>
      <c r="Y41" s="183"/>
      <c r="Z41" s="183"/>
      <c r="AA41" s="183"/>
      <c r="AB41" s="183"/>
      <c r="AC41" s="183"/>
      <c r="AD41" s="180" t="s">
        <v>304</v>
      </c>
      <c r="AE41" s="181"/>
      <c r="AF41" s="180" t="s">
        <v>56</v>
      </c>
      <c r="AG41" s="182">
        <v>45948</v>
      </c>
      <c r="AH41" s="180" t="s">
        <v>318</v>
      </c>
      <c r="AI41" s="181"/>
      <c r="AJ41" s="180" t="s">
        <v>318</v>
      </c>
      <c r="AK41" s="181"/>
      <c r="AL41" s="180" t="s">
        <v>72</v>
      </c>
      <c r="AM41" s="181"/>
      <c r="AN41" s="180" t="s">
        <v>304</v>
      </c>
      <c r="AO41" s="181"/>
      <c r="AP41" s="180" t="s">
        <v>331</v>
      </c>
      <c r="AQ41" s="181"/>
      <c r="AR41" s="186"/>
      <c r="AS41" s="187"/>
      <c r="AT41" s="186"/>
      <c r="AU41" s="187"/>
      <c r="AV41" s="186"/>
      <c r="AW41" s="187"/>
      <c r="AX41" s="186"/>
      <c r="AY41" s="187"/>
      <c r="AZ41" s="188" t="str">
        <f t="shared" si="3"/>
        <v>Active</v>
      </c>
      <c r="BA41" s="190"/>
    </row>
    <row r="42" spans="1:53" s="191" customFormat="1" ht="15.5" x14ac:dyDescent="0.35">
      <c r="A42" s="191" t="str">
        <f t="shared" si="1"/>
        <v>2026-FLEETWOOD -HWVP PHASE 2NPI</v>
      </c>
      <c r="B42" s="178" t="str">
        <f>VLOOKUP(E42,'Customer '!A:C,3,0)</f>
        <v>NON RH</v>
      </c>
      <c r="C42" s="178" t="s">
        <v>268</v>
      </c>
      <c r="D42" s="178" t="s">
        <v>298</v>
      </c>
      <c r="E42" s="179" t="s">
        <v>98</v>
      </c>
      <c r="F42" s="179" t="str">
        <f>VLOOKUP(E42,'Customer '!A:B,2,0)</f>
        <v xml:space="preserve">FLEETWOOD </v>
      </c>
      <c r="G42" s="178" t="s">
        <v>117</v>
      </c>
      <c r="H42" s="178" t="str">
        <f t="shared" si="2"/>
        <v>2026-FLEETWOOD -HWVP PHASE 2</v>
      </c>
      <c r="I42" s="178">
        <v>1</v>
      </c>
      <c r="J42" s="180" t="s">
        <v>272</v>
      </c>
      <c r="K42" s="181" t="s">
        <v>291</v>
      </c>
      <c r="L42" s="180" t="s">
        <v>274</v>
      </c>
      <c r="M42" s="182">
        <v>45995</v>
      </c>
      <c r="N42" s="183">
        <v>46024</v>
      </c>
      <c r="O42" s="181"/>
      <c r="P42" s="183" t="str">
        <f>VLOOKUP(E42,'Customer '!A:D,4,0)</f>
        <v>25% desposit, 75% period shipment</v>
      </c>
      <c r="Q42" s="178" t="s">
        <v>51</v>
      </c>
      <c r="R42" s="178" t="s">
        <v>346</v>
      </c>
      <c r="S42" s="178">
        <v>7</v>
      </c>
      <c r="T42" s="184">
        <v>7015.5</v>
      </c>
      <c r="U42" s="184">
        <v>7015.5</v>
      </c>
      <c r="V42" s="184" t="s">
        <v>294</v>
      </c>
      <c r="W42" s="185">
        <v>2026</v>
      </c>
      <c r="X42" s="183" t="s">
        <v>347</v>
      </c>
      <c r="Y42" s="183"/>
      <c r="Z42" s="183" t="s">
        <v>867</v>
      </c>
      <c r="AA42" s="183"/>
      <c r="AB42" s="183"/>
      <c r="AC42" s="183"/>
      <c r="AD42" s="180" t="s">
        <v>56</v>
      </c>
      <c r="AE42" s="181"/>
      <c r="AF42" s="180"/>
      <c r="AG42" s="181"/>
      <c r="AH42" s="180"/>
      <c r="AI42" s="181"/>
      <c r="AJ42" s="180"/>
      <c r="AK42" s="181"/>
      <c r="AL42" s="180"/>
      <c r="AM42" s="181"/>
      <c r="AN42" s="180"/>
      <c r="AO42" s="181"/>
      <c r="AP42" s="180"/>
      <c r="AQ42" s="181"/>
      <c r="AR42" s="186"/>
      <c r="AS42" s="187"/>
      <c r="AT42" s="186"/>
      <c r="AU42" s="187"/>
      <c r="AV42" s="186"/>
      <c r="AW42" s="187"/>
      <c r="AX42" s="186"/>
      <c r="AY42" s="187"/>
      <c r="AZ42" s="188" t="str">
        <f t="shared" si="3"/>
        <v>Complete</v>
      </c>
      <c r="BA42" s="190"/>
    </row>
    <row r="43" spans="1:53" s="191" customFormat="1" ht="15.5" hidden="1" x14ac:dyDescent="0.35">
      <c r="A43" s="191" t="str">
        <f t="shared" si="1"/>
        <v>2026-THE PARKER-JAMES NY NOMADNPI</v>
      </c>
      <c r="B43" s="178" t="str">
        <f>VLOOKUP(E43,'Customer '!A:C,3,0)</f>
        <v>NON RH</v>
      </c>
      <c r="C43" s="178" t="s">
        <v>268</v>
      </c>
      <c r="D43" s="178" t="s">
        <v>348</v>
      </c>
      <c r="E43" s="179" t="s">
        <v>119</v>
      </c>
      <c r="F43" s="179" t="str">
        <f>VLOOKUP(E43,'Customer '!A:B,2,0)</f>
        <v>THE PARKER</v>
      </c>
      <c r="G43" s="178" t="s">
        <v>120</v>
      </c>
      <c r="H43" s="178" t="str">
        <f t="shared" si="2"/>
        <v>2026-THE PARKER-JAMES NY NOMAD</v>
      </c>
      <c r="I43" s="178">
        <v>1</v>
      </c>
      <c r="J43" s="180" t="s">
        <v>133</v>
      </c>
      <c r="K43" s="181" t="s">
        <v>291</v>
      </c>
      <c r="L43" s="180" t="s">
        <v>274</v>
      </c>
      <c r="M43" s="182">
        <v>46031</v>
      </c>
      <c r="N43" s="183">
        <v>46031</v>
      </c>
      <c r="O43" s="181"/>
      <c r="P43" s="183" t="e">
        <f>VLOOKUP(E43,'Customer '!A:D,4,0)</f>
        <v>#N/A</v>
      </c>
      <c r="Q43" s="178" t="s">
        <v>51</v>
      </c>
      <c r="R43" s="178" t="s">
        <v>325</v>
      </c>
      <c r="S43" s="178">
        <v>1</v>
      </c>
      <c r="T43" s="184">
        <v>3167.5099999999998</v>
      </c>
      <c r="U43" s="184">
        <v>3167.51</v>
      </c>
      <c r="V43" s="184" t="s">
        <v>277</v>
      </c>
      <c r="W43" s="185">
        <v>2026</v>
      </c>
      <c r="X43" s="183">
        <v>46152</v>
      </c>
      <c r="Y43" s="183"/>
      <c r="Z43" s="183" t="s">
        <v>880</v>
      </c>
      <c r="AA43" s="183"/>
      <c r="AB43" s="183"/>
      <c r="AC43" s="183"/>
      <c r="AD43" s="180" t="s">
        <v>56</v>
      </c>
      <c r="AE43" s="181"/>
      <c r="AF43" s="180" t="s">
        <v>56</v>
      </c>
      <c r="AG43" s="181"/>
      <c r="AH43" s="180" t="s">
        <v>73</v>
      </c>
      <c r="AI43" s="181"/>
      <c r="AJ43" s="180" t="s">
        <v>56</v>
      </c>
      <c r="AK43" s="181"/>
      <c r="AL43" s="180" t="s">
        <v>73</v>
      </c>
      <c r="AM43" s="181"/>
      <c r="AN43" s="180" t="s">
        <v>56</v>
      </c>
      <c r="AO43" s="181"/>
      <c r="AP43" s="180" t="s">
        <v>57</v>
      </c>
      <c r="AQ43" s="181"/>
      <c r="AR43" s="186"/>
      <c r="AS43" s="187"/>
      <c r="AT43" s="186"/>
      <c r="AU43" s="187"/>
      <c r="AV43" s="186"/>
      <c r="AW43" s="187"/>
      <c r="AX43" s="186"/>
      <c r="AY43" s="187"/>
      <c r="AZ43" s="188" t="str">
        <f t="shared" si="3"/>
        <v>Active</v>
      </c>
      <c r="BA43" s="190"/>
    </row>
    <row r="44" spans="1:53" s="191" customFormat="1" ht="15.5" hidden="1" x14ac:dyDescent="0.35">
      <c r="A44" s="191" t="str">
        <f t="shared" si="1"/>
        <v>2026-KD-KNOX DALLASNPI</v>
      </c>
      <c r="B44" s="178" t="str">
        <f>VLOOKUP(E44,'Customer '!A:C,3,0)</f>
        <v>NON RH</v>
      </c>
      <c r="C44" s="178" t="s">
        <v>268</v>
      </c>
      <c r="D44" s="178" t="s">
        <v>306</v>
      </c>
      <c r="E44" s="179" t="s">
        <v>122</v>
      </c>
      <c r="F44" s="179" t="str">
        <f>VLOOKUP(E44,'Customer '!A:B,2,0)</f>
        <v>KD</v>
      </c>
      <c r="G44" s="178" t="s">
        <v>123</v>
      </c>
      <c r="H44" s="178" t="str">
        <f t="shared" si="2"/>
        <v>2026-KD-KNOX DALLAS</v>
      </c>
      <c r="I44" s="178">
        <v>1</v>
      </c>
      <c r="J44" s="180" t="s">
        <v>272</v>
      </c>
      <c r="K44" s="181" t="s">
        <v>273</v>
      </c>
      <c r="L44" s="180" t="s">
        <v>274</v>
      </c>
      <c r="M44" s="182"/>
      <c r="N44" s="183">
        <v>46113</v>
      </c>
      <c r="O44" s="181"/>
      <c r="P44" s="183" t="e">
        <f>VLOOKUP(E44,'Customer '!A:D,4,0)</f>
        <v>#N/A</v>
      </c>
      <c r="Q44" s="178" t="s">
        <v>51</v>
      </c>
      <c r="R44" s="178" t="s">
        <v>349</v>
      </c>
      <c r="S44" s="178">
        <v>30</v>
      </c>
      <c r="T44" s="184">
        <v>103174.91000000003</v>
      </c>
      <c r="U44" s="184">
        <v>22782.880000000001</v>
      </c>
      <c r="V44" s="184" t="s">
        <v>321</v>
      </c>
      <c r="W44" s="185">
        <v>2026</v>
      </c>
      <c r="X44" s="183">
        <v>45891</v>
      </c>
      <c r="Y44" s="183"/>
      <c r="Z44" s="183" t="s">
        <v>322</v>
      </c>
      <c r="AA44" s="183"/>
      <c r="AB44" s="183"/>
      <c r="AC44" s="183"/>
      <c r="AD44" s="180" t="s">
        <v>56</v>
      </c>
      <c r="AE44" s="181"/>
      <c r="AF44" s="180" t="s">
        <v>56</v>
      </c>
      <c r="AG44" s="181"/>
      <c r="AH44" s="180" t="s">
        <v>56</v>
      </c>
      <c r="AI44" s="181"/>
      <c r="AJ44" s="180" t="s">
        <v>56</v>
      </c>
      <c r="AK44" s="181"/>
      <c r="AL44" s="180" t="s">
        <v>56</v>
      </c>
      <c r="AM44" s="181"/>
      <c r="AN44" s="180" t="s">
        <v>56</v>
      </c>
      <c r="AO44" s="181"/>
      <c r="AP44" s="180" t="s">
        <v>57</v>
      </c>
      <c r="AQ44" s="181"/>
      <c r="AR44" s="186"/>
      <c r="AS44" s="187"/>
      <c r="AT44" s="186"/>
      <c r="AU44" s="187"/>
      <c r="AV44" s="186"/>
      <c r="AW44" s="187"/>
      <c r="AX44" s="186"/>
      <c r="AY44" s="187"/>
      <c r="AZ44" s="188" t="str">
        <f t="shared" si="3"/>
        <v>Complete</v>
      </c>
      <c r="BA44" s="190"/>
    </row>
    <row r="45" spans="1:53" s="191" customFormat="1" ht="15.5" hidden="1" x14ac:dyDescent="0.35">
      <c r="A45" s="191" t="str">
        <f t="shared" si="1"/>
        <v>2026-KD-KNOX DALLASNPI</v>
      </c>
      <c r="B45" s="178" t="str">
        <f>VLOOKUP(E45,'Customer '!A:C,3,0)</f>
        <v>NON RH</v>
      </c>
      <c r="C45" s="178" t="s">
        <v>268</v>
      </c>
      <c r="D45" s="178" t="s">
        <v>306</v>
      </c>
      <c r="E45" s="179" t="s">
        <v>122</v>
      </c>
      <c r="F45" s="179" t="str">
        <f>VLOOKUP(E45,'Customer '!A:B,2,0)</f>
        <v>KD</v>
      </c>
      <c r="G45" s="178" t="s">
        <v>123</v>
      </c>
      <c r="H45" s="178" t="str">
        <f t="shared" si="2"/>
        <v>2026-KD-KNOX DALLAS</v>
      </c>
      <c r="I45" s="178">
        <v>1</v>
      </c>
      <c r="J45" s="180" t="s">
        <v>272</v>
      </c>
      <c r="K45" s="181" t="s">
        <v>273</v>
      </c>
      <c r="L45" s="180" t="s">
        <v>274</v>
      </c>
      <c r="M45" s="182"/>
      <c r="N45" s="183">
        <v>46113</v>
      </c>
      <c r="O45" s="181"/>
      <c r="P45" s="183" t="e">
        <f>VLOOKUP(E45,'Customer '!A:D,4,0)</f>
        <v>#N/A</v>
      </c>
      <c r="Q45" s="178" t="s">
        <v>51</v>
      </c>
      <c r="R45" s="178" t="s">
        <v>349</v>
      </c>
      <c r="S45" s="178">
        <v>30</v>
      </c>
      <c r="T45" s="184">
        <v>103174.91000000003</v>
      </c>
      <c r="U45" s="184">
        <v>45565.760000000002</v>
      </c>
      <c r="V45" s="184" t="s">
        <v>294</v>
      </c>
      <c r="W45" s="185">
        <v>2026</v>
      </c>
      <c r="X45" s="183">
        <v>45891</v>
      </c>
      <c r="Y45" s="183"/>
      <c r="Z45" s="183" t="s">
        <v>322</v>
      </c>
      <c r="AA45" s="183"/>
      <c r="AB45" s="183"/>
      <c r="AC45" s="183"/>
      <c r="AD45" s="180" t="s">
        <v>56</v>
      </c>
      <c r="AE45" s="181"/>
      <c r="AF45" s="180" t="s">
        <v>56</v>
      </c>
      <c r="AG45" s="181"/>
      <c r="AH45" s="180" t="s">
        <v>56</v>
      </c>
      <c r="AI45" s="181"/>
      <c r="AJ45" s="180" t="s">
        <v>56</v>
      </c>
      <c r="AK45" s="181"/>
      <c r="AL45" s="180" t="s">
        <v>56</v>
      </c>
      <c r="AM45" s="181"/>
      <c r="AN45" s="180" t="s">
        <v>56</v>
      </c>
      <c r="AO45" s="181"/>
      <c r="AP45" s="180" t="s">
        <v>57</v>
      </c>
      <c r="AQ45" s="181"/>
      <c r="AR45" s="186"/>
      <c r="AS45" s="187"/>
      <c r="AT45" s="186"/>
      <c r="AU45" s="187"/>
      <c r="AV45" s="186"/>
      <c r="AW45" s="187"/>
      <c r="AX45" s="186"/>
      <c r="AY45" s="187"/>
      <c r="AZ45" s="188" t="str">
        <f t="shared" si="3"/>
        <v>Complete</v>
      </c>
      <c r="BA45" s="190"/>
    </row>
    <row r="46" spans="1:53" s="191" customFormat="1" ht="15.5" hidden="1" x14ac:dyDescent="0.35">
      <c r="A46" s="191" t="str">
        <f t="shared" si="1"/>
        <v>2026-KD-KNOX DALLASNPI</v>
      </c>
      <c r="B46" s="178" t="str">
        <f>VLOOKUP(E46,'Customer '!A:C,3,0)</f>
        <v>NON RH</v>
      </c>
      <c r="C46" s="178" t="s">
        <v>268</v>
      </c>
      <c r="D46" s="178" t="s">
        <v>306</v>
      </c>
      <c r="E46" s="179" t="s">
        <v>122</v>
      </c>
      <c r="F46" s="179" t="str">
        <f>VLOOKUP(E46,'Customer '!A:B,2,0)</f>
        <v>KD</v>
      </c>
      <c r="G46" s="178" t="s">
        <v>123</v>
      </c>
      <c r="H46" s="178" t="str">
        <f t="shared" si="2"/>
        <v>2026-KD-KNOX DALLAS</v>
      </c>
      <c r="I46" s="178">
        <v>1</v>
      </c>
      <c r="J46" s="180" t="s">
        <v>272</v>
      </c>
      <c r="K46" s="181" t="s">
        <v>273</v>
      </c>
      <c r="L46" s="180" t="s">
        <v>274</v>
      </c>
      <c r="M46" s="182"/>
      <c r="N46" s="183">
        <v>46113</v>
      </c>
      <c r="O46" s="181"/>
      <c r="P46" s="183" t="e">
        <f>VLOOKUP(E46,'Customer '!A:D,4,0)</f>
        <v>#N/A</v>
      </c>
      <c r="Q46" s="178" t="s">
        <v>51</v>
      </c>
      <c r="R46" s="178" t="s">
        <v>349</v>
      </c>
      <c r="S46" s="178">
        <v>30</v>
      </c>
      <c r="T46" s="184">
        <v>103174.91000000003</v>
      </c>
      <c r="U46" s="184">
        <v>22783</v>
      </c>
      <c r="V46" s="184" t="s">
        <v>294</v>
      </c>
      <c r="W46" s="185">
        <v>2026</v>
      </c>
      <c r="X46" s="183">
        <v>45891</v>
      </c>
      <c r="Y46" s="183"/>
      <c r="Z46" s="183" t="s">
        <v>322</v>
      </c>
      <c r="AA46" s="183"/>
      <c r="AB46" s="183"/>
      <c r="AC46" s="183"/>
      <c r="AD46" s="180" t="s">
        <v>56</v>
      </c>
      <c r="AE46" s="181"/>
      <c r="AF46" s="180" t="s">
        <v>56</v>
      </c>
      <c r="AG46" s="181"/>
      <c r="AH46" s="180" t="s">
        <v>56</v>
      </c>
      <c r="AI46" s="181"/>
      <c r="AJ46" s="180" t="s">
        <v>56</v>
      </c>
      <c r="AK46" s="181"/>
      <c r="AL46" s="180" t="s">
        <v>56</v>
      </c>
      <c r="AM46" s="181"/>
      <c r="AN46" s="180" t="s">
        <v>56</v>
      </c>
      <c r="AO46" s="181"/>
      <c r="AP46" s="180" t="s">
        <v>57</v>
      </c>
      <c r="AQ46" s="181"/>
      <c r="AR46" s="186"/>
      <c r="AS46" s="187"/>
      <c r="AT46" s="186"/>
      <c r="AU46" s="187"/>
      <c r="AV46" s="186"/>
      <c r="AW46" s="187"/>
      <c r="AX46" s="186"/>
      <c r="AY46" s="187"/>
      <c r="AZ46" s="188" t="str">
        <f t="shared" si="3"/>
        <v>Complete</v>
      </c>
      <c r="BA46" s="190"/>
    </row>
    <row r="47" spans="1:53" s="191" customFormat="1" ht="15.5" hidden="1" x14ac:dyDescent="0.35">
      <c r="A47" s="191" t="str">
        <f t="shared" si="1"/>
        <v>2026-KD-KNOX DALLASNPI</v>
      </c>
      <c r="B47" s="178" t="str">
        <f>VLOOKUP(E47,'Customer '!A:C,3,0)</f>
        <v>NON RH</v>
      </c>
      <c r="C47" s="178" t="s">
        <v>268</v>
      </c>
      <c r="D47" s="178" t="s">
        <v>306</v>
      </c>
      <c r="E47" s="179" t="s">
        <v>122</v>
      </c>
      <c r="F47" s="179" t="str">
        <f>VLOOKUP(E47,'Customer '!A:B,2,0)</f>
        <v>KD</v>
      </c>
      <c r="G47" s="178" t="s">
        <v>123</v>
      </c>
      <c r="H47" s="178" t="str">
        <f t="shared" si="2"/>
        <v>2026-KD-KNOX DALLAS</v>
      </c>
      <c r="I47" s="178">
        <v>1</v>
      </c>
      <c r="J47" s="180" t="s">
        <v>309</v>
      </c>
      <c r="K47" s="181" t="s">
        <v>273</v>
      </c>
      <c r="L47" s="180" t="s">
        <v>274</v>
      </c>
      <c r="M47" s="182">
        <v>46052</v>
      </c>
      <c r="N47" s="183">
        <v>46113</v>
      </c>
      <c r="O47" s="181"/>
      <c r="P47" s="183" t="e">
        <f>VLOOKUP(E47,'Customer '!A:D,4,0)</f>
        <v>#N/A</v>
      </c>
      <c r="Q47" s="178" t="s">
        <v>51</v>
      </c>
      <c r="R47" s="178" t="s">
        <v>349</v>
      </c>
      <c r="S47" s="178">
        <v>30</v>
      </c>
      <c r="T47" s="184">
        <v>103174.91000000003</v>
      </c>
      <c r="U47" s="184">
        <v>12043.39</v>
      </c>
      <c r="V47" s="184" t="s">
        <v>282</v>
      </c>
      <c r="W47" s="185">
        <v>2026</v>
      </c>
      <c r="X47" s="183">
        <v>45891</v>
      </c>
      <c r="Y47" s="183"/>
      <c r="Z47" s="183" t="s">
        <v>881</v>
      </c>
      <c r="AA47" s="183"/>
      <c r="AB47" s="183"/>
      <c r="AC47" s="183"/>
      <c r="AD47" s="180" t="s">
        <v>56</v>
      </c>
      <c r="AE47" s="181"/>
      <c r="AF47" s="180" t="s">
        <v>56</v>
      </c>
      <c r="AG47" s="181"/>
      <c r="AH47" s="180" t="s">
        <v>56</v>
      </c>
      <c r="AI47" s="181"/>
      <c r="AJ47" s="180" t="s">
        <v>56</v>
      </c>
      <c r="AK47" s="181"/>
      <c r="AL47" s="180" t="s">
        <v>56</v>
      </c>
      <c r="AM47" s="181"/>
      <c r="AN47" s="180" t="s">
        <v>56</v>
      </c>
      <c r="AO47" s="181"/>
      <c r="AP47" s="180" t="s">
        <v>57</v>
      </c>
      <c r="AQ47" s="181" t="s">
        <v>331</v>
      </c>
      <c r="AR47" s="186"/>
      <c r="AS47" s="187"/>
      <c r="AT47" s="186"/>
      <c r="AU47" s="187"/>
      <c r="AV47" s="186"/>
      <c r="AW47" s="187"/>
      <c r="AX47" s="186"/>
      <c r="AY47" s="187"/>
      <c r="AZ47" s="188" t="str">
        <f t="shared" si="3"/>
        <v>Active</v>
      </c>
      <c r="BA47" s="190"/>
    </row>
    <row r="48" spans="1:53" s="191" customFormat="1" ht="15.5" hidden="1" x14ac:dyDescent="0.35">
      <c r="A48" s="191" t="str">
        <f t="shared" si="1"/>
        <v>2026-KD-KNOX DALLAS SUITENPI</v>
      </c>
      <c r="B48" s="178" t="str">
        <f>VLOOKUP(E48,'Customer '!A:C,3,0)</f>
        <v>NON RH</v>
      </c>
      <c r="C48" s="178" t="s">
        <v>268</v>
      </c>
      <c r="D48" s="178" t="s">
        <v>306</v>
      </c>
      <c r="E48" s="179" t="s">
        <v>122</v>
      </c>
      <c r="F48" s="179" t="str">
        <f>VLOOKUP(E48,'Customer '!A:B,2,0)</f>
        <v>KD</v>
      </c>
      <c r="G48" s="178" t="s">
        <v>127</v>
      </c>
      <c r="H48" s="178" t="str">
        <f t="shared" si="2"/>
        <v>2026-KD-KNOX DALLAS SUITE</v>
      </c>
      <c r="I48" s="178">
        <v>1</v>
      </c>
      <c r="J48" s="180" t="s">
        <v>309</v>
      </c>
      <c r="K48" s="181" t="s">
        <v>291</v>
      </c>
      <c r="L48" s="180" t="s">
        <v>333</v>
      </c>
      <c r="M48" s="182">
        <v>46100</v>
      </c>
      <c r="N48" s="183">
        <v>46053</v>
      </c>
      <c r="O48" s="181"/>
      <c r="P48" s="183" t="e">
        <f>VLOOKUP(E48,'Customer '!A:D,4,0)</f>
        <v>#N/A</v>
      </c>
      <c r="Q48" s="178" t="s">
        <v>51</v>
      </c>
      <c r="R48" s="178" t="s">
        <v>349</v>
      </c>
      <c r="S48" s="178">
        <v>50</v>
      </c>
      <c r="T48" s="184">
        <v>367264.72</v>
      </c>
      <c r="U48" s="209">
        <v>367264.72</v>
      </c>
      <c r="V48" s="184" t="s">
        <v>297</v>
      </c>
      <c r="W48" s="185">
        <v>2026</v>
      </c>
      <c r="X48" s="183">
        <v>46157</v>
      </c>
      <c r="Y48" s="183"/>
      <c r="Z48" s="183" t="s">
        <v>882</v>
      </c>
      <c r="AA48" s="183"/>
      <c r="AB48" s="183"/>
      <c r="AC48" s="183"/>
      <c r="AD48" s="180" t="s">
        <v>318</v>
      </c>
      <c r="AE48" s="181"/>
      <c r="AF48" s="180" t="s">
        <v>56</v>
      </c>
      <c r="AG48" s="181"/>
      <c r="AH48" s="180" t="s">
        <v>56</v>
      </c>
      <c r="AI48" s="181"/>
      <c r="AJ48" s="180" t="s">
        <v>56</v>
      </c>
      <c r="AK48" s="181"/>
      <c r="AL48" s="180" t="s">
        <v>56</v>
      </c>
      <c r="AM48" s="181"/>
      <c r="AN48" s="180" t="s">
        <v>73</v>
      </c>
      <c r="AO48" s="181"/>
      <c r="AP48" s="180" t="s">
        <v>57</v>
      </c>
      <c r="AQ48" s="181" t="s">
        <v>331</v>
      </c>
      <c r="AR48" s="186"/>
      <c r="AS48" s="187"/>
      <c r="AT48" s="186"/>
      <c r="AU48" s="187"/>
      <c r="AV48" s="186"/>
      <c r="AW48" s="187"/>
      <c r="AX48" s="186"/>
      <c r="AY48" s="187"/>
      <c r="AZ48" s="188" t="str">
        <f t="shared" si="3"/>
        <v>Active</v>
      </c>
      <c r="BA48" s="190"/>
    </row>
    <row r="49" spans="1:53" s="191" customFormat="1" ht="15.5" hidden="1" x14ac:dyDescent="0.35">
      <c r="A49" s="191" t="str">
        <f t="shared" si="1"/>
        <v>2026-AHMADIAH-MARRIOTT KHOBARNPI</v>
      </c>
      <c r="B49" s="178" t="str">
        <f>VLOOKUP(E49,'Customer '!A:C,3,0)</f>
        <v>NON RH</v>
      </c>
      <c r="C49" s="178" t="s">
        <v>268</v>
      </c>
      <c r="D49" s="178" t="s">
        <v>319</v>
      </c>
      <c r="E49" s="178" t="s">
        <v>130</v>
      </c>
      <c r="F49" s="179" t="str">
        <f>VLOOKUP(E49,'Customer '!A:B,2,0)</f>
        <v>AHMADIAH</v>
      </c>
      <c r="G49" s="178" t="s">
        <v>131</v>
      </c>
      <c r="H49" s="178" t="str">
        <f t="shared" si="2"/>
        <v>2026-AHMADIAH-MARRIOTT KHOBAR</v>
      </c>
      <c r="I49" s="178">
        <v>1</v>
      </c>
      <c r="J49" s="180" t="s">
        <v>300</v>
      </c>
      <c r="K49" s="181" t="s">
        <v>273</v>
      </c>
      <c r="L49" s="180"/>
      <c r="M49" s="182"/>
      <c r="N49" s="183" t="s">
        <v>292</v>
      </c>
      <c r="O49" s="181"/>
      <c r="P49" s="183" t="e">
        <f>VLOOKUP(E49,'Customer '!A:D,4,0)</f>
        <v>#N/A</v>
      </c>
      <c r="Q49" s="178" t="s">
        <v>132</v>
      </c>
      <c r="R49" s="178" t="s">
        <v>350</v>
      </c>
      <c r="S49" s="178">
        <v>35</v>
      </c>
      <c r="T49" s="184"/>
      <c r="U49" s="184"/>
      <c r="V49" s="185" t="s">
        <v>351</v>
      </c>
      <c r="W49" s="185" t="s">
        <v>351</v>
      </c>
      <c r="X49" s="183" t="s">
        <v>292</v>
      </c>
      <c r="Y49" s="183"/>
      <c r="Z49" s="183"/>
      <c r="AA49" s="183"/>
      <c r="AB49" s="183"/>
      <c r="AC49" s="183"/>
      <c r="AD49" s="180"/>
      <c r="AE49" s="181"/>
      <c r="AF49" s="180"/>
      <c r="AG49" s="181"/>
      <c r="AH49" s="180"/>
      <c r="AI49" s="181"/>
      <c r="AJ49" s="180"/>
      <c r="AK49" s="181"/>
      <c r="AL49" s="180"/>
      <c r="AM49" s="181"/>
      <c r="AN49" s="180"/>
      <c r="AO49" s="181"/>
      <c r="AP49" s="180"/>
      <c r="AQ49" s="181"/>
      <c r="AR49" s="186"/>
      <c r="AS49" s="187"/>
      <c r="AT49" s="186"/>
      <c r="AU49" s="187"/>
      <c r="AV49" s="186"/>
      <c r="AW49" s="187"/>
      <c r="AX49" s="186"/>
      <c r="AY49" s="187"/>
      <c r="AZ49" s="188" t="str">
        <f t="shared" si="3"/>
        <v>Active</v>
      </c>
      <c r="BA49" s="190"/>
    </row>
    <row r="50" spans="1:53" s="191" customFormat="1" ht="15.5" hidden="1" x14ac:dyDescent="0.35">
      <c r="A50" s="191" t="str">
        <f t="shared" si="1"/>
        <v>2026-MH-MH HOTEL PROJECTNPI</v>
      </c>
      <c r="B50" s="178" t="str">
        <f>VLOOKUP(E50,'Customer '!A:C,3,0)</f>
        <v>KA</v>
      </c>
      <c r="C50" s="178" t="s">
        <v>268</v>
      </c>
      <c r="D50" s="178" t="s">
        <v>340</v>
      </c>
      <c r="E50" s="178" t="s">
        <v>139</v>
      </c>
      <c r="F50" s="179" t="str">
        <f>VLOOKUP(E50,'Customer '!A:B,2,0)</f>
        <v>MH</v>
      </c>
      <c r="G50" s="178" t="s">
        <v>140</v>
      </c>
      <c r="H50" s="178" t="str">
        <f t="shared" si="2"/>
        <v>2026-MH-MH HOTEL PROJECT</v>
      </c>
      <c r="I50" s="178">
        <v>1</v>
      </c>
      <c r="J50" s="180" t="s">
        <v>309</v>
      </c>
      <c r="K50" s="181" t="s">
        <v>273</v>
      </c>
      <c r="L50" s="180" t="s">
        <v>310</v>
      </c>
      <c r="M50" s="182">
        <v>46079</v>
      </c>
      <c r="N50" s="183">
        <v>46066</v>
      </c>
      <c r="O50" s="181"/>
      <c r="P50" s="183" t="e">
        <f>VLOOKUP(E50,'Customer '!A:D,4,0)</f>
        <v>#N/A</v>
      </c>
      <c r="Q50" s="178" t="s">
        <v>51</v>
      </c>
      <c r="R50" s="178" t="s">
        <v>352</v>
      </c>
      <c r="S50" s="178">
        <v>6</v>
      </c>
      <c r="T50" s="184">
        <v>48755</v>
      </c>
      <c r="U50" s="184">
        <v>48755</v>
      </c>
      <c r="V50" s="184" t="s">
        <v>280</v>
      </c>
      <c r="W50" s="185">
        <v>2026</v>
      </c>
      <c r="X50" s="183">
        <v>46183</v>
      </c>
      <c r="Y50" s="183"/>
      <c r="Z50" s="183" t="s">
        <v>404</v>
      </c>
      <c r="AA50" s="183"/>
      <c r="AB50" s="183"/>
      <c r="AC50" s="183"/>
      <c r="AD50" s="180" t="s">
        <v>56</v>
      </c>
      <c r="AE50" s="181"/>
      <c r="AF50" s="180" t="s">
        <v>56</v>
      </c>
      <c r="AG50" s="181"/>
      <c r="AH50" s="180" t="s">
        <v>73</v>
      </c>
      <c r="AI50" s="181"/>
      <c r="AJ50" s="180" t="s">
        <v>56</v>
      </c>
      <c r="AK50" s="181"/>
      <c r="AL50" s="180" t="s">
        <v>73</v>
      </c>
      <c r="AM50" s="181"/>
      <c r="AN50" s="180" t="s">
        <v>73</v>
      </c>
      <c r="AO50" s="181"/>
      <c r="AP50" s="180" t="s">
        <v>73</v>
      </c>
      <c r="AQ50" s="181"/>
      <c r="AR50" s="186"/>
      <c r="AS50" s="187"/>
      <c r="AT50" s="186"/>
      <c r="AU50" s="187"/>
      <c r="AV50" s="186"/>
      <c r="AW50" s="187"/>
      <c r="AX50" s="186"/>
      <c r="AY50" s="187"/>
      <c r="AZ50" s="188" t="str">
        <f t="shared" si="3"/>
        <v>Active</v>
      </c>
      <c r="BA50" s="190"/>
    </row>
    <row r="51" spans="1:53" s="191" customFormat="1" ht="15.5" hidden="1" x14ac:dyDescent="0.35">
      <c r="A51" s="191" t="str">
        <f t="shared" si="1"/>
        <v>2026-MOHI-MOHI APPELLATIONNPI</v>
      </c>
      <c r="B51" s="178" t="str">
        <f>VLOOKUP(E51,'Customer '!A:C,3,0)</f>
        <v>NON RH</v>
      </c>
      <c r="C51" s="178" t="s">
        <v>268</v>
      </c>
      <c r="D51" s="178" t="s">
        <v>290</v>
      </c>
      <c r="E51" s="179" t="s">
        <v>143</v>
      </c>
      <c r="F51" s="179" t="str">
        <f>VLOOKUP(E51,'Customer '!A:B,2,0)</f>
        <v>MOHI</v>
      </c>
      <c r="G51" s="178" t="s">
        <v>144</v>
      </c>
      <c r="H51" s="178" t="str">
        <f t="shared" si="2"/>
        <v>2026-MOHI-MOHI APPELLATION</v>
      </c>
      <c r="I51" s="178">
        <v>0</v>
      </c>
      <c r="J51" s="180" t="s">
        <v>309</v>
      </c>
      <c r="K51" s="181" t="s">
        <v>273</v>
      </c>
      <c r="L51" s="180" t="s">
        <v>310</v>
      </c>
      <c r="M51" s="182">
        <v>45905</v>
      </c>
      <c r="N51" s="183">
        <v>45913</v>
      </c>
      <c r="O51" s="183">
        <v>46000</v>
      </c>
      <c r="P51" s="183" t="str">
        <f>VLOOKUP(E51,'Customer '!A:D,4,0)</f>
        <v>50% deposit, 50% prior shipment</v>
      </c>
      <c r="Q51" s="178" t="s">
        <v>51</v>
      </c>
      <c r="R51" s="178" t="s">
        <v>152</v>
      </c>
      <c r="S51" s="178">
        <v>28</v>
      </c>
      <c r="T51" s="184">
        <v>357775</v>
      </c>
      <c r="U51" s="184">
        <v>357775</v>
      </c>
      <c r="V51" s="184" t="s">
        <v>277</v>
      </c>
      <c r="W51" s="185">
        <v>2026</v>
      </c>
      <c r="X51" s="183" t="s">
        <v>292</v>
      </c>
      <c r="Y51" s="183"/>
      <c r="Z51" s="183" t="s">
        <v>883</v>
      </c>
      <c r="AA51" s="183"/>
      <c r="AB51" s="183" t="s">
        <v>884</v>
      </c>
      <c r="AC51" s="183" t="s">
        <v>885</v>
      </c>
      <c r="AD51" s="180" t="s">
        <v>56</v>
      </c>
      <c r="AE51" s="181"/>
      <c r="AF51" s="180" t="s">
        <v>56</v>
      </c>
      <c r="AG51" s="181"/>
      <c r="AH51" s="180" t="s">
        <v>56</v>
      </c>
      <c r="AI51" s="181"/>
      <c r="AJ51" s="180" t="s">
        <v>56</v>
      </c>
      <c r="AK51" s="181"/>
      <c r="AL51" s="180" t="s">
        <v>56</v>
      </c>
      <c r="AM51" s="181"/>
      <c r="AN51" s="180" t="s">
        <v>73</v>
      </c>
      <c r="AO51" s="181"/>
      <c r="AP51" s="180" t="s">
        <v>304</v>
      </c>
      <c r="AQ51" s="181"/>
      <c r="AR51" s="186"/>
      <c r="AS51" s="187"/>
      <c r="AT51" s="186"/>
      <c r="AU51" s="187"/>
      <c r="AV51" s="186"/>
      <c r="AW51" s="187"/>
      <c r="AX51" s="186"/>
      <c r="AY51" s="187"/>
      <c r="AZ51" s="188" t="str">
        <f t="shared" si="3"/>
        <v>Active</v>
      </c>
      <c r="BA51" s="190"/>
    </row>
    <row r="52" spans="1:53" s="191" customFormat="1" ht="15.5" hidden="1" x14ac:dyDescent="0.35">
      <c r="A52" s="191" t="str">
        <f t="shared" ref="A52" si="5">H52&amp;C52</f>
        <v>2026-MOHI-MOHI APPELLATIONNPI</v>
      </c>
      <c r="B52" s="178" t="str">
        <f>VLOOKUP(E52,'Customer '!A:C,3,0)</f>
        <v>NON RH</v>
      </c>
      <c r="C52" s="178" t="s">
        <v>268</v>
      </c>
      <c r="D52" s="178" t="s">
        <v>290</v>
      </c>
      <c r="E52" s="179" t="s">
        <v>143</v>
      </c>
      <c r="F52" s="179" t="str">
        <f>VLOOKUP(E52,'Customer '!A:B,2,0)</f>
        <v>MOHI</v>
      </c>
      <c r="G52" s="178" t="s">
        <v>144</v>
      </c>
      <c r="H52" s="178" t="str">
        <f t="shared" si="2"/>
        <v>2026-MOHI-MOHI APPELLATION</v>
      </c>
      <c r="I52" s="178">
        <v>0</v>
      </c>
      <c r="J52" s="180" t="s">
        <v>309</v>
      </c>
      <c r="K52" s="181" t="s">
        <v>273</v>
      </c>
      <c r="L52" s="180" t="s">
        <v>333</v>
      </c>
      <c r="M52" s="182">
        <v>45905</v>
      </c>
      <c r="N52" s="183">
        <v>45913</v>
      </c>
      <c r="O52" s="183">
        <v>46000</v>
      </c>
      <c r="P52" s="183" t="str">
        <f>VLOOKUP(E52,'Customer '!A:D,4,0)</f>
        <v>50% deposit, 50% prior shipment</v>
      </c>
      <c r="Q52" s="178" t="s">
        <v>51</v>
      </c>
      <c r="R52" s="178" t="s">
        <v>152</v>
      </c>
      <c r="S52" s="178">
        <v>28</v>
      </c>
      <c r="T52" s="184">
        <v>48621.22</v>
      </c>
      <c r="U52" s="209">
        <v>48621.22</v>
      </c>
      <c r="V52" s="184" t="s">
        <v>297</v>
      </c>
      <c r="W52" s="185">
        <v>2026</v>
      </c>
      <c r="X52" s="183" t="s">
        <v>292</v>
      </c>
      <c r="Y52" s="183"/>
      <c r="Z52" s="183" t="s">
        <v>754</v>
      </c>
      <c r="AA52" s="183"/>
      <c r="AB52" s="183" t="s">
        <v>754</v>
      </c>
      <c r="AC52" s="183" t="s">
        <v>754</v>
      </c>
      <c r="AD52" s="180" t="s">
        <v>318</v>
      </c>
      <c r="AE52" s="181"/>
      <c r="AF52" s="180" t="s">
        <v>56</v>
      </c>
      <c r="AG52" s="181"/>
      <c r="AH52" s="180" t="s">
        <v>56</v>
      </c>
      <c r="AI52" s="181"/>
      <c r="AJ52" s="180" t="s">
        <v>56</v>
      </c>
      <c r="AK52" s="181"/>
      <c r="AL52" s="180" t="s">
        <v>56</v>
      </c>
      <c r="AM52" s="181"/>
      <c r="AN52" s="180" t="s">
        <v>73</v>
      </c>
      <c r="AO52" s="181"/>
      <c r="AP52" s="180" t="s">
        <v>304</v>
      </c>
      <c r="AQ52" s="181"/>
      <c r="AR52" s="186"/>
      <c r="AS52" s="187"/>
      <c r="AT52" s="186"/>
      <c r="AU52" s="187"/>
      <c r="AV52" s="186"/>
      <c r="AW52" s="187"/>
      <c r="AX52" s="186"/>
      <c r="AY52" s="187"/>
      <c r="AZ52" s="188" t="str">
        <f t="shared" si="3"/>
        <v>Active</v>
      </c>
      <c r="BA52" s="190"/>
    </row>
    <row r="53" spans="1:53" s="191" customFormat="1" ht="15.5" hidden="1" x14ac:dyDescent="0.35">
      <c r="A53" s="191" t="str">
        <f t="shared" si="1"/>
        <v>2026-MOHI-MOHI APPELLATIONNPI</v>
      </c>
      <c r="B53" s="178" t="str">
        <f>VLOOKUP(E53,'Customer '!A:C,3,0)</f>
        <v>NON RH</v>
      </c>
      <c r="C53" s="178" t="s">
        <v>268</v>
      </c>
      <c r="D53" s="178" t="s">
        <v>290</v>
      </c>
      <c r="E53" s="179" t="s">
        <v>143</v>
      </c>
      <c r="F53" s="179" t="str">
        <f>VLOOKUP(E53,'Customer '!A:B,2,0)</f>
        <v>MOHI</v>
      </c>
      <c r="G53" s="178" t="s">
        <v>144</v>
      </c>
      <c r="H53" s="178" t="str">
        <f t="shared" si="2"/>
        <v>2026-MOHI-MOHI APPELLATION</v>
      </c>
      <c r="I53" s="178">
        <v>0</v>
      </c>
      <c r="J53" s="180" t="s">
        <v>309</v>
      </c>
      <c r="K53" s="181" t="s">
        <v>273</v>
      </c>
      <c r="L53" s="180" t="s">
        <v>317</v>
      </c>
      <c r="M53" s="182">
        <v>46144</v>
      </c>
      <c r="N53" s="183">
        <v>46144</v>
      </c>
      <c r="O53" s="183"/>
      <c r="P53" s="183" t="str">
        <f>VLOOKUP(E53,'Customer '!A:D,4,0)</f>
        <v>50% deposit, 50% prior shipment</v>
      </c>
      <c r="Q53" s="178" t="s">
        <v>51</v>
      </c>
      <c r="R53" s="178" t="s">
        <v>152</v>
      </c>
      <c r="S53" s="178">
        <v>2</v>
      </c>
      <c r="T53" s="184">
        <v>27992</v>
      </c>
      <c r="U53" s="209">
        <v>46301.5</v>
      </c>
      <c r="V53" s="184" t="s">
        <v>297</v>
      </c>
      <c r="W53" s="185">
        <v>2026</v>
      </c>
      <c r="X53" s="183" t="s">
        <v>292</v>
      </c>
      <c r="Y53" s="183"/>
      <c r="Z53" s="183" t="s">
        <v>754</v>
      </c>
      <c r="AA53" s="183"/>
      <c r="AB53" s="183" t="s">
        <v>754</v>
      </c>
      <c r="AC53" s="183" t="s">
        <v>754</v>
      </c>
      <c r="AD53" s="180" t="s">
        <v>304</v>
      </c>
      <c r="AE53" s="181"/>
      <c r="AF53" s="180" t="s">
        <v>56</v>
      </c>
      <c r="AG53" s="181"/>
      <c r="AH53" s="180" t="s">
        <v>304</v>
      </c>
      <c r="AI53" s="181"/>
      <c r="AJ53" s="180" t="s">
        <v>56</v>
      </c>
      <c r="AK53" s="181"/>
      <c r="AL53" s="180" t="s">
        <v>73</v>
      </c>
      <c r="AM53" s="181"/>
      <c r="AN53" s="180" t="s">
        <v>73</v>
      </c>
      <c r="AO53" s="181"/>
      <c r="AP53" s="180" t="s">
        <v>304</v>
      </c>
      <c r="AQ53" s="181"/>
      <c r="AR53" s="186"/>
      <c r="AS53" s="187"/>
      <c r="AT53" s="186"/>
      <c r="AU53" s="187"/>
      <c r="AV53" s="186"/>
      <c r="AW53" s="187"/>
      <c r="AX53" s="186"/>
      <c r="AY53" s="187"/>
      <c r="AZ53" s="188" t="str">
        <f t="shared" si="3"/>
        <v>Active</v>
      </c>
      <c r="BA53" s="190"/>
    </row>
    <row r="54" spans="1:53" s="191" customFormat="1" ht="15.5" hidden="1" x14ac:dyDescent="0.35">
      <c r="A54" s="191" t="str">
        <f t="shared" si="1"/>
        <v>2026-L&amp;S-RITZ CARLTON COTTON BAYNPI</v>
      </c>
      <c r="B54" s="178" t="str">
        <f>VLOOKUP(E54,'Customer '!A:C,3,0)</f>
        <v>NON RH</v>
      </c>
      <c r="C54" s="178" t="s">
        <v>268</v>
      </c>
      <c r="D54" s="178" t="s">
        <v>164</v>
      </c>
      <c r="E54" s="179" t="s">
        <v>82</v>
      </c>
      <c r="F54" s="179" t="str">
        <f>VLOOKUP(E54,'Customer '!A:B,2,0)</f>
        <v>L&amp;S</v>
      </c>
      <c r="G54" s="178" t="s">
        <v>163</v>
      </c>
      <c r="H54" s="178" t="str">
        <f t="shared" si="2"/>
        <v>2026-L&amp;S-RITZ CARLTON COTTON BAY</v>
      </c>
      <c r="I54" s="178">
        <v>0</v>
      </c>
      <c r="J54" s="180" t="s">
        <v>316</v>
      </c>
      <c r="K54" s="181" t="s">
        <v>273</v>
      </c>
      <c r="L54" s="180" t="s">
        <v>327</v>
      </c>
      <c r="M54" s="182">
        <v>45758</v>
      </c>
      <c r="N54" s="183" t="s">
        <v>292</v>
      </c>
      <c r="O54" s="181"/>
      <c r="P54" s="183" t="str">
        <f>VLOOKUP(E54,'Customer '!A:D,4,0)</f>
        <v>50% deposit, 50% prior shipment</v>
      </c>
      <c r="Q54" s="178" t="s">
        <v>275</v>
      </c>
      <c r="R54" s="178" t="s">
        <v>276</v>
      </c>
      <c r="S54" s="178">
        <v>117</v>
      </c>
      <c r="T54" s="184">
        <v>3134000</v>
      </c>
      <c r="U54" s="193">
        <f>T54/3</f>
        <v>1044666.6666666666</v>
      </c>
      <c r="V54" s="193" t="s">
        <v>311</v>
      </c>
      <c r="W54" s="185">
        <v>2026</v>
      </c>
      <c r="X54" s="183" t="s">
        <v>292</v>
      </c>
      <c r="Y54" s="183"/>
      <c r="Z54" s="183"/>
      <c r="AA54" s="183"/>
      <c r="AB54" s="183"/>
      <c r="AC54" s="183"/>
      <c r="AD54" s="180" t="s">
        <v>56</v>
      </c>
      <c r="AE54" s="181"/>
      <c r="AF54" s="180"/>
      <c r="AG54" s="181"/>
      <c r="AH54" s="180"/>
      <c r="AI54" s="181"/>
      <c r="AJ54" s="180"/>
      <c r="AK54" s="181"/>
      <c r="AL54" s="180"/>
      <c r="AM54" s="181"/>
      <c r="AN54" s="180"/>
      <c r="AO54" s="181"/>
      <c r="AP54" s="180"/>
      <c r="AQ54" s="181"/>
      <c r="AR54" s="186"/>
      <c r="AS54" s="187"/>
      <c r="AT54" s="186"/>
      <c r="AU54" s="187"/>
      <c r="AV54" s="186"/>
      <c r="AW54" s="187"/>
      <c r="AX54" s="186"/>
      <c r="AY54" s="187"/>
      <c r="AZ54" s="188" t="str">
        <f t="shared" si="3"/>
        <v>Active</v>
      </c>
      <c r="BA54" s="190"/>
    </row>
    <row r="55" spans="1:53" s="191" customFormat="1" ht="15.5" hidden="1" x14ac:dyDescent="0.35">
      <c r="A55" s="191" t="str">
        <f t="shared" si="1"/>
        <v>2026-L&amp;S-RITZ CARLTON COTTON BAYNPI</v>
      </c>
      <c r="B55" s="178" t="str">
        <f>VLOOKUP(E55,'Customer '!A:C,3,0)</f>
        <v>NON RH</v>
      </c>
      <c r="C55" s="178" t="s">
        <v>268</v>
      </c>
      <c r="D55" s="178" t="s">
        <v>164</v>
      </c>
      <c r="E55" s="179" t="s">
        <v>82</v>
      </c>
      <c r="F55" s="179" t="str">
        <f>VLOOKUP(E55,'Customer '!A:B,2,0)</f>
        <v>L&amp;S</v>
      </c>
      <c r="G55" s="178" t="s">
        <v>163</v>
      </c>
      <c r="H55" s="178" t="str">
        <f t="shared" si="2"/>
        <v>2026-L&amp;S-RITZ CARLTON COTTON BAY</v>
      </c>
      <c r="I55" s="178">
        <v>0</v>
      </c>
      <c r="J55" s="180" t="s">
        <v>316</v>
      </c>
      <c r="K55" s="181" t="s">
        <v>273</v>
      </c>
      <c r="L55" s="180" t="s">
        <v>327</v>
      </c>
      <c r="M55" s="182">
        <v>45758</v>
      </c>
      <c r="N55" s="183" t="s">
        <v>292</v>
      </c>
      <c r="O55" s="181"/>
      <c r="P55" s="183" t="str">
        <f>VLOOKUP(E55,'Customer '!A:D,4,0)</f>
        <v>50% deposit, 50% prior shipment</v>
      </c>
      <c r="Q55" s="178" t="s">
        <v>275</v>
      </c>
      <c r="R55" s="178" t="s">
        <v>276</v>
      </c>
      <c r="S55" s="178">
        <v>117</v>
      </c>
      <c r="T55" s="184">
        <v>3134000</v>
      </c>
      <c r="U55" s="193">
        <f>T55/3</f>
        <v>1044666.6666666666</v>
      </c>
      <c r="V55" s="193" t="s">
        <v>330</v>
      </c>
      <c r="W55" s="185">
        <v>2026</v>
      </c>
      <c r="X55" s="183" t="s">
        <v>292</v>
      </c>
      <c r="Y55" s="183"/>
      <c r="Z55" s="183"/>
      <c r="AA55" s="183"/>
      <c r="AB55" s="183"/>
      <c r="AC55" s="183"/>
      <c r="AD55" s="180" t="s">
        <v>56</v>
      </c>
      <c r="AE55" s="181"/>
      <c r="AF55" s="180"/>
      <c r="AG55" s="181"/>
      <c r="AH55" s="180"/>
      <c r="AI55" s="181"/>
      <c r="AJ55" s="180"/>
      <c r="AK55" s="181"/>
      <c r="AL55" s="180"/>
      <c r="AM55" s="181"/>
      <c r="AN55" s="180"/>
      <c r="AO55" s="181"/>
      <c r="AP55" s="180"/>
      <c r="AQ55" s="181"/>
      <c r="AR55" s="186"/>
      <c r="AS55" s="187"/>
      <c r="AT55" s="186"/>
      <c r="AU55" s="187"/>
      <c r="AV55" s="186"/>
      <c r="AW55" s="187"/>
      <c r="AX55" s="186"/>
      <c r="AY55" s="187"/>
      <c r="AZ55" s="188" t="str">
        <f t="shared" si="3"/>
        <v>Active</v>
      </c>
      <c r="BA55" s="190"/>
    </row>
    <row r="56" spans="1:53" s="191" customFormat="1" ht="15.5" hidden="1" x14ac:dyDescent="0.35">
      <c r="A56" s="191" t="str">
        <f t="shared" si="1"/>
        <v>2026-L&amp;S-RITZ CARLTON COTTON BAYNPI</v>
      </c>
      <c r="B56" s="178" t="str">
        <f>VLOOKUP(E56,'Customer '!A:C,3,0)</f>
        <v>NON RH</v>
      </c>
      <c r="C56" s="178" t="s">
        <v>268</v>
      </c>
      <c r="D56" s="178" t="s">
        <v>164</v>
      </c>
      <c r="E56" s="179" t="s">
        <v>82</v>
      </c>
      <c r="F56" s="179" t="str">
        <f>VLOOKUP(E56,'Customer '!A:B,2,0)</f>
        <v>L&amp;S</v>
      </c>
      <c r="G56" s="178" t="s">
        <v>163</v>
      </c>
      <c r="H56" s="178" t="str">
        <f t="shared" si="2"/>
        <v>2026-L&amp;S-RITZ CARLTON COTTON BAY</v>
      </c>
      <c r="I56" s="178">
        <v>0</v>
      </c>
      <c r="J56" s="180" t="s">
        <v>316</v>
      </c>
      <c r="K56" s="181" t="s">
        <v>273</v>
      </c>
      <c r="L56" s="180" t="s">
        <v>327</v>
      </c>
      <c r="M56" s="182">
        <v>45758</v>
      </c>
      <c r="N56" s="183" t="s">
        <v>292</v>
      </c>
      <c r="O56" s="181"/>
      <c r="P56" s="183" t="str">
        <f>VLOOKUP(E56,'Customer '!A:D,4,0)</f>
        <v>50% deposit, 50% prior shipment</v>
      </c>
      <c r="Q56" s="178" t="s">
        <v>275</v>
      </c>
      <c r="R56" s="178" t="s">
        <v>276</v>
      </c>
      <c r="S56" s="178">
        <v>117</v>
      </c>
      <c r="T56" s="184">
        <v>3134000</v>
      </c>
      <c r="U56" s="193">
        <f>T56/3</f>
        <v>1044666.6666666666</v>
      </c>
      <c r="V56" s="193" t="s">
        <v>315</v>
      </c>
      <c r="W56" s="185">
        <v>2027</v>
      </c>
      <c r="X56" s="183" t="s">
        <v>292</v>
      </c>
      <c r="Y56" s="183"/>
      <c r="Z56" s="183"/>
      <c r="AA56" s="183"/>
      <c r="AB56" s="183"/>
      <c r="AC56" s="183"/>
      <c r="AD56" s="180" t="s">
        <v>56</v>
      </c>
      <c r="AE56" s="181"/>
      <c r="AF56" s="180"/>
      <c r="AG56" s="181"/>
      <c r="AH56" s="180"/>
      <c r="AI56" s="181"/>
      <c r="AJ56" s="180"/>
      <c r="AK56" s="181"/>
      <c r="AL56" s="180"/>
      <c r="AM56" s="181"/>
      <c r="AN56" s="180"/>
      <c r="AO56" s="181"/>
      <c r="AP56" s="180"/>
      <c r="AQ56" s="181"/>
      <c r="AR56" s="186"/>
      <c r="AS56" s="187"/>
      <c r="AT56" s="186"/>
      <c r="AU56" s="187"/>
      <c r="AV56" s="186"/>
      <c r="AW56" s="187"/>
      <c r="AX56" s="186"/>
      <c r="AY56" s="187"/>
      <c r="AZ56" s="188" t="str">
        <f t="shared" si="3"/>
        <v>Active</v>
      </c>
      <c r="BA56" s="190"/>
    </row>
    <row r="57" spans="1:53" s="191" customFormat="1" ht="15.5" hidden="1" x14ac:dyDescent="0.35">
      <c r="A57" s="191" t="str">
        <f t="shared" si="1"/>
        <v>2026-PLUS CORPORATION-SOHO HOUSE TOKYONPI</v>
      </c>
      <c r="B57" s="178" t="str">
        <f>VLOOKUP(E57,'Customer '!A:C,3,0)</f>
        <v>NON RH</v>
      </c>
      <c r="C57" s="178" t="s">
        <v>268</v>
      </c>
      <c r="D57" s="178" t="s">
        <v>340</v>
      </c>
      <c r="E57" s="179" t="s">
        <v>168</v>
      </c>
      <c r="F57" s="179" t="str">
        <f>VLOOKUP(E57,'Customer '!A:B,2,0)</f>
        <v>PLUS CORPORATION</v>
      </c>
      <c r="G57" s="178" t="s">
        <v>357</v>
      </c>
      <c r="H57" s="178" t="str">
        <f t="shared" si="2"/>
        <v>2026-PLUS CORPORATION-SOHO HOUSE TOKYO</v>
      </c>
      <c r="I57" s="178">
        <v>1</v>
      </c>
      <c r="J57" s="180" t="s">
        <v>272</v>
      </c>
      <c r="K57" s="181" t="s">
        <v>273</v>
      </c>
      <c r="L57" s="180" t="s">
        <v>274</v>
      </c>
      <c r="M57" s="182">
        <v>45948</v>
      </c>
      <c r="N57" s="183">
        <v>46087</v>
      </c>
      <c r="O57" s="181"/>
      <c r="P57" s="183" t="str">
        <f>VLOOKUP(E57,'Customer '!A:D,4,0)</f>
        <v>50% deposit, 50% prior shipment</v>
      </c>
      <c r="Q57" s="178" t="s">
        <v>170</v>
      </c>
      <c r="R57" s="178" t="s">
        <v>358</v>
      </c>
      <c r="S57" s="178">
        <v>48</v>
      </c>
      <c r="T57" s="184">
        <v>24012</v>
      </c>
      <c r="U57" s="184">
        <v>21344</v>
      </c>
      <c r="V57" s="184" t="s">
        <v>321</v>
      </c>
      <c r="W57" s="185">
        <v>2026</v>
      </c>
      <c r="X57" s="183" t="s">
        <v>878</v>
      </c>
      <c r="Y57" s="183"/>
      <c r="Z57" s="183" t="s">
        <v>886</v>
      </c>
      <c r="AA57" s="183"/>
      <c r="AB57" s="183"/>
      <c r="AC57" s="183" t="s">
        <v>886</v>
      </c>
      <c r="AD57" s="180" t="s">
        <v>56</v>
      </c>
      <c r="AE57" s="182">
        <v>45961</v>
      </c>
      <c r="AF57" s="180" t="s">
        <v>56</v>
      </c>
      <c r="AG57" s="182">
        <v>45986</v>
      </c>
      <c r="AH57" s="180" t="s">
        <v>56</v>
      </c>
      <c r="AI57" s="182">
        <v>45986</v>
      </c>
      <c r="AJ57" s="180" t="s">
        <v>56</v>
      </c>
      <c r="AK57" s="182">
        <v>45986</v>
      </c>
      <c r="AL57" s="180" t="s">
        <v>73</v>
      </c>
      <c r="AM57" s="181"/>
      <c r="AN57" s="180" t="s">
        <v>73</v>
      </c>
      <c r="AO57" s="181"/>
      <c r="AP57" s="180" t="s">
        <v>359</v>
      </c>
      <c r="AQ57" s="181"/>
      <c r="AR57" s="186"/>
      <c r="AS57" s="187"/>
      <c r="AT57" s="186"/>
      <c r="AU57" s="187"/>
      <c r="AV57" s="186"/>
      <c r="AW57" s="187"/>
      <c r="AX57" s="186"/>
      <c r="AY57" s="187"/>
      <c r="AZ57" s="188" t="str">
        <f t="shared" si="3"/>
        <v>Complete</v>
      </c>
      <c r="BA57" s="190"/>
    </row>
    <row r="58" spans="1:53" s="191" customFormat="1" ht="15.5" hidden="1" x14ac:dyDescent="0.35">
      <c r="A58" s="191" t="str">
        <f t="shared" si="1"/>
        <v>2026-PLUS CORPORATION-SOHO HOUSE TOKYONPI</v>
      </c>
      <c r="B58" s="178" t="str">
        <f>VLOOKUP(E58,'Customer '!A:C,3,0)</f>
        <v>NON RH</v>
      </c>
      <c r="C58" s="178" t="s">
        <v>268</v>
      </c>
      <c r="D58" s="178" t="s">
        <v>340</v>
      </c>
      <c r="E58" s="179" t="s">
        <v>168</v>
      </c>
      <c r="F58" s="179" t="str">
        <f>VLOOKUP(E58,'Customer '!A:B,2,0)</f>
        <v>PLUS CORPORATION</v>
      </c>
      <c r="G58" s="178" t="s">
        <v>357</v>
      </c>
      <c r="H58" s="178" t="str">
        <f t="shared" si="2"/>
        <v>2026-PLUS CORPORATION-SOHO HOUSE TOKYO</v>
      </c>
      <c r="I58" s="178">
        <v>1</v>
      </c>
      <c r="J58" s="180" t="s">
        <v>272</v>
      </c>
      <c r="K58" s="181" t="s">
        <v>291</v>
      </c>
      <c r="L58" s="180" t="s">
        <v>274</v>
      </c>
      <c r="M58" s="182">
        <v>45719</v>
      </c>
      <c r="N58" s="183">
        <v>46087</v>
      </c>
      <c r="O58" s="181"/>
      <c r="P58" s="183" t="str">
        <f>VLOOKUP(E58,'Customer '!A:D,4,0)</f>
        <v>50% deposit, 50% prior shipment</v>
      </c>
      <c r="Q58" s="178" t="s">
        <v>170</v>
      </c>
      <c r="R58" s="178" t="s">
        <v>358</v>
      </c>
      <c r="S58" s="178">
        <v>48</v>
      </c>
      <c r="T58" s="184">
        <v>24012</v>
      </c>
      <c r="U58" s="184">
        <v>2668</v>
      </c>
      <c r="V58" s="184" t="s">
        <v>277</v>
      </c>
      <c r="W58" s="185">
        <v>2026</v>
      </c>
      <c r="X58" s="183" t="s">
        <v>878</v>
      </c>
      <c r="Y58" s="183"/>
      <c r="Z58" s="183" t="s">
        <v>874</v>
      </c>
      <c r="AA58" s="183"/>
      <c r="AB58" s="183"/>
      <c r="AC58" s="183" t="s">
        <v>874</v>
      </c>
      <c r="AD58" s="180" t="s">
        <v>56</v>
      </c>
      <c r="AE58" s="182">
        <v>45961</v>
      </c>
      <c r="AF58" s="180" t="s">
        <v>73</v>
      </c>
      <c r="AG58" s="182">
        <v>45986</v>
      </c>
      <c r="AH58" s="180" t="s">
        <v>56</v>
      </c>
      <c r="AI58" s="182">
        <v>45986</v>
      </c>
      <c r="AJ58" s="180" t="s">
        <v>56</v>
      </c>
      <c r="AK58" s="182">
        <v>45986</v>
      </c>
      <c r="AL58" s="180" t="s">
        <v>73</v>
      </c>
      <c r="AM58" s="181"/>
      <c r="AN58" s="180" t="s">
        <v>73</v>
      </c>
      <c r="AO58" s="181"/>
      <c r="AP58" s="180" t="s">
        <v>359</v>
      </c>
      <c r="AQ58" s="181"/>
      <c r="AR58" s="186"/>
      <c r="AS58" s="187"/>
      <c r="AT58" s="186"/>
      <c r="AU58" s="187"/>
      <c r="AV58" s="186"/>
      <c r="AW58" s="187"/>
      <c r="AX58" s="186"/>
      <c r="AY58" s="187"/>
      <c r="AZ58" s="188" t="str">
        <f t="shared" si="3"/>
        <v>Complete</v>
      </c>
      <c r="BA58" s="190"/>
    </row>
    <row r="59" spans="1:53" s="191" customFormat="1" ht="15.5" hidden="1" x14ac:dyDescent="0.35">
      <c r="A59" s="191" t="str">
        <f t="shared" si="1"/>
        <v>2026-SPECTRUM-1122 MADISON NPI</v>
      </c>
      <c r="B59" s="178" t="str">
        <f>VLOOKUP(E59,'Customer '!A:C,3,0)</f>
        <v>NON RH</v>
      </c>
      <c r="C59" s="178" t="s">
        <v>268</v>
      </c>
      <c r="D59" s="178" t="s">
        <v>340</v>
      </c>
      <c r="E59" s="178" t="s">
        <v>176</v>
      </c>
      <c r="F59" s="179" t="str">
        <f>VLOOKUP(E59,'Customer '!A:B,2,0)</f>
        <v>SPECTRUM</v>
      </c>
      <c r="G59" s="178" t="s">
        <v>360</v>
      </c>
      <c r="H59" s="178" t="str">
        <f t="shared" si="2"/>
        <v xml:space="preserve">2026-SPECTRUM-1122 MADISON </v>
      </c>
      <c r="I59" s="178">
        <v>1</v>
      </c>
      <c r="J59" s="180" t="s">
        <v>309</v>
      </c>
      <c r="K59" s="181" t="s">
        <v>273</v>
      </c>
      <c r="L59" s="180" t="s">
        <v>310</v>
      </c>
      <c r="M59" s="182">
        <v>46092</v>
      </c>
      <c r="N59" s="183">
        <v>46306</v>
      </c>
      <c r="O59" s="181"/>
      <c r="P59" s="183" t="str">
        <f>VLOOKUP(E59,'Customer '!A:D,4,0)</f>
        <v>50% deposit, 50% prior shipment</v>
      </c>
      <c r="Q59" s="178" t="s">
        <v>51</v>
      </c>
      <c r="R59" s="178" t="s">
        <v>325</v>
      </c>
      <c r="S59" s="178">
        <v>20</v>
      </c>
      <c r="T59" s="184">
        <v>93065.64</v>
      </c>
      <c r="U59" s="184">
        <v>93065.64</v>
      </c>
      <c r="V59" s="184" t="s">
        <v>281</v>
      </c>
      <c r="W59" s="185">
        <v>2026</v>
      </c>
      <c r="X59" s="183" t="s">
        <v>887</v>
      </c>
      <c r="Y59" s="183"/>
      <c r="Z59" s="183" t="s">
        <v>888</v>
      </c>
      <c r="AA59" s="183"/>
      <c r="AB59" s="183"/>
      <c r="AC59" s="183"/>
      <c r="AD59" s="180" t="s">
        <v>56</v>
      </c>
      <c r="AE59" s="182">
        <v>46116</v>
      </c>
      <c r="AF59" s="180" t="s">
        <v>318</v>
      </c>
      <c r="AG59" s="181"/>
      <c r="AH59" s="180" t="s">
        <v>73</v>
      </c>
      <c r="AI59" s="181"/>
      <c r="AJ59" s="180" t="s">
        <v>304</v>
      </c>
      <c r="AK59" s="181"/>
      <c r="AL59" s="180" t="s">
        <v>56</v>
      </c>
      <c r="AM59" s="182">
        <v>46094</v>
      </c>
      <c r="AN59" s="180" t="s">
        <v>73</v>
      </c>
      <c r="AO59" s="181"/>
      <c r="AP59" s="180" t="s">
        <v>73</v>
      </c>
      <c r="AQ59" s="181"/>
      <c r="AR59" s="186"/>
      <c r="AS59" s="187"/>
      <c r="AT59" s="186"/>
      <c r="AU59" s="187"/>
      <c r="AV59" s="186"/>
      <c r="AW59" s="187"/>
      <c r="AX59" s="186"/>
      <c r="AY59" s="187"/>
      <c r="AZ59" s="188" t="str">
        <f t="shared" si="3"/>
        <v>Active</v>
      </c>
      <c r="BA59" s="190"/>
    </row>
    <row r="60" spans="1:53" s="191" customFormat="1" ht="15.5" hidden="1" x14ac:dyDescent="0.35">
      <c r="A60" s="191" t="str">
        <f t="shared" si="1"/>
        <v>2026-RSC-THẢO ĐIỀN OFFICENPI</v>
      </c>
      <c r="B60" s="178" t="str">
        <f>VLOOKUP(E60,'Customer '!A:C,3,0)</f>
        <v>LOCAL</v>
      </c>
      <c r="C60" s="178" t="s">
        <v>268</v>
      </c>
      <c r="D60" s="178" t="s">
        <v>340</v>
      </c>
      <c r="E60" s="178" t="s">
        <v>361</v>
      </c>
      <c r="F60" s="179" t="str">
        <f>VLOOKUP(E60,'Customer '!A:B,2,0)</f>
        <v>RSC</v>
      </c>
      <c r="G60" s="178" t="s">
        <v>181</v>
      </c>
      <c r="H60" s="178" t="str">
        <f t="shared" si="2"/>
        <v>2026-RSC-THẢO ĐIỀN OFFICE</v>
      </c>
      <c r="I60" s="178">
        <v>1</v>
      </c>
      <c r="J60" s="180" t="s">
        <v>272</v>
      </c>
      <c r="K60" s="181" t="s">
        <v>273</v>
      </c>
      <c r="L60" s="180" t="s">
        <v>274</v>
      </c>
      <c r="M60" s="182"/>
      <c r="N60" s="183" t="s">
        <v>292</v>
      </c>
      <c r="O60" s="181"/>
      <c r="P60" s="183" t="e">
        <f>VLOOKUP(E60,'Customer '!A:D,4,0)</f>
        <v>#N/A</v>
      </c>
      <c r="Q60" s="178" t="s">
        <v>182</v>
      </c>
      <c r="R60" s="178" t="s">
        <v>362</v>
      </c>
      <c r="S60" s="178">
        <v>7</v>
      </c>
      <c r="T60" s="184">
        <v>10003.5</v>
      </c>
      <c r="U60" s="184">
        <v>10003.5</v>
      </c>
      <c r="V60" s="184" t="s">
        <v>321</v>
      </c>
      <c r="W60" s="185">
        <v>2026</v>
      </c>
      <c r="X60" s="183" t="s">
        <v>864</v>
      </c>
      <c r="Y60" s="183"/>
      <c r="Z60" s="183" t="s">
        <v>864</v>
      </c>
      <c r="AA60" s="183"/>
      <c r="AB60" s="183"/>
      <c r="AC60" s="183"/>
      <c r="AD60" s="180" t="s">
        <v>56</v>
      </c>
      <c r="AE60" s="182">
        <v>46037</v>
      </c>
      <c r="AF60" s="180" t="s">
        <v>56</v>
      </c>
      <c r="AG60" s="182">
        <v>46037</v>
      </c>
      <c r="AH60" s="180"/>
      <c r="AI60" s="180" t="s">
        <v>56</v>
      </c>
      <c r="AJ60" s="182">
        <v>46037</v>
      </c>
      <c r="AK60" s="180" t="s">
        <v>56</v>
      </c>
      <c r="AL60" s="182">
        <v>46037</v>
      </c>
      <c r="AM60" s="181"/>
      <c r="AN60" s="180" t="s">
        <v>73</v>
      </c>
      <c r="AO60" s="181"/>
      <c r="AP60" s="180" t="s">
        <v>73</v>
      </c>
      <c r="AQ60" s="181"/>
      <c r="AR60" s="186"/>
      <c r="AS60" s="187"/>
      <c r="AT60" s="186"/>
      <c r="AU60" s="187"/>
      <c r="AV60" s="186"/>
      <c r="AW60" s="187"/>
      <c r="AX60" s="186"/>
      <c r="AY60" s="187"/>
      <c r="AZ60" s="188" t="str">
        <f t="shared" si="3"/>
        <v>Complete</v>
      </c>
      <c r="BA60" s="190"/>
    </row>
    <row r="61" spans="1:53" s="191" customFormat="1" ht="15.5" hidden="1" x14ac:dyDescent="0.35">
      <c r="A61" s="191" t="str">
        <f t="shared" si="1"/>
        <v>2026-TRIMA-JRHNPI</v>
      </c>
      <c r="B61" s="178" t="str">
        <f>VLOOKUP(E61,'Customer '!A:C,3,0)</f>
        <v>NON RH</v>
      </c>
      <c r="C61" s="178" t="s">
        <v>268</v>
      </c>
      <c r="D61" s="178" t="s">
        <v>306</v>
      </c>
      <c r="E61" s="178" t="s">
        <v>196</v>
      </c>
      <c r="F61" s="179" t="str">
        <f>VLOOKUP(E61,'Customer '!A:B,2,0)</f>
        <v>TRIMA</v>
      </c>
      <c r="G61" s="178" t="s">
        <v>197</v>
      </c>
      <c r="H61" s="178" t="str">
        <f t="shared" si="2"/>
        <v>2026-TRIMA-JRH</v>
      </c>
      <c r="I61" s="178">
        <v>1</v>
      </c>
      <c r="J61" s="180" t="s">
        <v>309</v>
      </c>
      <c r="K61" s="181" t="s">
        <v>273</v>
      </c>
      <c r="L61" s="180" t="s">
        <v>364</v>
      </c>
      <c r="M61" s="182">
        <v>46084</v>
      </c>
      <c r="N61" s="183">
        <v>46090</v>
      </c>
      <c r="O61" s="181"/>
      <c r="P61" s="183" t="str">
        <f>VLOOKUP(E61,'Customer '!A:D,4,0)</f>
        <v>50% deposit, 50% prior shipment</v>
      </c>
      <c r="Q61" s="178" t="s">
        <v>198</v>
      </c>
      <c r="R61" s="178" t="s">
        <v>363</v>
      </c>
      <c r="S61" s="178">
        <v>4</v>
      </c>
      <c r="T61" s="184">
        <v>1022211</v>
      </c>
      <c r="U61" s="184">
        <v>663452</v>
      </c>
      <c r="V61" s="184" t="s">
        <v>281</v>
      </c>
      <c r="W61" s="185">
        <v>2026</v>
      </c>
      <c r="X61" s="183">
        <v>46234</v>
      </c>
      <c r="Y61" s="183"/>
      <c r="Z61" s="183" t="s">
        <v>149</v>
      </c>
      <c r="AA61" s="183"/>
      <c r="AB61" s="183"/>
      <c r="AC61" s="183"/>
      <c r="AD61" s="180" t="s">
        <v>318</v>
      </c>
      <c r="AE61" s="181"/>
      <c r="AF61" s="180" t="s">
        <v>56</v>
      </c>
      <c r="AG61" s="181"/>
      <c r="AH61" s="180" t="s">
        <v>73</v>
      </c>
      <c r="AI61" s="181"/>
      <c r="AJ61" s="180" t="s">
        <v>56</v>
      </c>
      <c r="AK61" s="181"/>
      <c r="AL61" s="180" t="s">
        <v>73</v>
      </c>
      <c r="AM61" s="181"/>
      <c r="AN61" s="180" t="s">
        <v>73</v>
      </c>
      <c r="AO61" s="181"/>
      <c r="AP61" s="180" t="s">
        <v>57</v>
      </c>
      <c r="AQ61" s="181"/>
      <c r="AR61" s="186"/>
      <c r="AS61" s="187"/>
      <c r="AT61" s="186"/>
      <c r="AU61" s="187"/>
      <c r="AV61" s="186"/>
      <c r="AW61" s="187"/>
      <c r="AX61" s="186"/>
      <c r="AY61" s="187"/>
      <c r="AZ61" s="188" t="str">
        <f t="shared" si="3"/>
        <v>Active</v>
      </c>
      <c r="BA61" s="190"/>
    </row>
    <row r="62" spans="1:53" s="191" customFormat="1" ht="15.5" hidden="1" x14ac:dyDescent="0.35">
      <c r="A62" s="191" t="str">
        <f t="shared" si="1"/>
        <v>2026-TRIMA-JRHNPI</v>
      </c>
      <c r="B62" s="178" t="str">
        <f>VLOOKUP(E62,'Customer '!A:C,3,0)</f>
        <v>NON RH</v>
      </c>
      <c r="C62" s="178" t="s">
        <v>268</v>
      </c>
      <c r="D62" s="178" t="s">
        <v>306</v>
      </c>
      <c r="E62" s="178" t="s">
        <v>196</v>
      </c>
      <c r="F62" s="179" t="str">
        <f>VLOOKUP(E62,'Customer '!A:B,2,0)</f>
        <v>TRIMA</v>
      </c>
      <c r="G62" s="178" t="s">
        <v>197</v>
      </c>
      <c r="H62" s="178" t="str">
        <f t="shared" si="2"/>
        <v>2026-TRIMA-JRH</v>
      </c>
      <c r="I62" s="178">
        <v>0</v>
      </c>
      <c r="J62" s="180" t="s">
        <v>309</v>
      </c>
      <c r="K62" s="181" t="s">
        <v>273</v>
      </c>
      <c r="L62" s="180" t="s">
        <v>364</v>
      </c>
      <c r="M62" s="182">
        <v>46084</v>
      </c>
      <c r="N62" s="183">
        <v>46090</v>
      </c>
      <c r="O62" s="181"/>
      <c r="P62" s="183" t="str">
        <f>VLOOKUP(E62,'Customer '!A:D,4,0)</f>
        <v>50% deposit, 50% prior shipment</v>
      </c>
      <c r="Q62" s="178" t="s">
        <v>198</v>
      </c>
      <c r="R62" s="178" t="s">
        <v>363</v>
      </c>
      <c r="S62" s="178">
        <v>4</v>
      </c>
      <c r="T62" s="184">
        <v>1022211</v>
      </c>
      <c r="U62" s="184">
        <v>358759</v>
      </c>
      <c r="V62" s="184" t="s">
        <v>282</v>
      </c>
      <c r="W62" s="185">
        <v>2026</v>
      </c>
      <c r="X62" s="183">
        <v>46234</v>
      </c>
      <c r="Y62" s="183"/>
      <c r="Z62" s="183" t="s">
        <v>149</v>
      </c>
      <c r="AA62" s="183"/>
      <c r="AB62" s="183"/>
      <c r="AC62" s="183"/>
      <c r="AD62" s="180" t="s">
        <v>318</v>
      </c>
      <c r="AE62" s="181"/>
      <c r="AF62" s="180" t="s">
        <v>56</v>
      </c>
      <c r="AG62" s="181"/>
      <c r="AH62" s="180" t="s">
        <v>73</v>
      </c>
      <c r="AI62" s="181"/>
      <c r="AJ62" s="180" t="s">
        <v>56</v>
      </c>
      <c r="AK62" s="181"/>
      <c r="AL62" s="180" t="s">
        <v>73</v>
      </c>
      <c r="AM62" s="181"/>
      <c r="AN62" s="180" t="s">
        <v>73</v>
      </c>
      <c r="AO62" s="181"/>
      <c r="AP62" s="180" t="s">
        <v>57</v>
      </c>
      <c r="AQ62" s="181"/>
      <c r="AR62" s="186"/>
      <c r="AS62" s="187"/>
      <c r="AT62" s="186"/>
      <c r="AU62" s="187"/>
      <c r="AV62" s="186"/>
      <c r="AW62" s="187"/>
      <c r="AX62" s="186"/>
      <c r="AY62" s="187"/>
      <c r="AZ62" s="188" t="str">
        <f t="shared" si="3"/>
        <v>Active</v>
      </c>
      <c r="BA62" s="190"/>
    </row>
    <row r="63" spans="1:53" s="191" customFormat="1" ht="15.5" hidden="1" x14ac:dyDescent="0.35">
      <c r="A63" s="191" t="str">
        <f t="shared" si="1"/>
        <v>2026-L&amp;S-ELYSEE HOTELNPD</v>
      </c>
      <c r="B63" s="178" t="str">
        <f>VLOOKUP(E63,'Customer '!A:C,3,0)</f>
        <v>NON RH</v>
      </c>
      <c r="C63" s="178" t="s">
        <v>323</v>
      </c>
      <c r="D63" s="178" t="s">
        <v>164</v>
      </c>
      <c r="E63" s="179" t="s">
        <v>82</v>
      </c>
      <c r="F63" s="179" t="str">
        <f>VLOOKUP(E63,'Customer '!A:B,2,0)</f>
        <v>L&amp;S</v>
      </c>
      <c r="G63" s="178" t="s">
        <v>90</v>
      </c>
      <c r="H63" s="178" t="str">
        <f t="shared" si="2"/>
        <v>2026-L&amp;S-ELYSEE HOTEL</v>
      </c>
      <c r="I63" s="178">
        <v>1</v>
      </c>
      <c r="J63" s="180" t="s">
        <v>309</v>
      </c>
      <c r="K63" s="181" t="s">
        <v>273</v>
      </c>
      <c r="L63" s="180" t="s">
        <v>310</v>
      </c>
      <c r="M63" s="182">
        <v>46027</v>
      </c>
      <c r="N63" s="183">
        <v>46009</v>
      </c>
      <c r="O63" s="181"/>
      <c r="P63" s="183" t="str">
        <f>VLOOKUP(E63,'Customer '!A:D,4,0)</f>
        <v>50% deposit, 50% prior shipment</v>
      </c>
      <c r="Q63" s="178" t="s">
        <v>51</v>
      </c>
      <c r="R63" s="178" t="s">
        <v>325</v>
      </c>
      <c r="S63" s="178">
        <v>5</v>
      </c>
      <c r="T63" s="192">
        <v>1936.89</v>
      </c>
      <c r="U63" s="192">
        <v>1936.89</v>
      </c>
      <c r="V63" s="184" t="s">
        <v>277</v>
      </c>
      <c r="W63" s="185">
        <v>2026</v>
      </c>
      <c r="X63" s="183" t="s">
        <v>292</v>
      </c>
      <c r="Y63" s="183"/>
      <c r="Z63" s="183" t="s">
        <v>884</v>
      </c>
      <c r="AA63" s="183"/>
      <c r="AB63" s="183"/>
      <c r="AC63" s="183"/>
      <c r="AD63" s="180" t="s">
        <v>318</v>
      </c>
      <c r="AE63" s="181"/>
      <c r="AF63" s="180" t="s">
        <v>56</v>
      </c>
      <c r="AG63" s="181"/>
      <c r="AH63" s="180" t="s">
        <v>304</v>
      </c>
      <c r="AI63" s="181"/>
      <c r="AJ63" s="180" t="s">
        <v>56</v>
      </c>
      <c r="AK63" s="181"/>
      <c r="AL63" s="180" t="s">
        <v>56</v>
      </c>
      <c r="AM63" s="181"/>
      <c r="AN63" s="180" t="s">
        <v>73</v>
      </c>
      <c r="AO63" s="181"/>
      <c r="AP63" s="180" t="s">
        <v>57</v>
      </c>
      <c r="AQ63" s="181"/>
      <c r="AR63" s="186"/>
      <c r="AS63" s="187"/>
      <c r="AT63" s="186"/>
      <c r="AU63" s="187"/>
      <c r="AV63" s="186"/>
      <c r="AW63" s="187"/>
      <c r="AX63" s="186"/>
      <c r="AY63" s="187"/>
      <c r="AZ63" s="188" t="str">
        <f t="shared" si="3"/>
        <v>Active</v>
      </c>
      <c r="BA63" s="190"/>
    </row>
    <row r="64" spans="1:53" s="191" customFormat="1" ht="15.5" x14ac:dyDescent="0.35">
      <c r="A64" s="191" t="str">
        <f>H64&amp;C64</f>
        <v>2026-BROOKFIELD-PARK HYATT VANCOUVERNPD</v>
      </c>
      <c r="B64" s="178" t="str">
        <f>VLOOKUP(E64,'Customer '!A:C,3,0)</f>
        <v>NON RH</v>
      </c>
      <c r="C64" s="178" t="s">
        <v>323</v>
      </c>
      <c r="D64" s="178" t="s">
        <v>298</v>
      </c>
      <c r="E64" s="179" t="s">
        <v>366</v>
      </c>
      <c r="F64" s="179" t="str">
        <f>VLOOKUP(E64,'Customer '!A:B,2,0)</f>
        <v>BROOKFIELD</v>
      </c>
      <c r="G64" s="178" t="s">
        <v>151</v>
      </c>
      <c r="H64" s="178" t="str">
        <f t="shared" si="2"/>
        <v>2026-BROOKFIELD-PARK HYATT VANCOUVER</v>
      </c>
      <c r="I64" s="178">
        <v>1</v>
      </c>
      <c r="J64" s="180" t="s">
        <v>272</v>
      </c>
      <c r="K64" s="181" t="s">
        <v>273</v>
      </c>
      <c r="L64" s="180" t="s">
        <v>274</v>
      </c>
      <c r="M64" s="182">
        <v>46037</v>
      </c>
      <c r="N64" s="183">
        <v>46055</v>
      </c>
      <c r="O64" s="181"/>
      <c r="P64" s="183" t="str">
        <f>VLOOKUP(E64,'Customer '!A:D,4,0)</f>
        <v>50% deposit, 50% prior shipment</v>
      </c>
      <c r="Q64" s="178" t="s">
        <v>152</v>
      </c>
      <c r="R64" s="178" t="s">
        <v>293</v>
      </c>
      <c r="S64" s="178">
        <v>9</v>
      </c>
      <c r="T64" s="192">
        <v>14470.66</v>
      </c>
      <c r="U64" s="192">
        <v>14470.66</v>
      </c>
      <c r="V64" s="184" t="s">
        <v>277</v>
      </c>
      <c r="W64" s="185">
        <v>2026</v>
      </c>
      <c r="X64" s="183">
        <v>46150</v>
      </c>
      <c r="Y64" s="183"/>
      <c r="Z64" s="183" t="s">
        <v>880</v>
      </c>
      <c r="AA64" s="183"/>
      <c r="AB64" s="183"/>
      <c r="AC64" s="183"/>
      <c r="AD64" s="180" t="s">
        <v>56</v>
      </c>
      <c r="AE64" s="181"/>
      <c r="AF64" s="180" t="s">
        <v>56</v>
      </c>
      <c r="AG64" s="181"/>
      <c r="AH64" s="180" t="s">
        <v>304</v>
      </c>
      <c r="AI64" s="181"/>
      <c r="AJ64" s="180" t="s">
        <v>304</v>
      </c>
      <c r="AK64" s="181"/>
      <c r="AL64" s="180" t="s">
        <v>304</v>
      </c>
      <c r="AM64" s="181"/>
      <c r="AN64" s="180" t="s">
        <v>304</v>
      </c>
      <c r="AO64" s="181"/>
      <c r="AP64" s="180" t="s">
        <v>57</v>
      </c>
      <c r="AQ64" s="181"/>
      <c r="AR64" s="186"/>
      <c r="AS64" s="187"/>
      <c r="AT64" s="186"/>
      <c r="AU64" s="187"/>
      <c r="AV64" s="186"/>
      <c r="AW64" s="187"/>
      <c r="AX64" s="186"/>
      <c r="AY64" s="187"/>
      <c r="AZ64" s="188" t="str">
        <f t="shared" si="3"/>
        <v>Complete</v>
      </c>
      <c r="BA64" s="190"/>
    </row>
    <row r="65" spans="1:53" s="191" customFormat="1" ht="15.5" x14ac:dyDescent="0.35">
      <c r="A65" s="191" t="str">
        <f t="shared" si="1"/>
        <v>2026-BROOKFIELD-PARK HYATT VANCOUVERNPI</v>
      </c>
      <c r="B65" s="178" t="str">
        <f>VLOOKUP(E65,'Customer '!A:C,3,0)</f>
        <v>NON RH</v>
      </c>
      <c r="C65" s="178" t="s">
        <v>268</v>
      </c>
      <c r="D65" s="178" t="s">
        <v>298</v>
      </c>
      <c r="E65" s="179" t="s">
        <v>366</v>
      </c>
      <c r="F65" s="179" t="str">
        <f>VLOOKUP(E65,'Customer '!A:B,2,0)</f>
        <v>BROOKFIELD</v>
      </c>
      <c r="G65" s="178" t="s">
        <v>151</v>
      </c>
      <c r="H65" s="178" t="str">
        <f t="shared" si="2"/>
        <v>2026-BROOKFIELD-PARK HYATT VANCOUVER</v>
      </c>
      <c r="I65" s="178">
        <v>1</v>
      </c>
      <c r="J65" s="180" t="s">
        <v>284</v>
      </c>
      <c r="K65" s="181" t="s">
        <v>273</v>
      </c>
      <c r="L65" s="180" t="s">
        <v>301</v>
      </c>
      <c r="M65" s="182"/>
      <c r="N65" s="183"/>
      <c r="O65" s="181"/>
      <c r="P65" s="183" t="str">
        <f>VLOOKUP(E65,'Customer '!A:D,4,0)</f>
        <v>50% deposit, 50% prior shipment</v>
      </c>
      <c r="Q65" s="178" t="s">
        <v>152</v>
      </c>
      <c r="R65" s="178" t="s">
        <v>293</v>
      </c>
      <c r="S65" s="178">
        <v>9</v>
      </c>
      <c r="T65" s="184">
        <v>365737.97000000003</v>
      </c>
      <c r="U65" s="184">
        <v>365737.97000000003</v>
      </c>
      <c r="V65" s="184" t="s">
        <v>149</v>
      </c>
      <c r="W65" s="185">
        <v>2026</v>
      </c>
      <c r="X65" s="183" t="s">
        <v>292</v>
      </c>
      <c r="Y65" s="183"/>
      <c r="Z65" s="183"/>
      <c r="AA65" s="183"/>
      <c r="AB65" s="183"/>
      <c r="AC65" s="183"/>
      <c r="AD65" s="180" t="s">
        <v>342</v>
      </c>
      <c r="AE65" s="181"/>
      <c r="AF65" s="180" t="s">
        <v>342</v>
      </c>
      <c r="AG65" s="181"/>
      <c r="AH65" s="180" t="s">
        <v>342</v>
      </c>
      <c r="AI65" s="181"/>
      <c r="AJ65" s="180" t="s">
        <v>342</v>
      </c>
      <c r="AK65" s="181"/>
      <c r="AL65" s="180" t="s">
        <v>342</v>
      </c>
      <c r="AM65" s="181"/>
      <c r="AN65" s="180" t="s">
        <v>342</v>
      </c>
      <c r="AO65" s="181"/>
      <c r="AP65" s="180" t="s">
        <v>342</v>
      </c>
      <c r="AQ65" s="181"/>
      <c r="AR65" s="186"/>
      <c r="AS65" s="187"/>
      <c r="AT65" s="186"/>
      <c r="AU65" s="187"/>
      <c r="AV65" s="186"/>
      <c r="AW65" s="187"/>
      <c r="AX65" s="186"/>
      <c r="AY65" s="187"/>
      <c r="AZ65" s="188" t="str">
        <f t="shared" si="3"/>
        <v>Active</v>
      </c>
      <c r="BA65" s="190"/>
    </row>
    <row r="66" spans="1:53" s="191" customFormat="1" ht="15.5" hidden="1" x14ac:dyDescent="0.35">
      <c r="A66" s="191" t="str">
        <f t="shared" si="1"/>
        <v>2026-FLEETWOOD -W-HOTEL-LAS-VEGASNPD</v>
      </c>
      <c r="B66" s="178" t="str">
        <f>VLOOKUP(E66,'Customer '!A:C,3,0)</f>
        <v>NON RH</v>
      </c>
      <c r="C66" s="178" t="s">
        <v>323</v>
      </c>
      <c r="D66" s="178" t="s">
        <v>164</v>
      </c>
      <c r="E66" s="179" t="s">
        <v>98</v>
      </c>
      <c r="F66" s="179" t="str">
        <f>VLOOKUP(E66,'Customer '!A:B,2,0)</f>
        <v xml:space="preserve">FLEETWOOD </v>
      </c>
      <c r="G66" s="178" t="s">
        <v>188</v>
      </c>
      <c r="H66" s="178" t="str">
        <f t="shared" si="2"/>
        <v>2026-FLEETWOOD -W-HOTEL-LAS-VEGAS</v>
      </c>
      <c r="I66" s="178">
        <v>1</v>
      </c>
      <c r="J66" s="180" t="s">
        <v>272</v>
      </c>
      <c r="K66" s="181" t="s">
        <v>273</v>
      </c>
      <c r="L66" s="180" t="s">
        <v>274</v>
      </c>
      <c r="M66" s="182">
        <v>45939</v>
      </c>
      <c r="N66" s="183">
        <v>46338</v>
      </c>
      <c r="O66" s="181"/>
      <c r="P66" s="183" t="str">
        <f>VLOOKUP(E66,'Customer '!A:D,4,0)</f>
        <v>25% desposit, 75% period shipment</v>
      </c>
      <c r="Q66" s="178" t="s">
        <v>51</v>
      </c>
      <c r="R66" s="178" t="s">
        <v>334</v>
      </c>
      <c r="S66" s="178">
        <v>12</v>
      </c>
      <c r="T66" s="184">
        <v>15271.3</v>
      </c>
      <c r="U66" s="184">
        <v>15271.3</v>
      </c>
      <c r="V66" s="185" t="s">
        <v>321</v>
      </c>
      <c r="W66" s="185">
        <v>2026</v>
      </c>
      <c r="X66" s="183" t="s">
        <v>292</v>
      </c>
      <c r="Y66" s="183"/>
      <c r="Z66" s="183" t="s">
        <v>322</v>
      </c>
      <c r="AA66" s="183"/>
      <c r="AB66" s="183"/>
      <c r="AC66" s="183"/>
      <c r="AD66" s="180" t="s">
        <v>56</v>
      </c>
      <c r="AE66" s="181"/>
      <c r="AF66" s="180" t="s">
        <v>56</v>
      </c>
      <c r="AG66" s="181"/>
      <c r="AH66" s="180" t="s">
        <v>56</v>
      </c>
      <c r="AI66" s="181"/>
      <c r="AJ66" s="180" t="s">
        <v>56</v>
      </c>
      <c r="AK66" s="181"/>
      <c r="AL66" s="180" t="s">
        <v>56</v>
      </c>
      <c r="AM66" s="181"/>
      <c r="AN66" s="180" t="s">
        <v>304</v>
      </c>
      <c r="AO66" s="181"/>
      <c r="AP66" s="180" t="s">
        <v>57</v>
      </c>
      <c r="AQ66" s="181"/>
      <c r="AR66" s="186"/>
      <c r="AS66" s="187"/>
      <c r="AT66" s="186"/>
      <c r="AU66" s="187"/>
      <c r="AV66" s="186"/>
      <c r="AW66" s="187"/>
      <c r="AX66" s="186"/>
      <c r="AY66" s="187"/>
      <c r="AZ66" s="188" t="str">
        <f t="shared" si="3"/>
        <v>Complete</v>
      </c>
      <c r="BA66" s="190"/>
    </row>
    <row r="67" spans="1:53" s="191" customFormat="1" ht="15.5" hidden="1" x14ac:dyDescent="0.35">
      <c r="A67" s="191" t="str">
        <f t="shared" si="1"/>
        <v>2026-FLEETWOOD -W-HOTEL-LAS-VEGASNPI</v>
      </c>
      <c r="B67" s="178" t="str">
        <f>VLOOKUP(E67,'Customer '!A:C,3,0)</f>
        <v>NON RH</v>
      </c>
      <c r="C67" s="178" t="s">
        <v>268</v>
      </c>
      <c r="D67" s="178" t="s">
        <v>164</v>
      </c>
      <c r="E67" s="179" t="s">
        <v>98</v>
      </c>
      <c r="F67" s="179" t="str">
        <f>VLOOKUP(E67,'Customer '!A:B,2,0)</f>
        <v xml:space="preserve">FLEETWOOD </v>
      </c>
      <c r="G67" s="178" t="s">
        <v>188</v>
      </c>
      <c r="H67" s="178" t="str">
        <f t="shared" si="2"/>
        <v>2026-FLEETWOOD -W-HOTEL-LAS-VEGAS</v>
      </c>
      <c r="I67" s="178">
        <v>1</v>
      </c>
      <c r="J67" s="180" t="s">
        <v>284</v>
      </c>
      <c r="K67" s="181" t="s">
        <v>273</v>
      </c>
      <c r="L67" s="180" t="s">
        <v>301</v>
      </c>
      <c r="M67" s="182">
        <v>45939</v>
      </c>
      <c r="N67" s="183"/>
      <c r="O67" s="181"/>
      <c r="P67" s="183" t="str">
        <f>VLOOKUP(E67,'Customer '!A:D,4,0)</f>
        <v>25% desposit, 75% period shipment</v>
      </c>
      <c r="Q67" s="178" t="s">
        <v>51</v>
      </c>
      <c r="R67" s="178" t="s">
        <v>334</v>
      </c>
      <c r="S67" s="178">
        <v>12</v>
      </c>
      <c r="T67" s="184">
        <v>3466407</v>
      </c>
      <c r="U67" s="184">
        <v>1155469</v>
      </c>
      <c r="V67" s="184" t="s">
        <v>328</v>
      </c>
      <c r="W67" s="185">
        <v>2027</v>
      </c>
      <c r="X67" s="183" t="s">
        <v>292</v>
      </c>
      <c r="Y67" s="183"/>
      <c r="Z67" s="183"/>
      <c r="AA67" s="183"/>
      <c r="AB67" s="183"/>
      <c r="AC67" s="183"/>
      <c r="AD67" s="180" t="s">
        <v>56</v>
      </c>
      <c r="AE67" s="181"/>
      <c r="AF67" s="180"/>
      <c r="AG67" s="181"/>
      <c r="AH67" s="180"/>
      <c r="AI67" s="181"/>
      <c r="AJ67" s="180"/>
      <c r="AK67" s="181"/>
      <c r="AL67" s="180"/>
      <c r="AM67" s="181"/>
      <c r="AN67" s="180"/>
      <c r="AO67" s="181"/>
      <c r="AP67" s="180"/>
      <c r="AQ67" s="181"/>
      <c r="AR67" s="186"/>
      <c r="AS67" s="187"/>
      <c r="AT67" s="186"/>
      <c r="AU67" s="187"/>
      <c r="AV67" s="186"/>
      <c r="AW67" s="187"/>
      <c r="AX67" s="186"/>
      <c r="AY67" s="187"/>
      <c r="AZ67" s="188" t="str">
        <f t="shared" ref="AZ67:AZ85" si="6">IF(J67="SHIPPED","Complete",IF(J67="VIEWING","Archived","Active"))</f>
        <v>Active</v>
      </c>
      <c r="BA67" s="190"/>
    </row>
    <row r="68" spans="1:53" s="191" customFormat="1" ht="15.5" hidden="1" x14ac:dyDescent="0.35">
      <c r="A68" s="191" t="str">
        <f t="shared" ref="A68:A108" si="7">H68&amp;C68</f>
        <v>2026-FLEETWOOD -W-HOTEL-LAS-VEGASNPI</v>
      </c>
      <c r="B68" s="178" t="str">
        <f>VLOOKUP(E68,'Customer '!A:C,3,0)</f>
        <v>NON RH</v>
      </c>
      <c r="C68" s="178" t="s">
        <v>268</v>
      </c>
      <c r="D68" s="178" t="s">
        <v>164</v>
      </c>
      <c r="E68" s="179" t="s">
        <v>98</v>
      </c>
      <c r="F68" s="179" t="str">
        <f>VLOOKUP(E68,'Customer '!A:B,2,0)</f>
        <v xml:space="preserve">FLEETWOOD </v>
      </c>
      <c r="G68" s="178" t="s">
        <v>188</v>
      </c>
      <c r="H68" s="178" t="str">
        <f t="shared" ref="H68:H108" si="8">2026&amp;"-"&amp;F68&amp;"-"&amp;G68</f>
        <v>2026-FLEETWOOD -W-HOTEL-LAS-VEGAS</v>
      </c>
      <c r="I68" s="178">
        <v>0</v>
      </c>
      <c r="J68" s="180" t="s">
        <v>284</v>
      </c>
      <c r="K68" s="181" t="s">
        <v>273</v>
      </c>
      <c r="L68" s="180" t="s">
        <v>301</v>
      </c>
      <c r="M68" s="182">
        <v>45939</v>
      </c>
      <c r="N68" s="183"/>
      <c r="O68" s="181"/>
      <c r="P68" s="183" t="str">
        <f>VLOOKUP(E68,'Customer '!A:D,4,0)</f>
        <v>25% desposit, 75% period shipment</v>
      </c>
      <c r="Q68" s="178" t="s">
        <v>51</v>
      </c>
      <c r="R68" s="178" t="s">
        <v>334</v>
      </c>
      <c r="S68" s="178">
        <v>12</v>
      </c>
      <c r="T68" s="184">
        <v>3466407</v>
      </c>
      <c r="U68" s="184">
        <v>1155469</v>
      </c>
      <c r="V68" s="184" t="s">
        <v>286</v>
      </c>
      <c r="W68" s="185">
        <v>2027</v>
      </c>
      <c r="X68" s="183" t="s">
        <v>292</v>
      </c>
      <c r="Y68" s="183"/>
      <c r="Z68" s="183"/>
      <c r="AA68" s="183"/>
      <c r="AB68" s="183"/>
      <c r="AC68" s="183"/>
      <c r="AD68" s="180" t="s">
        <v>56</v>
      </c>
      <c r="AE68" s="181"/>
      <c r="AF68" s="180"/>
      <c r="AG68" s="181"/>
      <c r="AH68" s="180"/>
      <c r="AI68" s="181"/>
      <c r="AJ68" s="180"/>
      <c r="AK68" s="181"/>
      <c r="AL68" s="180"/>
      <c r="AM68" s="181"/>
      <c r="AN68" s="180"/>
      <c r="AO68" s="181"/>
      <c r="AP68" s="180"/>
      <c r="AQ68" s="181"/>
      <c r="AR68" s="186"/>
      <c r="AS68" s="187"/>
      <c r="AT68" s="186"/>
      <c r="AU68" s="187"/>
      <c r="AV68" s="186"/>
      <c r="AW68" s="187"/>
      <c r="AX68" s="186"/>
      <c r="AY68" s="187"/>
      <c r="AZ68" s="188" t="str">
        <f t="shared" si="6"/>
        <v>Active</v>
      </c>
      <c r="BA68" s="190"/>
    </row>
    <row r="69" spans="1:53" s="191" customFormat="1" ht="15.5" hidden="1" x14ac:dyDescent="0.35">
      <c r="A69" s="191" t="str">
        <f t="shared" si="7"/>
        <v>2026-FLEETWOOD -W-HOTEL-LAS-VEGASNPI</v>
      </c>
      <c r="B69" s="178" t="str">
        <f>VLOOKUP(E69,'Customer '!A:C,3,0)</f>
        <v>NON RH</v>
      </c>
      <c r="C69" s="178" t="s">
        <v>268</v>
      </c>
      <c r="D69" s="178" t="s">
        <v>164</v>
      </c>
      <c r="E69" s="179" t="s">
        <v>98</v>
      </c>
      <c r="F69" s="179" t="str">
        <f>VLOOKUP(E69,'Customer '!A:B,2,0)</f>
        <v xml:space="preserve">FLEETWOOD </v>
      </c>
      <c r="G69" s="178" t="s">
        <v>188</v>
      </c>
      <c r="H69" s="178" t="str">
        <f t="shared" si="8"/>
        <v>2026-FLEETWOOD -W-HOTEL-LAS-VEGAS</v>
      </c>
      <c r="I69" s="178">
        <v>0</v>
      </c>
      <c r="J69" s="180" t="s">
        <v>284</v>
      </c>
      <c r="K69" s="181" t="s">
        <v>273</v>
      </c>
      <c r="L69" s="180" t="s">
        <v>301</v>
      </c>
      <c r="M69" s="182">
        <v>45939</v>
      </c>
      <c r="N69" s="183"/>
      <c r="O69" s="181"/>
      <c r="P69" s="183" t="str">
        <f>VLOOKUP(E69,'Customer '!A:D,4,0)</f>
        <v>25% desposit, 75% period shipment</v>
      </c>
      <c r="Q69" s="178" t="s">
        <v>51</v>
      </c>
      <c r="R69" s="178" t="s">
        <v>334</v>
      </c>
      <c r="S69" s="178">
        <v>12</v>
      </c>
      <c r="T69" s="184">
        <v>3466407</v>
      </c>
      <c r="U69" s="184">
        <v>1155469</v>
      </c>
      <c r="V69" s="184" t="s">
        <v>288</v>
      </c>
      <c r="W69" s="185">
        <v>2027</v>
      </c>
      <c r="X69" s="183" t="s">
        <v>292</v>
      </c>
      <c r="Y69" s="183"/>
      <c r="Z69" s="183"/>
      <c r="AA69" s="183"/>
      <c r="AB69" s="183"/>
      <c r="AC69" s="183"/>
      <c r="AD69" s="180" t="s">
        <v>56</v>
      </c>
      <c r="AE69" s="181"/>
      <c r="AF69" s="180"/>
      <c r="AG69" s="181"/>
      <c r="AH69" s="180"/>
      <c r="AI69" s="181"/>
      <c r="AJ69" s="180"/>
      <c r="AK69" s="181"/>
      <c r="AL69" s="180"/>
      <c r="AM69" s="181"/>
      <c r="AN69" s="180"/>
      <c r="AO69" s="181"/>
      <c r="AP69" s="180"/>
      <c r="AQ69" s="181"/>
      <c r="AR69" s="186"/>
      <c r="AS69" s="187"/>
      <c r="AT69" s="186"/>
      <c r="AU69" s="187"/>
      <c r="AV69" s="186"/>
      <c r="AW69" s="187"/>
      <c r="AX69" s="186"/>
      <c r="AY69" s="187"/>
      <c r="AZ69" s="188" t="str">
        <f t="shared" si="6"/>
        <v>Active</v>
      </c>
      <c r="BA69" s="190"/>
    </row>
    <row r="70" spans="1:53" s="191" customFormat="1" ht="15.5" hidden="1" x14ac:dyDescent="0.35">
      <c r="A70" s="191" t="str">
        <f t="shared" si="7"/>
        <v>2026-L&amp;S-HARD ROCK SAN JUANNPD</v>
      </c>
      <c r="B70" s="178" t="str">
        <f>VLOOKUP(E70,'Customer '!A:C,3,0)</f>
        <v>NON RH</v>
      </c>
      <c r="C70" s="178" t="s">
        <v>323</v>
      </c>
      <c r="D70" s="178" t="s">
        <v>340</v>
      </c>
      <c r="E70" s="179" t="s">
        <v>82</v>
      </c>
      <c r="F70" s="179" t="str">
        <f>VLOOKUP(E70,'Customer '!A:B,2,0)</f>
        <v>L&amp;S</v>
      </c>
      <c r="G70" s="178" t="s">
        <v>191</v>
      </c>
      <c r="H70" s="178" t="str">
        <f t="shared" si="8"/>
        <v>2026-L&amp;S-HARD ROCK SAN JUAN</v>
      </c>
      <c r="I70" s="178">
        <v>1</v>
      </c>
      <c r="J70" s="180" t="s">
        <v>309</v>
      </c>
      <c r="K70" s="181" t="s">
        <v>273</v>
      </c>
      <c r="L70" s="180" t="s">
        <v>333</v>
      </c>
      <c r="M70" s="182">
        <v>46141</v>
      </c>
      <c r="N70" s="183">
        <v>46070</v>
      </c>
      <c r="O70" s="181"/>
      <c r="P70" s="183" t="str">
        <f>VLOOKUP(E70,'Customer '!A:D,4,0)</f>
        <v>50% deposit, 50% prior shipment</v>
      </c>
      <c r="Q70" s="178" t="s">
        <v>51</v>
      </c>
      <c r="R70" s="178" t="s">
        <v>369</v>
      </c>
      <c r="S70" s="178">
        <v>7</v>
      </c>
      <c r="T70" s="184">
        <v>6614.04</v>
      </c>
      <c r="U70" s="184">
        <v>6614.04</v>
      </c>
      <c r="V70" s="184" t="s">
        <v>280</v>
      </c>
      <c r="W70" s="185">
        <v>2026</v>
      </c>
      <c r="X70" s="183" t="s">
        <v>889</v>
      </c>
      <c r="Y70" s="183"/>
      <c r="Z70" s="183" t="s">
        <v>889</v>
      </c>
      <c r="AA70" s="183"/>
      <c r="AB70" s="183"/>
      <c r="AC70" s="183"/>
      <c r="AD70" s="180" t="s">
        <v>304</v>
      </c>
      <c r="AE70" s="181"/>
      <c r="AF70" s="180" t="s">
        <v>318</v>
      </c>
      <c r="AG70" s="181"/>
      <c r="AH70" s="180" t="s">
        <v>304</v>
      </c>
      <c r="AI70" s="181"/>
      <c r="AJ70" s="180" t="s">
        <v>318</v>
      </c>
      <c r="AK70" s="181"/>
      <c r="AL70" s="180" t="s">
        <v>72</v>
      </c>
      <c r="AM70" s="181"/>
      <c r="AN70" s="180" t="s">
        <v>304</v>
      </c>
      <c r="AO70" s="181"/>
      <c r="AP70" s="180" t="s">
        <v>73</v>
      </c>
      <c r="AQ70" s="181"/>
      <c r="AR70" s="186"/>
      <c r="AS70" s="187"/>
      <c r="AT70" s="186"/>
      <c r="AU70" s="187"/>
      <c r="AV70" s="186"/>
      <c r="AW70" s="187"/>
      <c r="AX70" s="186"/>
      <c r="AY70" s="187"/>
      <c r="AZ70" s="188" t="str">
        <f t="shared" si="6"/>
        <v>Active</v>
      </c>
      <c r="BA70" s="190"/>
    </row>
    <row r="71" spans="1:53" s="191" customFormat="1" ht="15.5" hidden="1" x14ac:dyDescent="0.35">
      <c r="A71" s="191" t="str">
        <f t="shared" si="7"/>
        <v>2026-L&amp;S-HARD ROCK SAN JUANNPI</v>
      </c>
      <c r="B71" s="178" t="str">
        <f>VLOOKUP(E71,'Customer '!A:C,3,0)</f>
        <v>NON RH</v>
      </c>
      <c r="C71" s="178" t="s">
        <v>268</v>
      </c>
      <c r="D71" s="178" t="s">
        <v>340</v>
      </c>
      <c r="E71" s="179" t="s">
        <v>82</v>
      </c>
      <c r="F71" s="179" t="str">
        <f>VLOOKUP(E71,'Customer '!A:B,2,0)</f>
        <v>L&amp;S</v>
      </c>
      <c r="G71" s="178" t="s">
        <v>191</v>
      </c>
      <c r="H71" s="178" t="str">
        <f t="shared" si="8"/>
        <v>2026-L&amp;S-HARD ROCK SAN JUAN</v>
      </c>
      <c r="I71" s="178">
        <v>1</v>
      </c>
      <c r="J71" s="180" t="s">
        <v>284</v>
      </c>
      <c r="K71" s="181" t="s">
        <v>273</v>
      </c>
      <c r="L71" s="180" t="s">
        <v>333</v>
      </c>
      <c r="M71" s="182"/>
      <c r="N71" s="183"/>
      <c r="O71" s="181"/>
      <c r="P71" s="183" t="str">
        <f>VLOOKUP(E71,'Customer '!A:D,4,0)</f>
        <v>50% deposit, 50% prior shipment</v>
      </c>
      <c r="Q71" s="178" t="s">
        <v>51</v>
      </c>
      <c r="R71" s="178" t="s">
        <v>369</v>
      </c>
      <c r="S71" s="178">
        <v>5</v>
      </c>
      <c r="T71" s="184">
        <v>1500000</v>
      </c>
      <c r="U71" s="184">
        <v>1500000</v>
      </c>
      <c r="V71" s="184" t="s">
        <v>315</v>
      </c>
      <c r="W71" s="185">
        <v>2027</v>
      </c>
      <c r="X71" s="183"/>
      <c r="Y71" s="183"/>
      <c r="Z71" s="183"/>
      <c r="AA71" s="183"/>
      <c r="AB71" s="183"/>
      <c r="AC71" s="183"/>
      <c r="AD71" s="180" t="s">
        <v>304</v>
      </c>
      <c r="AE71" s="181"/>
      <c r="AF71" s="180"/>
      <c r="AG71" s="181"/>
      <c r="AH71" s="180"/>
      <c r="AI71" s="181"/>
      <c r="AJ71" s="180"/>
      <c r="AK71" s="181"/>
      <c r="AL71" s="180"/>
      <c r="AM71" s="181"/>
      <c r="AN71" s="180"/>
      <c r="AO71" s="181"/>
      <c r="AP71" s="180"/>
      <c r="AQ71" s="181"/>
      <c r="AR71" s="186"/>
      <c r="AS71" s="187"/>
      <c r="AT71" s="186"/>
      <c r="AU71" s="187"/>
      <c r="AV71" s="186"/>
      <c r="AW71" s="187"/>
      <c r="AX71" s="186"/>
      <c r="AY71" s="187"/>
      <c r="AZ71" s="188" t="str">
        <f t="shared" si="6"/>
        <v>Active</v>
      </c>
      <c r="BA71" s="190"/>
    </row>
    <row r="72" spans="1:53" s="191" customFormat="1" ht="15.5" x14ac:dyDescent="0.35">
      <c r="A72" s="191" t="str">
        <f t="shared" si="7"/>
        <v>2026-SPECTRUM-OTMB VANITYNPD</v>
      </c>
      <c r="B72" s="178" t="str">
        <f>VLOOKUP(E72,'Customer '!A:C,3,0)</f>
        <v>NON RH</v>
      </c>
      <c r="C72" s="178" t="s">
        <v>323</v>
      </c>
      <c r="D72" s="178" t="s">
        <v>298</v>
      </c>
      <c r="E72" s="178" t="s">
        <v>176</v>
      </c>
      <c r="F72" s="179" t="str">
        <f>VLOOKUP(E72,'Customer '!A:B,2,0)</f>
        <v>SPECTRUM</v>
      </c>
      <c r="G72" s="178" t="s">
        <v>371</v>
      </c>
      <c r="H72" s="178" t="str">
        <f t="shared" si="8"/>
        <v>2026-SPECTRUM-OTMB VANITY</v>
      </c>
      <c r="I72" s="178">
        <v>1</v>
      </c>
      <c r="J72" s="180" t="s">
        <v>309</v>
      </c>
      <c r="K72" s="181" t="s">
        <v>273</v>
      </c>
      <c r="L72" s="180" t="s">
        <v>317</v>
      </c>
      <c r="M72" s="182">
        <v>46091</v>
      </c>
      <c r="N72" s="183">
        <v>46099</v>
      </c>
      <c r="O72" s="181"/>
      <c r="P72" s="183" t="str">
        <f>VLOOKUP(E72,'Customer '!A:D,4,0)</f>
        <v>50% deposit, 50% prior shipment</v>
      </c>
      <c r="Q72" s="178" t="s">
        <v>51</v>
      </c>
      <c r="R72" s="178" t="s">
        <v>325</v>
      </c>
      <c r="S72" s="178">
        <v>4</v>
      </c>
      <c r="T72" s="184">
        <v>4027.4399999999996</v>
      </c>
      <c r="U72" s="184">
        <v>3273</v>
      </c>
      <c r="V72" s="184" t="s">
        <v>277</v>
      </c>
      <c r="W72" s="185">
        <v>2026</v>
      </c>
      <c r="X72" s="183" t="s">
        <v>292</v>
      </c>
      <c r="Y72" s="183"/>
      <c r="Z72" s="183" t="s">
        <v>889</v>
      </c>
      <c r="AA72" s="183"/>
      <c r="AB72" s="183"/>
      <c r="AC72" s="183"/>
      <c r="AD72" s="180" t="s">
        <v>318</v>
      </c>
      <c r="AE72" s="181"/>
      <c r="AF72" s="180" t="s">
        <v>318</v>
      </c>
      <c r="AG72" s="181"/>
      <c r="AH72" s="180" t="s">
        <v>73</v>
      </c>
      <c r="AI72" s="181"/>
      <c r="AJ72" s="180" t="s">
        <v>318</v>
      </c>
      <c r="AK72" s="181"/>
      <c r="AL72" s="180" t="s">
        <v>72</v>
      </c>
      <c r="AM72" s="181"/>
      <c r="AN72" s="180" t="s">
        <v>73</v>
      </c>
      <c r="AO72" s="181"/>
      <c r="AP72" s="180" t="s">
        <v>73</v>
      </c>
      <c r="AQ72" s="181"/>
      <c r="AR72" s="186"/>
      <c r="AS72" s="187"/>
      <c r="AT72" s="186"/>
      <c r="AU72" s="187"/>
      <c r="AV72" s="186"/>
      <c r="AW72" s="187"/>
      <c r="AX72" s="186"/>
      <c r="AY72" s="187"/>
      <c r="AZ72" s="188" t="str">
        <f t="shared" si="6"/>
        <v>Active</v>
      </c>
      <c r="BA72" s="190"/>
    </row>
    <row r="73" spans="1:53" s="191" customFormat="1" ht="15.5" x14ac:dyDescent="0.35">
      <c r="A73" s="191" t="str">
        <f t="shared" si="7"/>
        <v>2026-SPECTRUM-OTMB VANITYNPI</v>
      </c>
      <c r="B73" s="178" t="str">
        <f>VLOOKUP(E73,'Customer '!A:C,3,0)</f>
        <v>NON RH</v>
      </c>
      <c r="C73" s="178" t="s">
        <v>268</v>
      </c>
      <c r="D73" s="178" t="s">
        <v>298</v>
      </c>
      <c r="E73" s="178" t="s">
        <v>176</v>
      </c>
      <c r="F73" s="179" t="str">
        <f>VLOOKUP(E73,'Customer '!A:B,2,0)</f>
        <v>SPECTRUM</v>
      </c>
      <c r="G73" s="178" t="s">
        <v>371</v>
      </c>
      <c r="H73" s="178" t="str">
        <f t="shared" si="8"/>
        <v>2026-SPECTRUM-OTMB VANITY</v>
      </c>
      <c r="I73" s="178">
        <v>1</v>
      </c>
      <c r="J73" s="180" t="s">
        <v>284</v>
      </c>
      <c r="K73" s="181" t="s">
        <v>273</v>
      </c>
      <c r="L73" s="180" t="s">
        <v>372</v>
      </c>
      <c r="M73" s="182"/>
      <c r="N73" s="183" t="s">
        <v>292</v>
      </c>
      <c r="O73" s="181"/>
      <c r="P73" s="183" t="str">
        <f>VLOOKUP(E73,'Customer '!A:D,4,0)</f>
        <v>50% deposit, 50% prior shipment</v>
      </c>
      <c r="Q73" s="178" t="s">
        <v>51</v>
      </c>
      <c r="R73" s="178" t="s">
        <v>325</v>
      </c>
      <c r="S73" s="178">
        <v>4</v>
      </c>
      <c r="T73" s="184">
        <v>179782</v>
      </c>
      <c r="U73" s="184">
        <v>179782</v>
      </c>
      <c r="V73" s="184" t="s">
        <v>303</v>
      </c>
      <c r="W73" s="185">
        <v>2026</v>
      </c>
      <c r="X73" s="183" t="s">
        <v>292</v>
      </c>
      <c r="Y73" s="183"/>
      <c r="Z73" s="183"/>
      <c r="AA73" s="183"/>
      <c r="AB73" s="183"/>
      <c r="AC73" s="183"/>
      <c r="AD73" s="180" t="s">
        <v>342</v>
      </c>
      <c r="AE73" s="181"/>
      <c r="AF73" s="180" t="s">
        <v>342</v>
      </c>
      <c r="AG73" s="181"/>
      <c r="AH73" s="180" t="s">
        <v>73</v>
      </c>
      <c r="AI73" s="181"/>
      <c r="AJ73" s="180" t="s">
        <v>342</v>
      </c>
      <c r="AK73" s="181"/>
      <c r="AL73" s="180" t="s">
        <v>342</v>
      </c>
      <c r="AM73" s="181"/>
      <c r="AN73" s="180" t="s">
        <v>342</v>
      </c>
      <c r="AO73" s="181"/>
      <c r="AP73" s="180" t="s">
        <v>342</v>
      </c>
      <c r="AQ73" s="181"/>
      <c r="AR73" s="186"/>
      <c r="AS73" s="187"/>
      <c r="AT73" s="186"/>
      <c r="AU73" s="187"/>
      <c r="AV73" s="186"/>
      <c r="AW73" s="187"/>
      <c r="AX73" s="186"/>
      <c r="AY73" s="187"/>
      <c r="AZ73" s="188" t="str">
        <f t="shared" si="6"/>
        <v>Active</v>
      </c>
      <c r="BA73" s="190"/>
    </row>
    <row r="74" spans="1:53" s="191" customFormat="1" ht="15.5" hidden="1" x14ac:dyDescent="0.35">
      <c r="A74" s="191" t="str">
        <f t="shared" si="7"/>
        <v>2026-AYALA-KHOBAR HILTON CANOPY HOTELNPD</v>
      </c>
      <c r="B74" s="178" t="str">
        <f>VLOOKUP(E74,'Customer '!A:C,3,0)</f>
        <v>NON RH</v>
      </c>
      <c r="C74" s="178" t="s">
        <v>323</v>
      </c>
      <c r="D74" s="178" t="s">
        <v>340</v>
      </c>
      <c r="E74" s="178" t="s">
        <v>373</v>
      </c>
      <c r="F74" s="179" t="str">
        <f>VLOOKUP(E74,'Customer '!A:B,2,0)</f>
        <v>AYALA</v>
      </c>
      <c r="G74" s="178" t="s">
        <v>374</v>
      </c>
      <c r="H74" s="178" t="str">
        <f t="shared" si="8"/>
        <v>2026-AYALA-KHOBAR HILTON CANOPY HOTEL</v>
      </c>
      <c r="I74" s="178">
        <v>1</v>
      </c>
      <c r="J74" s="180" t="s">
        <v>477</v>
      </c>
      <c r="K74" s="181" t="s">
        <v>273</v>
      </c>
      <c r="L74" s="180" t="s">
        <v>285</v>
      </c>
      <c r="M74" s="182">
        <v>46156</v>
      </c>
      <c r="N74" s="183"/>
      <c r="O74" s="181"/>
      <c r="P74" s="183" t="e">
        <f>VLOOKUP(E74,'Customer '!A:D,4,0)</f>
        <v>#N/A</v>
      </c>
      <c r="Q74" s="178" t="s">
        <v>132</v>
      </c>
      <c r="R74" s="178" t="s">
        <v>350</v>
      </c>
      <c r="S74" s="178"/>
      <c r="T74" s="184">
        <v>7901.24</v>
      </c>
      <c r="U74" s="184">
        <v>7901.24</v>
      </c>
      <c r="V74" s="184" t="s">
        <v>149</v>
      </c>
      <c r="W74" s="185">
        <v>2026</v>
      </c>
      <c r="X74" s="183">
        <v>46241</v>
      </c>
      <c r="Y74" s="183"/>
      <c r="Z74" s="183"/>
      <c r="AA74" s="183"/>
      <c r="AB74" s="183">
        <v>46241</v>
      </c>
      <c r="AC74" s="183">
        <v>46241</v>
      </c>
      <c r="AD74" s="180" t="s">
        <v>342</v>
      </c>
      <c r="AE74" s="181"/>
      <c r="AF74" s="180" t="s">
        <v>342</v>
      </c>
      <c r="AG74" s="181"/>
      <c r="AH74" s="180" t="s">
        <v>342</v>
      </c>
      <c r="AI74" s="181"/>
      <c r="AJ74" s="180" t="s">
        <v>342</v>
      </c>
      <c r="AK74" s="181"/>
      <c r="AL74" s="180" t="s">
        <v>342</v>
      </c>
      <c r="AM74" s="181"/>
      <c r="AN74" s="180" t="s">
        <v>342</v>
      </c>
      <c r="AO74" s="181"/>
      <c r="AP74" s="180" t="s">
        <v>342</v>
      </c>
      <c r="AQ74" s="181"/>
      <c r="AR74" s="186"/>
      <c r="AS74" s="187"/>
      <c r="AT74" s="186"/>
      <c r="AU74" s="187"/>
      <c r="AV74" s="186"/>
      <c r="AW74" s="187"/>
      <c r="AX74" s="186"/>
      <c r="AY74" s="187"/>
      <c r="AZ74" s="188" t="str">
        <f t="shared" si="6"/>
        <v>Active</v>
      </c>
      <c r="BA74" s="190"/>
    </row>
    <row r="75" spans="1:53" s="191" customFormat="1" ht="15.5" hidden="1" x14ac:dyDescent="0.35">
      <c r="A75" s="191" t="str">
        <f t="shared" si="7"/>
        <v>2026-BENJAMIN-HACIENDA HOTEL LISBON PORTUGAL NPI</v>
      </c>
      <c r="B75" s="178" t="str">
        <f>VLOOKUP(E75,'Customer '!A:C,3,0)</f>
        <v>NON RH</v>
      </c>
      <c r="C75" s="178" t="s">
        <v>268</v>
      </c>
      <c r="D75" s="178" t="s">
        <v>149</v>
      </c>
      <c r="E75" s="178" t="s">
        <v>376</v>
      </c>
      <c r="F75" s="179" t="str">
        <f>VLOOKUP(E75,'Customer '!A:B,2,0)</f>
        <v>BENJAMIN</v>
      </c>
      <c r="G75" s="178" t="s">
        <v>377</v>
      </c>
      <c r="H75" s="178" t="str">
        <f t="shared" si="8"/>
        <v xml:space="preserve">2026-BENJAMIN-HACIENDA HOTEL LISBON PORTUGAL </v>
      </c>
      <c r="I75" s="178">
        <v>1</v>
      </c>
      <c r="J75" s="180" t="s">
        <v>284</v>
      </c>
      <c r="K75" s="181" t="s">
        <v>273</v>
      </c>
      <c r="L75" s="180" t="s">
        <v>285</v>
      </c>
      <c r="M75" s="182"/>
      <c r="N75" s="183"/>
      <c r="O75" s="181"/>
      <c r="P75" s="183" t="e">
        <f>VLOOKUP(E75,'Customer '!A:D,4,0)</f>
        <v>#N/A</v>
      </c>
      <c r="Q75" s="178" t="s">
        <v>147</v>
      </c>
      <c r="R75" s="178" t="s">
        <v>313</v>
      </c>
      <c r="S75" s="178"/>
      <c r="T75" s="184">
        <v>596794</v>
      </c>
      <c r="U75" s="184">
        <v>596794</v>
      </c>
      <c r="V75" s="184" t="s">
        <v>315</v>
      </c>
      <c r="W75" s="185">
        <v>2027</v>
      </c>
      <c r="X75" s="183"/>
      <c r="Y75" s="183"/>
      <c r="Z75" s="183"/>
      <c r="AA75" s="183"/>
      <c r="AB75" s="183"/>
      <c r="AC75" s="183"/>
      <c r="AD75" s="180" t="s">
        <v>304</v>
      </c>
      <c r="AE75" s="181"/>
      <c r="AF75" s="180"/>
      <c r="AG75" s="181"/>
      <c r="AH75" s="180"/>
      <c r="AI75" s="181"/>
      <c r="AJ75" s="180"/>
      <c r="AK75" s="181"/>
      <c r="AL75" s="180"/>
      <c r="AM75" s="181"/>
      <c r="AN75" s="180"/>
      <c r="AO75" s="181"/>
      <c r="AP75" s="180"/>
      <c r="AQ75" s="181"/>
      <c r="AR75" s="186"/>
      <c r="AS75" s="187"/>
      <c r="AT75" s="186"/>
      <c r="AU75" s="187"/>
      <c r="AV75" s="186"/>
      <c r="AW75" s="187"/>
      <c r="AX75" s="186"/>
      <c r="AY75" s="187"/>
      <c r="AZ75" s="188" t="str">
        <f t="shared" si="6"/>
        <v>Active</v>
      </c>
      <c r="BA75" s="190"/>
    </row>
    <row r="76" spans="1:53" s="191" customFormat="1" ht="15.5" hidden="1" x14ac:dyDescent="0.35">
      <c r="A76" s="191" t="str">
        <f t="shared" si="7"/>
        <v>2026-RH-FOX HARBORNPI</v>
      </c>
      <c r="B76" s="178" t="str">
        <f>VLOOKUP(E76,'Customer '!A:C,3,0)</f>
        <v>RH</v>
      </c>
      <c r="C76" s="178" t="s">
        <v>268</v>
      </c>
      <c r="D76" s="178" t="s">
        <v>272</v>
      </c>
      <c r="E76" s="179" t="s">
        <v>61</v>
      </c>
      <c r="F76" s="179" t="str">
        <f>VLOOKUP(E76,'Customer '!A:B,2,0)</f>
        <v>RH</v>
      </c>
      <c r="G76" s="178" t="s">
        <v>103</v>
      </c>
      <c r="H76" s="178" t="str">
        <f t="shared" si="8"/>
        <v>2026-RH-FOX HARBOR</v>
      </c>
      <c r="I76" s="178">
        <v>1</v>
      </c>
      <c r="J76" s="180" t="s">
        <v>272</v>
      </c>
      <c r="K76" s="181" t="s">
        <v>273</v>
      </c>
      <c r="L76" s="180" t="s">
        <v>274</v>
      </c>
      <c r="M76" s="182">
        <v>45917</v>
      </c>
      <c r="N76" s="183"/>
      <c r="O76" s="181"/>
      <c r="P76" s="183" t="e">
        <f>VLOOKUP(E76,'Customer '!A:D,4,0)</f>
        <v>#N/A</v>
      </c>
      <c r="Q76" s="178"/>
      <c r="R76" s="178"/>
      <c r="S76" s="178">
        <v>26</v>
      </c>
      <c r="T76" s="184">
        <v>71837</v>
      </c>
      <c r="U76" s="184">
        <v>71837</v>
      </c>
      <c r="V76" s="184" t="s">
        <v>378</v>
      </c>
      <c r="W76" s="185">
        <v>2026</v>
      </c>
      <c r="X76" s="183"/>
      <c r="Y76" s="183"/>
      <c r="Z76" s="183"/>
      <c r="AA76" s="183"/>
      <c r="AB76" s="183"/>
      <c r="AC76" s="183"/>
      <c r="AD76" s="180" t="s">
        <v>56</v>
      </c>
      <c r="AE76" s="181"/>
      <c r="AF76" s="180" t="s">
        <v>56</v>
      </c>
      <c r="AG76" s="181"/>
      <c r="AH76" s="180" t="s">
        <v>73</v>
      </c>
      <c r="AI76" s="181"/>
      <c r="AJ76" s="180" t="s">
        <v>56</v>
      </c>
      <c r="AK76" s="181"/>
      <c r="AL76" s="180" t="s">
        <v>73</v>
      </c>
      <c r="AM76" s="181"/>
      <c r="AN76" s="180" t="s">
        <v>73</v>
      </c>
      <c r="AO76" s="181"/>
      <c r="AP76" s="180" t="s">
        <v>57</v>
      </c>
      <c r="AQ76" s="181"/>
      <c r="AR76" s="186"/>
      <c r="AS76" s="187"/>
      <c r="AT76" s="186"/>
      <c r="AU76" s="187"/>
      <c r="AV76" s="186"/>
      <c r="AW76" s="187"/>
      <c r="AX76" s="186"/>
      <c r="AY76" s="187"/>
      <c r="AZ76" s="188" t="str">
        <f t="shared" si="6"/>
        <v>Complete</v>
      </c>
      <c r="BA76" s="190"/>
    </row>
    <row r="77" spans="1:53" s="191" customFormat="1" ht="15.5" hidden="1" x14ac:dyDescent="0.35">
      <c r="A77" s="191" t="str">
        <f t="shared" si="7"/>
        <v>2026-HENDERSON-KNOX HENDERSONNPI</v>
      </c>
      <c r="B77" s="178" t="str">
        <f>VLOOKUP(E77,'Customer '!A:C,3,0)</f>
        <v>NON RH</v>
      </c>
      <c r="C77" s="178" t="s">
        <v>268</v>
      </c>
      <c r="D77" s="178" t="s">
        <v>306</v>
      </c>
      <c r="E77" s="178" t="s">
        <v>839</v>
      </c>
      <c r="F77" s="179" t="str">
        <f>VLOOKUP(E77,'Customer '!A:B,2,0)</f>
        <v>HENDERSON</v>
      </c>
      <c r="G77" s="178" t="s">
        <v>380</v>
      </c>
      <c r="H77" s="178" t="str">
        <f t="shared" si="8"/>
        <v>2026-HENDERSON-KNOX HENDERSON</v>
      </c>
      <c r="I77" s="178">
        <v>1</v>
      </c>
      <c r="J77" s="180" t="s">
        <v>477</v>
      </c>
      <c r="K77" s="181" t="s">
        <v>273</v>
      </c>
      <c r="L77" s="180" t="s">
        <v>317</v>
      </c>
      <c r="M77" s="182">
        <v>46128</v>
      </c>
      <c r="N77" s="183"/>
      <c r="O77" s="181"/>
      <c r="P77" s="183">
        <f>VLOOKUP(E77,'Customer '!A:D,4,0)</f>
        <v>0</v>
      </c>
      <c r="Q77" s="178" t="s">
        <v>51</v>
      </c>
      <c r="R77" s="178" t="s">
        <v>349</v>
      </c>
      <c r="S77" s="178">
        <v>41</v>
      </c>
      <c r="T77" s="184">
        <v>22198</v>
      </c>
      <c r="U77" s="184">
        <v>22198</v>
      </c>
      <c r="V77" s="184" t="s">
        <v>281</v>
      </c>
      <c r="W77" s="185">
        <v>2026</v>
      </c>
      <c r="X77" s="183">
        <v>46218</v>
      </c>
      <c r="Y77" s="183"/>
      <c r="Z77" s="183"/>
      <c r="AA77" s="183"/>
      <c r="AB77" s="183"/>
      <c r="AC77" s="183"/>
      <c r="AD77" s="180" t="s">
        <v>56</v>
      </c>
      <c r="AE77" s="181"/>
      <c r="AF77" s="180" t="s">
        <v>56</v>
      </c>
      <c r="AG77" s="181"/>
      <c r="AH77" s="180" t="s">
        <v>73</v>
      </c>
      <c r="AI77" s="181"/>
      <c r="AJ77" s="180" t="s">
        <v>73</v>
      </c>
      <c r="AK77" s="181"/>
      <c r="AL77" s="180" t="s">
        <v>73</v>
      </c>
      <c r="AM77" s="181"/>
      <c r="AN77" s="180" t="s">
        <v>73</v>
      </c>
      <c r="AO77" s="181"/>
      <c r="AP77" s="180" t="s">
        <v>73</v>
      </c>
      <c r="AQ77" s="181"/>
      <c r="AR77" s="186"/>
      <c r="AS77" s="187"/>
      <c r="AT77" s="186"/>
      <c r="AU77" s="187"/>
      <c r="AV77" s="186"/>
      <c r="AW77" s="187"/>
      <c r="AX77" s="186"/>
      <c r="AY77" s="187"/>
      <c r="AZ77" s="188" t="str">
        <f t="shared" si="6"/>
        <v>Active</v>
      </c>
      <c r="BA77" s="190"/>
    </row>
    <row r="78" spans="1:53" s="191" customFormat="1" ht="15.5" hidden="1" x14ac:dyDescent="0.35">
      <c r="A78" s="191" t="str">
        <f t="shared" si="7"/>
        <v>2026-TRIMA-JOIA TIERRA DEL SOLNPI</v>
      </c>
      <c r="B78" s="178" t="str">
        <f>VLOOKUP(E78,'Customer '!A:C,3,0)</f>
        <v>NON RH</v>
      </c>
      <c r="C78" s="178" t="s">
        <v>268</v>
      </c>
      <c r="D78" s="178" t="s">
        <v>149</v>
      </c>
      <c r="E78" s="178" t="s">
        <v>196</v>
      </c>
      <c r="F78" s="179" t="str">
        <f>VLOOKUP(E78,'Customer '!A:B,2,0)</f>
        <v>TRIMA</v>
      </c>
      <c r="G78" s="178" t="s">
        <v>381</v>
      </c>
      <c r="H78" s="178" t="str">
        <f t="shared" si="8"/>
        <v>2026-TRIMA-JOIA TIERRA DEL SOL</v>
      </c>
      <c r="I78" s="178">
        <v>0</v>
      </c>
      <c r="J78" s="180" t="s">
        <v>284</v>
      </c>
      <c r="K78" s="181" t="s">
        <v>273</v>
      </c>
      <c r="L78" s="180" t="s">
        <v>285</v>
      </c>
      <c r="M78" s="182"/>
      <c r="N78" s="183"/>
      <c r="O78" s="181"/>
      <c r="P78" s="183" t="str">
        <f>VLOOKUP(E78,'Customer '!A:D,4,0)</f>
        <v>50% deposit, 50% prior shipment</v>
      </c>
      <c r="Q78" s="178" t="s">
        <v>382</v>
      </c>
      <c r="R78" s="178" t="s">
        <v>383</v>
      </c>
      <c r="S78" s="178"/>
      <c r="T78" s="184">
        <v>1131814</v>
      </c>
      <c r="U78" s="184">
        <v>1131814</v>
      </c>
      <c r="V78" s="184" t="s">
        <v>315</v>
      </c>
      <c r="W78" s="185">
        <v>2027</v>
      </c>
      <c r="X78" s="183"/>
      <c r="Y78" s="183"/>
      <c r="Z78" s="183"/>
      <c r="AA78" s="183"/>
      <c r="AB78" s="183"/>
      <c r="AC78" s="183"/>
      <c r="AD78" s="180" t="s">
        <v>342</v>
      </c>
      <c r="AE78" s="181"/>
      <c r="AF78" s="180"/>
      <c r="AG78" s="181"/>
      <c r="AH78" s="180"/>
      <c r="AI78" s="181"/>
      <c r="AJ78" s="180"/>
      <c r="AK78" s="181"/>
      <c r="AL78" s="180"/>
      <c r="AM78" s="181"/>
      <c r="AN78" s="180"/>
      <c r="AO78" s="181"/>
      <c r="AP78" s="180"/>
      <c r="AQ78" s="181"/>
      <c r="AR78" s="186"/>
      <c r="AS78" s="187"/>
      <c r="AT78" s="186"/>
      <c r="AU78" s="187"/>
      <c r="AV78" s="186"/>
      <c r="AW78" s="187"/>
      <c r="AX78" s="186"/>
      <c r="AY78" s="187"/>
      <c r="AZ78" s="188" t="str">
        <f t="shared" si="6"/>
        <v>Active</v>
      </c>
      <c r="BA78" s="190"/>
    </row>
    <row r="79" spans="1:53" s="191" customFormat="1" ht="15.5" hidden="1" x14ac:dyDescent="0.35">
      <c r="A79" s="191" t="str">
        <f t="shared" si="7"/>
        <v>2026-TRIMA-JOIA TIERRA DEL SOLNPI</v>
      </c>
      <c r="B79" s="178" t="str">
        <f>VLOOKUP(E79,'Customer '!A:C,3,0)</f>
        <v>NON RH</v>
      </c>
      <c r="C79" s="178" t="s">
        <v>268</v>
      </c>
      <c r="D79" s="178" t="s">
        <v>149</v>
      </c>
      <c r="E79" s="178" t="s">
        <v>196</v>
      </c>
      <c r="F79" s="179" t="str">
        <f>VLOOKUP(E79,'Customer '!A:B,2,0)</f>
        <v>TRIMA</v>
      </c>
      <c r="G79" s="178" t="s">
        <v>381</v>
      </c>
      <c r="H79" s="178" t="str">
        <f t="shared" si="8"/>
        <v>2026-TRIMA-JOIA TIERRA DEL SOL</v>
      </c>
      <c r="I79" s="178">
        <v>1</v>
      </c>
      <c r="J79" s="180" t="s">
        <v>284</v>
      </c>
      <c r="K79" s="181" t="s">
        <v>273</v>
      </c>
      <c r="L79" s="180" t="s">
        <v>285</v>
      </c>
      <c r="M79" s="182"/>
      <c r="N79" s="183"/>
      <c r="O79" s="181"/>
      <c r="P79" s="183" t="str">
        <f>VLOOKUP(E79,'Customer '!A:D,4,0)</f>
        <v>50% deposit, 50% prior shipment</v>
      </c>
      <c r="Q79" s="178" t="s">
        <v>382</v>
      </c>
      <c r="R79" s="178" t="s">
        <v>383</v>
      </c>
      <c r="S79" s="178"/>
      <c r="T79" s="184">
        <v>1131814</v>
      </c>
      <c r="U79" s="184">
        <v>1131814</v>
      </c>
      <c r="V79" s="184" t="s">
        <v>344</v>
      </c>
      <c r="W79" s="185">
        <v>2027</v>
      </c>
      <c r="X79" s="183"/>
      <c r="Y79" s="183"/>
      <c r="Z79" s="183"/>
      <c r="AA79" s="183"/>
      <c r="AB79" s="183"/>
      <c r="AC79" s="183"/>
      <c r="AD79" s="180" t="s">
        <v>342</v>
      </c>
      <c r="AE79" s="181"/>
      <c r="AF79" s="180"/>
      <c r="AG79" s="181"/>
      <c r="AH79" s="180"/>
      <c r="AI79" s="181"/>
      <c r="AJ79" s="180"/>
      <c r="AK79" s="181"/>
      <c r="AL79" s="180"/>
      <c r="AM79" s="181"/>
      <c r="AN79" s="180"/>
      <c r="AO79" s="181"/>
      <c r="AP79" s="180"/>
      <c r="AQ79" s="181"/>
      <c r="AR79" s="186"/>
      <c r="AS79" s="187"/>
      <c r="AT79" s="186"/>
      <c r="AU79" s="187"/>
      <c r="AV79" s="186"/>
      <c r="AW79" s="187"/>
      <c r="AX79" s="186"/>
      <c r="AY79" s="187"/>
      <c r="AZ79" s="188" t="str">
        <f t="shared" si="6"/>
        <v>Active</v>
      </c>
      <c r="BA79" s="190"/>
    </row>
    <row r="80" spans="1:53" s="191" customFormat="1" ht="15.5" hidden="1" x14ac:dyDescent="0.35">
      <c r="A80" s="191" t="str">
        <f t="shared" si="7"/>
        <v>2026-RH-RED SEANPI</v>
      </c>
      <c r="B80" s="178" t="str">
        <f>VLOOKUP(E80,'Customer '!A:C,3,0)</f>
        <v>RH</v>
      </c>
      <c r="C80" s="178" t="s">
        <v>268</v>
      </c>
      <c r="D80" s="178" t="s">
        <v>149</v>
      </c>
      <c r="E80" s="178" t="s">
        <v>61</v>
      </c>
      <c r="F80" s="179" t="str">
        <f>VLOOKUP(E80,'Customer '!A:B,2,0)</f>
        <v>RH</v>
      </c>
      <c r="G80" s="178" t="s">
        <v>384</v>
      </c>
      <c r="H80" s="178" t="str">
        <f t="shared" si="8"/>
        <v>2026-RH-RED SEA</v>
      </c>
      <c r="I80" s="178">
        <v>1</v>
      </c>
      <c r="J80" s="180" t="s">
        <v>284</v>
      </c>
      <c r="K80" s="181" t="s">
        <v>273</v>
      </c>
      <c r="L80" s="180" t="s">
        <v>285</v>
      </c>
      <c r="M80" s="182"/>
      <c r="N80" s="183"/>
      <c r="O80" s="181"/>
      <c r="P80" s="183" t="e">
        <f>VLOOKUP(E80,'Customer '!A:D,4,0)</f>
        <v>#N/A</v>
      </c>
      <c r="Q80" s="178"/>
      <c r="R80" s="178"/>
      <c r="S80" s="178"/>
      <c r="T80" s="184">
        <v>1000000</v>
      </c>
      <c r="U80" s="184">
        <v>1000000</v>
      </c>
      <c r="V80" s="184" t="s">
        <v>315</v>
      </c>
      <c r="W80" s="185">
        <v>2027</v>
      </c>
      <c r="X80" s="183"/>
      <c r="Y80" s="183"/>
      <c r="Z80" s="183"/>
      <c r="AA80" s="183"/>
      <c r="AB80" s="183"/>
      <c r="AC80" s="183"/>
      <c r="AD80" s="180" t="s">
        <v>342</v>
      </c>
      <c r="AE80" s="181"/>
      <c r="AF80" s="180"/>
      <c r="AG80" s="181"/>
      <c r="AH80" s="180"/>
      <c r="AI80" s="181"/>
      <c r="AJ80" s="180"/>
      <c r="AK80" s="181"/>
      <c r="AL80" s="180"/>
      <c r="AM80" s="181"/>
      <c r="AN80" s="180"/>
      <c r="AO80" s="181"/>
      <c r="AP80" s="180"/>
      <c r="AQ80" s="181"/>
      <c r="AR80" s="186"/>
      <c r="AS80" s="187"/>
      <c r="AT80" s="186"/>
      <c r="AU80" s="187"/>
      <c r="AV80" s="186"/>
      <c r="AW80" s="187"/>
      <c r="AX80" s="186"/>
      <c r="AY80" s="187"/>
      <c r="AZ80" s="188" t="str">
        <f t="shared" si="6"/>
        <v>Active</v>
      </c>
      <c r="BA80" s="190"/>
    </row>
    <row r="81" spans="1:53" s="191" customFormat="1" ht="15.5" hidden="1" x14ac:dyDescent="0.35">
      <c r="A81" s="191" t="str">
        <f t="shared" si="7"/>
        <v>2026-RH-VICEROY SUGAR BEACH - ASH WOOD VERSIONNPI</v>
      </c>
      <c r="B81" s="178" t="str">
        <f>VLOOKUP(E81,'Customer '!A:C,3,0)</f>
        <v>RH</v>
      </c>
      <c r="C81" s="178" t="s">
        <v>268</v>
      </c>
      <c r="D81" s="178" t="s">
        <v>164</v>
      </c>
      <c r="E81" s="178" t="s">
        <v>61</v>
      </c>
      <c r="F81" s="179" t="str">
        <f>VLOOKUP(E81,'Customer '!A:B,2,0)</f>
        <v>RH</v>
      </c>
      <c r="G81" s="178" t="s">
        <v>385</v>
      </c>
      <c r="H81" s="178" t="str">
        <f t="shared" si="8"/>
        <v>2026-RH-VICEROY SUGAR BEACH - ASH WOOD VERSION</v>
      </c>
      <c r="I81" s="178">
        <v>1</v>
      </c>
      <c r="J81" s="180" t="s">
        <v>309</v>
      </c>
      <c r="K81" s="181" t="s">
        <v>273</v>
      </c>
      <c r="L81" s="180" t="s">
        <v>333</v>
      </c>
      <c r="M81" s="182">
        <v>46104</v>
      </c>
      <c r="N81" s="183">
        <v>46118</v>
      </c>
      <c r="O81" s="181"/>
      <c r="P81" s="183" t="e">
        <f>VLOOKUP(E81,'Customer '!A:D,4,0)</f>
        <v>#N/A</v>
      </c>
      <c r="Q81" s="178" t="s">
        <v>890</v>
      </c>
      <c r="R81" s="178" t="s">
        <v>387</v>
      </c>
      <c r="S81" s="178">
        <v>18</v>
      </c>
      <c r="T81" s="184">
        <v>157676</v>
      </c>
      <c r="U81" s="209">
        <v>157676</v>
      </c>
      <c r="V81" s="184" t="s">
        <v>297</v>
      </c>
      <c r="W81" s="185">
        <v>2026</v>
      </c>
      <c r="X81" s="183" t="s">
        <v>891</v>
      </c>
      <c r="Y81" s="183"/>
      <c r="Z81" s="183" t="s">
        <v>754</v>
      </c>
      <c r="AA81" s="183"/>
      <c r="AB81" s="183" t="s">
        <v>754</v>
      </c>
      <c r="AC81" s="183" t="s">
        <v>754</v>
      </c>
      <c r="AD81" s="180" t="s">
        <v>318</v>
      </c>
      <c r="AE81" s="181"/>
      <c r="AF81" s="180" t="s">
        <v>318</v>
      </c>
      <c r="AG81" s="181"/>
      <c r="AH81" s="180" t="s">
        <v>56</v>
      </c>
      <c r="AI81" s="181"/>
      <c r="AJ81" s="180" t="s">
        <v>56</v>
      </c>
      <c r="AK81" s="181"/>
      <c r="AL81" s="180" t="s">
        <v>56</v>
      </c>
      <c r="AM81" s="181"/>
      <c r="AN81" s="180" t="s">
        <v>304</v>
      </c>
      <c r="AO81" s="181"/>
      <c r="AP81" s="180" t="s">
        <v>57</v>
      </c>
      <c r="AQ81" s="181"/>
      <c r="AR81" s="186"/>
      <c r="AS81" s="187"/>
      <c r="AT81" s="186"/>
      <c r="AU81" s="187"/>
      <c r="AV81" s="186"/>
      <c r="AW81" s="187"/>
      <c r="AX81" s="186"/>
      <c r="AY81" s="187"/>
      <c r="AZ81" s="188" t="str">
        <f t="shared" si="6"/>
        <v>Active</v>
      </c>
      <c r="BA81" s="190"/>
    </row>
    <row r="82" spans="1:53" s="191" customFormat="1" ht="15.5" hidden="1" x14ac:dyDescent="0.35">
      <c r="A82" s="191" t="str">
        <f t="shared" si="7"/>
        <v>2026-L&amp;S-SILVERSANDS GRAND ANSENPI</v>
      </c>
      <c r="B82" s="178" t="str">
        <f>VLOOKUP(E82,'Customer '!A:C,3,0)</f>
        <v>NON RH</v>
      </c>
      <c r="C82" s="178" t="s">
        <v>268</v>
      </c>
      <c r="D82" s="178" t="s">
        <v>340</v>
      </c>
      <c r="E82" s="178" t="s">
        <v>82</v>
      </c>
      <c r="F82" s="179" t="str">
        <f>VLOOKUP(E82,'Customer '!A:B,2,0)</f>
        <v>L&amp;S</v>
      </c>
      <c r="G82" s="178" t="s">
        <v>388</v>
      </c>
      <c r="H82" s="178" t="str">
        <f t="shared" si="8"/>
        <v>2026-L&amp;S-SILVERSANDS GRAND ANSE</v>
      </c>
      <c r="I82" s="178">
        <v>1</v>
      </c>
      <c r="J82" s="180" t="s">
        <v>389</v>
      </c>
      <c r="K82" s="181" t="s">
        <v>273</v>
      </c>
      <c r="L82" s="180" t="s">
        <v>285</v>
      </c>
      <c r="M82" s="182"/>
      <c r="N82" s="183"/>
      <c r="O82" s="181"/>
      <c r="P82" s="183" t="str">
        <f>VLOOKUP(E82,'Customer '!A:D,4,0)</f>
        <v>50% deposit, 50% prior shipment</v>
      </c>
      <c r="Q82" s="178" t="s">
        <v>390</v>
      </c>
      <c r="R82" s="178" t="s">
        <v>391</v>
      </c>
      <c r="S82" s="178">
        <v>55</v>
      </c>
      <c r="T82" s="184">
        <v>371262</v>
      </c>
      <c r="U82" s="184">
        <v>371262</v>
      </c>
      <c r="V82" s="184" t="s">
        <v>149</v>
      </c>
      <c r="W82" s="185" t="s">
        <v>149</v>
      </c>
      <c r="X82" s="183"/>
      <c r="Y82" s="183"/>
      <c r="Z82" s="183"/>
      <c r="AA82" s="183"/>
      <c r="AB82" s="183"/>
      <c r="AC82" s="183"/>
      <c r="AD82" s="180"/>
      <c r="AE82" s="181"/>
      <c r="AF82" s="180"/>
      <c r="AG82" s="181"/>
      <c r="AH82" s="180"/>
      <c r="AI82" s="181"/>
      <c r="AJ82" s="180"/>
      <c r="AK82" s="181"/>
      <c r="AL82" s="180"/>
      <c r="AM82" s="181"/>
      <c r="AN82" s="180"/>
      <c r="AO82" s="181"/>
      <c r="AP82" s="180"/>
      <c r="AQ82" s="181"/>
      <c r="AR82" s="186"/>
      <c r="AS82" s="187"/>
      <c r="AT82" s="186"/>
      <c r="AU82" s="187"/>
      <c r="AV82" s="186"/>
      <c r="AW82" s="187"/>
      <c r="AX82" s="186"/>
      <c r="AY82" s="187"/>
      <c r="AZ82" s="188" t="str">
        <f t="shared" si="6"/>
        <v>Active</v>
      </c>
      <c r="BA82" s="189"/>
    </row>
    <row r="83" spans="1:53" s="191" customFormat="1" ht="15.5" hidden="1" x14ac:dyDescent="0.35">
      <c r="A83" s="191" t="str">
        <f t="shared" si="7"/>
        <v>2026-SPECTRUM-PROJECT 550NPD</v>
      </c>
      <c r="B83" s="178" t="str">
        <f>VLOOKUP(E83,'Customer '!A:C,3,0)</f>
        <v>NON RH</v>
      </c>
      <c r="C83" s="178" t="s">
        <v>323</v>
      </c>
      <c r="D83" s="178" t="s">
        <v>164</v>
      </c>
      <c r="E83" s="178" t="s">
        <v>176</v>
      </c>
      <c r="F83" s="179" t="str">
        <f>VLOOKUP(E83,'Customer '!A:B,2,0)</f>
        <v>SPECTRUM</v>
      </c>
      <c r="G83" s="178" t="s">
        <v>392</v>
      </c>
      <c r="H83" s="178" t="str">
        <f t="shared" si="8"/>
        <v>2026-SPECTRUM-PROJECT 550</v>
      </c>
      <c r="I83" s="178">
        <v>1</v>
      </c>
      <c r="J83" s="180" t="s">
        <v>284</v>
      </c>
      <c r="K83" s="181" t="s">
        <v>273</v>
      </c>
      <c r="L83" s="180" t="s">
        <v>285</v>
      </c>
      <c r="M83" s="182">
        <v>46107</v>
      </c>
      <c r="N83" s="183"/>
      <c r="O83" s="181"/>
      <c r="P83" s="183" t="str">
        <f>VLOOKUP(E83,'Customer '!A:D,4,0)</f>
        <v>50% deposit, 50% prior shipment</v>
      </c>
      <c r="Q83" s="178" t="s">
        <v>51</v>
      </c>
      <c r="R83" s="178" t="s">
        <v>393</v>
      </c>
      <c r="S83" s="178">
        <v>3</v>
      </c>
      <c r="T83" s="184">
        <v>6938.58</v>
      </c>
      <c r="U83" s="184">
        <v>6938.58</v>
      </c>
      <c r="V83" s="184" t="s">
        <v>280</v>
      </c>
      <c r="W83" s="185">
        <v>2026</v>
      </c>
      <c r="X83" s="183"/>
      <c r="Y83" s="183"/>
      <c r="Z83" s="183" t="s">
        <v>871</v>
      </c>
      <c r="AA83" s="183"/>
      <c r="AB83" s="183"/>
      <c r="AC83" s="183"/>
      <c r="AD83" s="180" t="s">
        <v>304</v>
      </c>
      <c r="AE83" s="181"/>
      <c r="AF83" s="180" t="s">
        <v>304</v>
      </c>
      <c r="AG83" s="181"/>
      <c r="AH83" s="180" t="s">
        <v>304</v>
      </c>
      <c r="AI83" s="181"/>
      <c r="AJ83" s="180" t="s">
        <v>304</v>
      </c>
      <c r="AK83" s="181"/>
      <c r="AL83" s="180" t="s">
        <v>304</v>
      </c>
      <c r="AM83" s="181"/>
      <c r="AN83" s="180" t="s">
        <v>304</v>
      </c>
      <c r="AO83" s="181"/>
      <c r="AP83" s="180"/>
      <c r="AQ83" s="181"/>
      <c r="AR83" s="186"/>
      <c r="AS83" s="187"/>
      <c r="AT83" s="186"/>
      <c r="AU83" s="187"/>
      <c r="AV83" s="186"/>
      <c r="AW83" s="187"/>
      <c r="AX83" s="186"/>
      <c r="AY83" s="187"/>
      <c r="AZ83" s="188" t="str">
        <f t="shared" si="6"/>
        <v>Active</v>
      </c>
      <c r="BA83" s="189"/>
    </row>
    <row r="84" spans="1:53" s="191" customFormat="1" ht="15.5" hidden="1" x14ac:dyDescent="0.35">
      <c r="A84" s="191" t="str">
        <f t="shared" si="7"/>
        <v>2026-SPECTRUM-PROJECT 550NPI</v>
      </c>
      <c r="B84" s="178" t="str">
        <f>VLOOKUP(E84,'Customer '!A:C,3,0)</f>
        <v>NON RH</v>
      </c>
      <c r="C84" s="178" t="s">
        <v>268</v>
      </c>
      <c r="D84" s="178" t="s">
        <v>164</v>
      </c>
      <c r="E84" s="178" t="s">
        <v>176</v>
      </c>
      <c r="F84" s="179" t="str">
        <f>VLOOKUP(E84,'Customer '!A:B,2,0)</f>
        <v>SPECTRUM</v>
      </c>
      <c r="G84" s="178" t="s">
        <v>392</v>
      </c>
      <c r="H84" s="178" t="str">
        <f t="shared" si="8"/>
        <v>2026-SPECTRUM-PROJECT 550</v>
      </c>
      <c r="I84" s="178">
        <v>1</v>
      </c>
      <c r="J84" s="180" t="s">
        <v>284</v>
      </c>
      <c r="K84" s="181" t="s">
        <v>273</v>
      </c>
      <c r="L84" s="180" t="s">
        <v>285</v>
      </c>
      <c r="M84" s="182">
        <v>46107</v>
      </c>
      <c r="N84" s="183"/>
      <c r="O84" s="181"/>
      <c r="P84" s="183" t="str">
        <f>VLOOKUP(E84,'Customer '!A:D,4,0)</f>
        <v>50% deposit, 50% prior shipment</v>
      </c>
      <c r="Q84" s="178" t="s">
        <v>51</v>
      </c>
      <c r="R84" s="178" t="s">
        <v>393</v>
      </c>
      <c r="S84" s="178">
        <v>30</v>
      </c>
      <c r="T84" s="184">
        <v>361028.77</v>
      </c>
      <c r="U84" s="184">
        <v>361028.77</v>
      </c>
      <c r="V84" s="184" t="s">
        <v>311</v>
      </c>
      <c r="W84" s="185">
        <v>2026</v>
      </c>
      <c r="X84" s="183"/>
      <c r="Y84" s="183"/>
      <c r="Z84" s="183"/>
      <c r="AA84" s="183"/>
      <c r="AB84" s="183"/>
      <c r="AC84" s="183"/>
      <c r="AD84" s="180" t="s">
        <v>304</v>
      </c>
      <c r="AE84" s="181"/>
      <c r="AF84" s="180" t="s">
        <v>304</v>
      </c>
      <c r="AG84" s="181"/>
      <c r="AH84" s="180" t="s">
        <v>304</v>
      </c>
      <c r="AI84" s="181"/>
      <c r="AJ84" s="180" t="s">
        <v>304</v>
      </c>
      <c r="AK84" s="181"/>
      <c r="AL84" s="180" t="s">
        <v>304</v>
      </c>
      <c r="AM84" s="181"/>
      <c r="AN84" s="180" t="s">
        <v>304</v>
      </c>
      <c r="AO84" s="181"/>
      <c r="AP84" s="180"/>
      <c r="AQ84" s="181"/>
      <c r="AR84" s="186"/>
      <c r="AS84" s="187"/>
      <c r="AT84" s="186"/>
      <c r="AU84" s="187"/>
      <c r="AV84" s="186"/>
      <c r="AW84" s="187"/>
      <c r="AX84" s="186"/>
      <c r="AY84" s="187"/>
      <c r="AZ84" s="188" t="str">
        <f t="shared" si="6"/>
        <v>Active</v>
      </c>
      <c r="BA84" s="189"/>
    </row>
    <row r="85" spans="1:53" s="191" customFormat="1" ht="15.5" x14ac:dyDescent="0.35">
      <c r="A85" s="191" t="str">
        <f t="shared" si="7"/>
        <v>2026-FLEETWOOD -AUBERGE HOUSTON MRNPD</v>
      </c>
      <c r="B85" s="178" t="str">
        <f>VLOOKUP(E85,'Customer '!A:C,3,0)</f>
        <v>NON RH</v>
      </c>
      <c r="C85" s="178" t="s">
        <v>323</v>
      </c>
      <c r="D85" s="178" t="s">
        <v>298</v>
      </c>
      <c r="E85" s="178" t="s">
        <v>98</v>
      </c>
      <c r="F85" s="179" t="str">
        <f>VLOOKUP(E85,'Customer '!A:B,2,0)</f>
        <v xml:space="preserve">FLEETWOOD </v>
      </c>
      <c r="G85" s="178" t="s">
        <v>395</v>
      </c>
      <c r="H85" s="178" t="str">
        <f t="shared" si="8"/>
        <v>2026-FLEETWOOD -AUBERGE HOUSTON MR</v>
      </c>
      <c r="I85" s="178">
        <v>1</v>
      </c>
      <c r="J85" s="180" t="s">
        <v>477</v>
      </c>
      <c r="K85" s="181" t="s">
        <v>273</v>
      </c>
      <c r="L85" s="180" t="s">
        <v>317</v>
      </c>
      <c r="M85" s="182">
        <v>46112</v>
      </c>
      <c r="N85" s="183">
        <v>46150</v>
      </c>
      <c r="O85" s="181"/>
      <c r="P85" s="183" t="str">
        <f>VLOOKUP(E85,'Customer '!A:D,4,0)</f>
        <v>25% desposit, 75% period shipment</v>
      </c>
      <c r="Q85" s="178" t="s">
        <v>51</v>
      </c>
      <c r="R85" s="178" t="s">
        <v>349</v>
      </c>
      <c r="S85" s="178">
        <v>4</v>
      </c>
      <c r="T85" s="184">
        <v>12609.460000000001</v>
      </c>
      <c r="U85" s="184">
        <v>15040.19</v>
      </c>
      <c r="V85" s="184" t="s">
        <v>281</v>
      </c>
      <c r="W85" s="185">
        <v>2026</v>
      </c>
      <c r="X85" s="183">
        <v>46223</v>
      </c>
      <c r="Y85" s="183"/>
      <c r="Z85" s="183" t="s">
        <v>888</v>
      </c>
      <c r="AA85" s="183"/>
      <c r="AB85" s="183"/>
      <c r="AC85" s="183"/>
      <c r="AD85" s="180" t="s">
        <v>318</v>
      </c>
      <c r="AE85" s="181"/>
      <c r="AF85" s="180" t="s">
        <v>342</v>
      </c>
      <c r="AG85" s="181"/>
      <c r="AH85" s="180" t="s">
        <v>318</v>
      </c>
      <c r="AI85" s="181"/>
      <c r="AJ85" s="180" t="s">
        <v>342</v>
      </c>
      <c r="AK85" s="181"/>
      <c r="AL85" s="180" t="s">
        <v>72</v>
      </c>
      <c r="AM85" s="181"/>
      <c r="AN85" s="180" t="s">
        <v>318</v>
      </c>
      <c r="AO85" s="181"/>
      <c r="AP85" s="180" t="s">
        <v>331</v>
      </c>
      <c r="AQ85" s="181"/>
      <c r="AR85" s="186"/>
      <c r="AS85" s="187"/>
      <c r="AT85" s="186"/>
      <c r="AU85" s="187"/>
      <c r="AV85" s="186"/>
      <c r="AW85" s="187"/>
      <c r="AX85" s="186"/>
      <c r="AY85" s="187"/>
      <c r="AZ85" s="188" t="str">
        <f t="shared" si="6"/>
        <v>Active</v>
      </c>
      <c r="BA85" s="189"/>
    </row>
    <row r="86" spans="1:53" s="191" customFormat="1" ht="15.5" x14ac:dyDescent="0.35">
      <c r="B86" s="178" t="str">
        <f>VLOOKUP(E86,'Customer '!A:C,3,0)</f>
        <v>NON RH</v>
      </c>
      <c r="C86" s="178" t="s">
        <v>268</v>
      </c>
      <c r="D86" s="178" t="s">
        <v>298</v>
      </c>
      <c r="E86" s="178" t="s">
        <v>98</v>
      </c>
      <c r="F86" s="179" t="str">
        <f>VLOOKUP(E86,'Customer '!A:B,2,0)</f>
        <v xml:space="preserve">FLEETWOOD </v>
      </c>
      <c r="G86" s="178" t="s">
        <v>395</v>
      </c>
      <c r="H86" s="178" t="str">
        <f t="shared" si="8"/>
        <v>2026-FLEETWOOD -AUBERGE HOUSTON MR</v>
      </c>
      <c r="I86" s="178">
        <v>1</v>
      </c>
      <c r="J86" s="180" t="s">
        <v>284</v>
      </c>
      <c r="K86" s="181" t="s">
        <v>273</v>
      </c>
      <c r="L86" s="180" t="s">
        <v>285</v>
      </c>
      <c r="M86" s="182">
        <v>46158</v>
      </c>
      <c r="N86" s="183"/>
      <c r="O86" s="181"/>
      <c r="P86" s="183" t="str">
        <f>VLOOKUP(E86,'Customer '!A:D,4,0)</f>
        <v>25% desposit, 75% period shipment</v>
      </c>
      <c r="Q86" s="178" t="s">
        <v>51</v>
      </c>
      <c r="R86" s="178" t="s">
        <v>349</v>
      </c>
      <c r="S86" s="178">
        <v>16</v>
      </c>
      <c r="T86" s="208">
        <v>707023.48</v>
      </c>
      <c r="U86" s="208">
        <v>707023.48</v>
      </c>
      <c r="V86" s="184"/>
      <c r="W86" s="185"/>
      <c r="X86" s="183"/>
      <c r="Y86" s="183"/>
      <c r="Z86" s="183"/>
      <c r="AA86" s="183"/>
      <c r="AB86" s="183"/>
      <c r="AC86" s="183"/>
      <c r="AD86" s="180" t="s">
        <v>342</v>
      </c>
      <c r="AE86" s="181"/>
      <c r="AF86" s="180" t="s">
        <v>342</v>
      </c>
      <c r="AG86" s="181"/>
      <c r="AH86" s="180" t="s">
        <v>342</v>
      </c>
      <c r="AI86" s="181"/>
      <c r="AJ86" s="180" t="s">
        <v>342</v>
      </c>
      <c r="AK86" s="181"/>
      <c r="AL86" s="180" t="s">
        <v>342</v>
      </c>
      <c r="AM86" s="181"/>
      <c r="AN86" s="180" t="s">
        <v>342</v>
      </c>
      <c r="AO86" s="181"/>
      <c r="AP86" s="180" t="s">
        <v>342</v>
      </c>
      <c r="AQ86" s="181"/>
      <c r="AR86" s="186"/>
      <c r="AS86" s="187"/>
      <c r="AT86" s="186"/>
      <c r="AU86" s="187"/>
      <c r="AV86" s="186"/>
      <c r="AW86" s="187"/>
      <c r="AX86" s="186"/>
      <c r="AY86" s="187"/>
      <c r="AZ86" s="188"/>
      <c r="BA86" s="189"/>
    </row>
    <row r="87" spans="1:53" s="191" customFormat="1" ht="15.5" hidden="1" x14ac:dyDescent="0.35">
      <c r="A87" s="191" t="str">
        <f t="shared" si="7"/>
        <v>2026-RH-AWH TOPNOTCHNPD</v>
      </c>
      <c r="B87" s="178" t="str">
        <f>VLOOKUP(E87,'Customer '!A:C,3,0)</f>
        <v>RH</v>
      </c>
      <c r="C87" s="178" t="s">
        <v>323</v>
      </c>
      <c r="D87" s="178" t="s">
        <v>164</v>
      </c>
      <c r="E87" s="178" t="s">
        <v>61</v>
      </c>
      <c r="F87" s="179" t="str">
        <f>VLOOKUP(E87,'Customer '!A:B,2,0)</f>
        <v>RH</v>
      </c>
      <c r="G87" s="178" t="s">
        <v>397</v>
      </c>
      <c r="H87" s="178" t="str">
        <f t="shared" si="8"/>
        <v>2026-RH-AWH TOPNOTCH</v>
      </c>
      <c r="I87" s="178">
        <v>1</v>
      </c>
      <c r="J87" s="180" t="s">
        <v>284</v>
      </c>
      <c r="K87" s="181" t="s">
        <v>273</v>
      </c>
      <c r="L87" s="180" t="s">
        <v>317</v>
      </c>
      <c r="M87" s="182">
        <v>46120</v>
      </c>
      <c r="N87" s="183"/>
      <c r="O87" s="181"/>
      <c r="P87" s="183" t="e">
        <f>VLOOKUP(E87,'Customer '!A:D,4,0)</f>
        <v>#N/A</v>
      </c>
      <c r="Q87" s="178" t="s">
        <v>51</v>
      </c>
      <c r="R87" s="178" t="s">
        <v>398</v>
      </c>
      <c r="S87" s="178">
        <v>17</v>
      </c>
      <c r="T87" s="184">
        <v>31219.099999999995</v>
      </c>
      <c r="U87" s="184">
        <v>31219.099999999995</v>
      </c>
      <c r="V87" s="184" t="s">
        <v>149</v>
      </c>
      <c r="W87" s="185">
        <v>2026</v>
      </c>
      <c r="X87" s="183"/>
      <c r="Y87" s="183"/>
      <c r="Z87" s="183"/>
      <c r="AA87" s="183"/>
      <c r="AB87" s="183"/>
      <c r="AC87" s="183"/>
      <c r="AD87" s="180" t="s">
        <v>318</v>
      </c>
      <c r="AE87" s="181"/>
      <c r="AF87" s="180" t="s">
        <v>304</v>
      </c>
      <c r="AG87" s="181"/>
      <c r="AH87" s="180" t="s">
        <v>342</v>
      </c>
      <c r="AI87" s="181"/>
      <c r="AJ87" s="180"/>
      <c r="AK87" s="181"/>
      <c r="AL87" s="180"/>
      <c r="AM87" s="181"/>
      <c r="AN87" s="180"/>
      <c r="AO87" s="181"/>
      <c r="AP87" s="180"/>
      <c r="AQ87" s="181"/>
      <c r="AR87" s="186"/>
      <c r="AS87" s="187"/>
      <c r="AT87" s="186"/>
      <c r="AU87" s="187"/>
      <c r="AV87" s="186"/>
      <c r="AW87" s="187"/>
      <c r="AX87" s="186"/>
      <c r="AY87" s="187"/>
      <c r="AZ87" s="188" t="str">
        <f t="shared" ref="AZ87:AZ98" si="9">IF(J87="SHIPPED","Complete",IF(J87="VIEWING","Archived","Active"))</f>
        <v>Active</v>
      </c>
      <c r="BA87" s="189"/>
    </row>
    <row r="88" spans="1:53" s="191" customFormat="1" ht="15.5" hidden="1" x14ac:dyDescent="0.35">
      <c r="A88" s="191" t="str">
        <f t="shared" si="7"/>
        <v>2026-RH-AWH TOPNOTCHNPI</v>
      </c>
      <c r="B88" s="178" t="str">
        <f>VLOOKUP(E88,'Customer '!A:C,3,0)</f>
        <v>RH</v>
      </c>
      <c r="C88" s="178" t="s">
        <v>268</v>
      </c>
      <c r="D88" s="178" t="s">
        <v>164</v>
      </c>
      <c r="E88" s="178" t="s">
        <v>61</v>
      </c>
      <c r="F88" s="179" t="str">
        <f>VLOOKUP(E88,'Customer '!A:B,2,0)</f>
        <v>RH</v>
      </c>
      <c r="G88" s="178" t="s">
        <v>397</v>
      </c>
      <c r="H88" s="178" t="str">
        <f t="shared" si="8"/>
        <v>2026-RH-AWH TOPNOTCH</v>
      </c>
      <c r="I88" s="178">
        <v>1</v>
      </c>
      <c r="J88" s="180" t="s">
        <v>284</v>
      </c>
      <c r="K88" s="181" t="s">
        <v>273</v>
      </c>
      <c r="L88" s="180" t="s">
        <v>285</v>
      </c>
      <c r="M88" s="182">
        <v>46120</v>
      </c>
      <c r="N88" s="183"/>
      <c r="O88" s="181"/>
      <c r="P88" s="183" t="e">
        <f>VLOOKUP(E88,'Customer '!A:D,4,0)</f>
        <v>#N/A</v>
      </c>
      <c r="Q88" s="178" t="s">
        <v>51</v>
      </c>
      <c r="R88" s="178" t="s">
        <v>398</v>
      </c>
      <c r="S88" s="178">
        <v>17</v>
      </c>
      <c r="T88" s="184">
        <v>532175</v>
      </c>
      <c r="U88" s="184">
        <v>532175</v>
      </c>
      <c r="V88" s="184" t="s">
        <v>311</v>
      </c>
      <c r="W88" s="185">
        <v>2026</v>
      </c>
      <c r="X88" s="183"/>
      <c r="Y88" s="183"/>
      <c r="Z88" s="183"/>
      <c r="AA88" s="183"/>
      <c r="AB88" s="183"/>
      <c r="AC88" s="183"/>
      <c r="AD88" s="180" t="s">
        <v>318</v>
      </c>
      <c r="AE88" s="181"/>
      <c r="AF88" s="180" t="s">
        <v>304</v>
      </c>
      <c r="AG88" s="181"/>
      <c r="AH88" s="180" t="s">
        <v>342</v>
      </c>
      <c r="AI88" s="181"/>
      <c r="AJ88" s="180"/>
      <c r="AK88" s="181"/>
      <c r="AL88" s="180"/>
      <c r="AM88" s="181"/>
      <c r="AN88" s="180"/>
      <c r="AO88" s="181"/>
      <c r="AP88" s="180"/>
      <c r="AQ88" s="181"/>
      <c r="AR88" s="186"/>
      <c r="AS88" s="187"/>
      <c r="AT88" s="186"/>
      <c r="AU88" s="187"/>
      <c r="AV88" s="186"/>
      <c r="AW88" s="187"/>
      <c r="AX88" s="186"/>
      <c r="AY88" s="187"/>
      <c r="AZ88" s="188" t="str">
        <f t="shared" si="9"/>
        <v>Active</v>
      </c>
      <c r="BA88" s="189"/>
    </row>
    <row r="89" spans="1:53" s="191" customFormat="1" ht="15.5" hidden="1" x14ac:dyDescent="0.35">
      <c r="A89" s="191" t="str">
        <f t="shared" si="7"/>
        <v>2026-FLEETWOOD -SPANISH BAY CLUB NPI</v>
      </c>
      <c r="B89" s="178" t="str">
        <f>VLOOKUP(E89,'Customer '!A:C,3,0)</f>
        <v>NON RH</v>
      </c>
      <c r="C89" s="178" t="s">
        <v>268</v>
      </c>
      <c r="D89" s="178" t="s">
        <v>340</v>
      </c>
      <c r="E89" s="178" t="s">
        <v>98</v>
      </c>
      <c r="F89" s="179" t="str">
        <f>VLOOKUP(E89,'Customer '!A:B,2,0)</f>
        <v xml:space="preserve">FLEETWOOD </v>
      </c>
      <c r="G89" s="178" t="s">
        <v>399</v>
      </c>
      <c r="H89" s="178" t="str">
        <f t="shared" si="8"/>
        <v xml:space="preserve">2026-FLEETWOOD -SPANISH BAY CLUB </v>
      </c>
      <c r="I89" s="178">
        <v>1</v>
      </c>
      <c r="J89" s="180" t="s">
        <v>477</v>
      </c>
      <c r="K89" s="181" t="s">
        <v>273</v>
      </c>
      <c r="L89" s="180" t="s">
        <v>317</v>
      </c>
      <c r="M89" s="182">
        <v>46136</v>
      </c>
      <c r="N89" s="183">
        <v>46141</v>
      </c>
      <c r="O89" s="181"/>
      <c r="P89" s="183" t="str">
        <f>VLOOKUP(E89,'Customer '!A:D,4,0)</f>
        <v>25% desposit, 75% period shipment</v>
      </c>
      <c r="Q89" s="178" t="s">
        <v>51</v>
      </c>
      <c r="R89" s="178"/>
      <c r="S89" s="178">
        <v>15</v>
      </c>
      <c r="T89" s="208">
        <v>64112.41</v>
      </c>
      <c r="U89" s="210">
        <v>64112.41</v>
      </c>
      <c r="V89" s="184" t="s">
        <v>297</v>
      </c>
      <c r="W89" s="185">
        <v>2026</v>
      </c>
      <c r="X89" s="183">
        <v>46285</v>
      </c>
      <c r="Y89" s="183"/>
      <c r="Z89" s="183"/>
      <c r="AA89" s="183"/>
      <c r="AB89" s="183"/>
      <c r="AC89" s="183">
        <v>46285</v>
      </c>
      <c r="AD89" s="180" t="s">
        <v>318</v>
      </c>
      <c r="AE89" s="181"/>
      <c r="AF89" s="180" t="s">
        <v>304</v>
      </c>
      <c r="AG89" s="181"/>
      <c r="AH89" s="180" t="s">
        <v>304</v>
      </c>
      <c r="AI89" s="181"/>
      <c r="AJ89" s="180" t="s">
        <v>304</v>
      </c>
      <c r="AK89" s="181"/>
      <c r="AL89" s="180" t="s">
        <v>304</v>
      </c>
      <c r="AM89" s="181"/>
      <c r="AN89" s="180" t="s">
        <v>304</v>
      </c>
      <c r="AO89" s="181"/>
      <c r="AP89" s="180" t="s">
        <v>73</v>
      </c>
      <c r="AQ89" s="181"/>
      <c r="AR89" s="186"/>
      <c r="AS89" s="187"/>
      <c r="AT89" s="186"/>
      <c r="AU89" s="187"/>
      <c r="AV89" s="186"/>
      <c r="AW89" s="187"/>
      <c r="AX89" s="186"/>
      <c r="AY89" s="187"/>
      <c r="AZ89" s="188" t="str">
        <f t="shared" si="9"/>
        <v>Active</v>
      </c>
      <c r="BA89" s="189"/>
    </row>
    <row r="90" spans="1:53" s="191" customFormat="1" ht="15.5" hidden="1" x14ac:dyDescent="0.35">
      <c r="A90" s="191" t="str">
        <f t="shared" si="7"/>
        <v>2026-COSMIC REALTY-250 FIFTH AVENUE HOTELNPI</v>
      </c>
      <c r="B90" s="178" t="str">
        <f>VLOOKUP(E90,'Customer '!A:C,3,0)</f>
        <v>NON RH</v>
      </c>
      <c r="C90" s="178" t="s">
        <v>268</v>
      </c>
      <c r="D90" s="178" t="s">
        <v>319</v>
      </c>
      <c r="E90" s="178" t="s">
        <v>48</v>
      </c>
      <c r="F90" s="179" t="str">
        <f>VLOOKUP(E90,'Customer '!A:B,2,0)</f>
        <v>COSMIC REALTY</v>
      </c>
      <c r="G90" s="178" t="s">
        <v>49</v>
      </c>
      <c r="H90" s="178" t="str">
        <f t="shared" si="8"/>
        <v>2026-COSMIC REALTY-250 FIFTH AVENUE HOTEL</v>
      </c>
      <c r="I90" s="178">
        <v>1</v>
      </c>
      <c r="J90" s="180" t="s">
        <v>272</v>
      </c>
      <c r="K90" s="181" t="s">
        <v>273</v>
      </c>
      <c r="L90" s="180" t="s">
        <v>274</v>
      </c>
      <c r="M90" s="182"/>
      <c r="N90" s="183"/>
      <c r="O90" s="181"/>
      <c r="P90" s="183" t="e">
        <f>VLOOKUP(E90,'Customer '!A:D,4,0)</f>
        <v>#N/A</v>
      </c>
      <c r="Q90" s="178" t="s">
        <v>51</v>
      </c>
      <c r="R90" s="178" t="s">
        <v>325</v>
      </c>
      <c r="S90" s="178">
        <v>17</v>
      </c>
      <c r="T90" s="184">
        <v>51127</v>
      </c>
      <c r="U90" s="184">
        <v>51127</v>
      </c>
      <c r="V90" s="184" t="s">
        <v>400</v>
      </c>
      <c r="W90" s="185">
        <v>2026</v>
      </c>
      <c r="X90" s="183"/>
      <c r="Y90" s="183"/>
      <c r="Z90" s="183"/>
      <c r="AA90" s="183"/>
      <c r="AB90" s="183"/>
      <c r="AC90" s="183"/>
      <c r="AD90" s="180" t="s">
        <v>56</v>
      </c>
      <c r="AE90" s="181"/>
      <c r="AF90" s="180" t="s">
        <v>56</v>
      </c>
      <c r="AG90" s="181"/>
      <c r="AH90" s="180" t="s">
        <v>56</v>
      </c>
      <c r="AI90" s="181"/>
      <c r="AJ90" s="180" t="s">
        <v>56</v>
      </c>
      <c r="AK90" s="181"/>
      <c r="AL90" s="180" t="s">
        <v>56</v>
      </c>
      <c r="AM90" s="181"/>
      <c r="AN90" s="180" t="s">
        <v>56</v>
      </c>
      <c r="AO90" s="181"/>
      <c r="AP90" s="180" t="s">
        <v>57</v>
      </c>
      <c r="AQ90" s="181"/>
      <c r="AR90" s="186"/>
      <c r="AS90" s="187"/>
      <c r="AT90" s="186"/>
      <c r="AU90" s="187"/>
      <c r="AV90" s="186"/>
      <c r="AW90" s="187"/>
      <c r="AX90" s="186"/>
      <c r="AY90" s="187"/>
      <c r="AZ90" s="188" t="str">
        <f t="shared" si="9"/>
        <v>Complete</v>
      </c>
      <c r="BA90" s="189"/>
    </row>
    <row r="91" spans="1:53" s="191" customFormat="1" ht="15.5" hidden="1" x14ac:dyDescent="0.35">
      <c r="A91" s="191" t="str">
        <f t="shared" si="7"/>
        <v>2026-FLEETWOOD -HWVP PHASE 2NPI</v>
      </c>
      <c r="B91" s="178" t="str">
        <f>VLOOKUP(E91,'Customer '!A:C,3,0)</f>
        <v>NON RH</v>
      </c>
      <c r="C91" s="178" t="s">
        <v>268</v>
      </c>
      <c r="D91" s="178" t="s">
        <v>272</v>
      </c>
      <c r="E91" s="178" t="s">
        <v>98</v>
      </c>
      <c r="F91" s="179" t="str">
        <f>VLOOKUP(E91,'Customer '!A:B,2,0)</f>
        <v xml:space="preserve">FLEETWOOD </v>
      </c>
      <c r="G91" s="178" t="s">
        <v>117</v>
      </c>
      <c r="H91" s="178" t="str">
        <f t="shared" si="8"/>
        <v>2026-FLEETWOOD -HWVP PHASE 2</v>
      </c>
      <c r="I91" s="178">
        <v>1</v>
      </c>
      <c r="J91" s="180" t="s">
        <v>272</v>
      </c>
      <c r="K91" s="181" t="s">
        <v>273</v>
      </c>
      <c r="L91" s="180" t="s">
        <v>274</v>
      </c>
      <c r="M91" s="182"/>
      <c r="N91" s="183"/>
      <c r="O91" s="181"/>
      <c r="P91" s="183" t="str">
        <f>VLOOKUP(E91,'Customer '!A:D,4,0)</f>
        <v>25% desposit, 75% period shipment</v>
      </c>
      <c r="Q91" s="178"/>
      <c r="R91" s="178"/>
      <c r="S91" s="178">
        <v>7</v>
      </c>
      <c r="T91" s="184">
        <v>1601</v>
      </c>
      <c r="U91" s="184">
        <v>1601</v>
      </c>
      <c r="V91" s="184" t="s">
        <v>378</v>
      </c>
      <c r="W91" s="185">
        <v>2026</v>
      </c>
      <c r="X91" s="183"/>
      <c r="Y91" s="183"/>
      <c r="Z91" s="183"/>
      <c r="AA91" s="183"/>
      <c r="AB91" s="183"/>
      <c r="AC91" s="183"/>
      <c r="AD91" s="180" t="s">
        <v>56</v>
      </c>
      <c r="AE91" s="181"/>
      <c r="AF91" s="180"/>
      <c r="AG91" s="181"/>
      <c r="AH91" s="180"/>
      <c r="AI91" s="181"/>
      <c r="AJ91" s="180"/>
      <c r="AK91" s="181"/>
      <c r="AL91" s="180"/>
      <c r="AM91" s="181"/>
      <c r="AN91" s="180"/>
      <c r="AO91" s="181"/>
      <c r="AP91" s="180"/>
      <c r="AQ91" s="181"/>
      <c r="AR91" s="186"/>
      <c r="AS91" s="187"/>
      <c r="AT91" s="186"/>
      <c r="AU91" s="187"/>
      <c r="AV91" s="186"/>
      <c r="AW91" s="187"/>
      <c r="AX91" s="186"/>
      <c r="AY91" s="187"/>
      <c r="AZ91" s="188" t="str">
        <f t="shared" si="9"/>
        <v>Complete</v>
      </c>
      <c r="BA91" s="189"/>
    </row>
    <row r="92" spans="1:53" s="191" customFormat="1" ht="15.5" hidden="1" x14ac:dyDescent="0.35">
      <c r="A92" s="191" t="str">
        <f t="shared" si="7"/>
        <v>2026-KD-KNOX DALLASNPI</v>
      </c>
      <c r="B92" s="178" t="str">
        <f>VLOOKUP(E92,'Customer '!A:C,3,0)</f>
        <v>NON RH</v>
      </c>
      <c r="C92" s="178" t="s">
        <v>268</v>
      </c>
      <c r="D92" s="178" t="s">
        <v>272</v>
      </c>
      <c r="E92" s="178" t="s">
        <v>122</v>
      </c>
      <c r="F92" s="179" t="str">
        <f>VLOOKUP(E92,'Customer '!A:B,2,0)</f>
        <v>KD</v>
      </c>
      <c r="G92" s="178" t="s">
        <v>123</v>
      </c>
      <c r="H92" s="178" t="str">
        <f t="shared" si="8"/>
        <v>2026-KD-KNOX DALLAS</v>
      </c>
      <c r="I92" s="178">
        <v>1</v>
      </c>
      <c r="J92" s="180" t="s">
        <v>272</v>
      </c>
      <c r="K92" s="181" t="s">
        <v>273</v>
      </c>
      <c r="L92" s="180" t="s">
        <v>274</v>
      </c>
      <c r="M92" s="182"/>
      <c r="N92" s="183"/>
      <c r="O92" s="181"/>
      <c r="P92" s="183" t="e">
        <f>VLOOKUP(E92,'Customer '!A:D,4,0)</f>
        <v>#N/A</v>
      </c>
      <c r="Q92" s="178"/>
      <c r="R92" s="178"/>
      <c r="S92" s="178">
        <v>30</v>
      </c>
      <c r="T92" s="184">
        <v>362480.93999999994</v>
      </c>
      <c r="U92" s="184">
        <v>362480.93999999994</v>
      </c>
      <c r="V92" s="184" t="s">
        <v>378</v>
      </c>
      <c r="W92" s="185">
        <v>2026</v>
      </c>
      <c r="X92" s="183"/>
      <c r="Y92" s="183"/>
      <c r="Z92" s="183"/>
      <c r="AA92" s="183"/>
      <c r="AB92" s="183"/>
      <c r="AC92" s="183"/>
      <c r="AD92" s="180" t="s">
        <v>56</v>
      </c>
      <c r="AE92" s="181"/>
      <c r="AF92" s="180" t="s">
        <v>56</v>
      </c>
      <c r="AG92" s="181"/>
      <c r="AH92" s="180" t="s">
        <v>56</v>
      </c>
      <c r="AI92" s="181"/>
      <c r="AJ92" s="180" t="s">
        <v>56</v>
      </c>
      <c r="AK92" s="181"/>
      <c r="AL92" s="180" t="s">
        <v>56</v>
      </c>
      <c r="AM92" s="181"/>
      <c r="AN92" s="180" t="s">
        <v>56</v>
      </c>
      <c r="AO92" s="181"/>
      <c r="AP92" s="180" t="s">
        <v>57</v>
      </c>
      <c r="AQ92" s="181"/>
      <c r="AR92" s="186"/>
      <c r="AS92" s="187"/>
      <c r="AT92" s="186"/>
      <c r="AU92" s="187"/>
      <c r="AV92" s="186"/>
      <c r="AW92" s="187"/>
      <c r="AX92" s="186"/>
      <c r="AY92" s="187"/>
      <c r="AZ92" s="188" t="str">
        <f t="shared" si="9"/>
        <v>Complete</v>
      </c>
      <c r="BA92" s="189"/>
    </row>
    <row r="93" spans="1:53" s="191" customFormat="1" ht="15.5" hidden="1" x14ac:dyDescent="0.35">
      <c r="A93" s="191" t="str">
        <f t="shared" si="7"/>
        <v>2026-KD-KNOX DALLASNPI</v>
      </c>
      <c r="B93" s="178" t="str">
        <f>VLOOKUP(E93,'Customer '!A:C,3,0)</f>
        <v>NON RH</v>
      </c>
      <c r="C93" s="178" t="s">
        <v>268</v>
      </c>
      <c r="D93" s="178" t="s">
        <v>272</v>
      </c>
      <c r="E93" s="178" t="s">
        <v>122</v>
      </c>
      <c r="F93" s="179" t="str">
        <f>VLOOKUP(E93,'Customer '!A:B,2,0)</f>
        <v>KD</v>
      </c>
      <c r="G93" s="178" t="s">
        <v>123</v>
      </c>
      <c r="H93" s="178" t="str">
        <f t="shared" si="8"/>
        <v>2026-KD-KNOX DALLAS</v>
      </c>
      <c r="I93" s="178">
        <v>1</v>
      </c>
      <c r="J93" s="180" t="s">
        <v>272</v>
      </c>
      <c r="K93" s="181" t="s">
        <v>273</v>
      </c>
      <c r="L93" s="180" t="s">
        <v>274</v>
      </c>
      <c r="M93" s="182"/>
      <c r="N93" s="183"/>
      <c r="O93" s="181"/>
      <c r="P93" s="183" t="e">
        <f>VLOOKUP(E93,'Customer '!A:D,4,0)</f>
        <v>#N/A</v>
      </c>
      <c r="Q93" s="178"/>
      <c r="R93" s="178"/>
      <c r="S93" s="178">
        <v>30</v>
      </c>
      <c r="T93" s="184">
        <v>33400</v>
      </c>
      <c r="U93" s="184">
        <v>33400</v>
      </c>
      <c r="V93" s="184" t="s">
        <v>400</v>
      </c>
      <c r="W93" s="185">
        <v>2026</v>
      </c>
      <c r="X93" s="183"/>
      <c r="Y93" s="183"/>
      <c r="Z93" s="183"/>
      <c r="AA93" s="183"/>
      <c r="AB93" s="183"/>
      <c r="AC93" s="183"/>
      <c r="AD93" s="180" t="s">
        <v>56</v>
      </c>
      <c r="AE93" s="181"/>
      <c r="AF93" s="180" t="s">
        <v>56</v>
      </c>
      <c r="AG93" s="181"/>
      <c r="AH93" s="180" t="s">
        <v>56</v>
      </c>
      <c r="AI93" s="181"/>
      <c r="AJ93" s="180" t="s">
        <v>56</v>
      </c>
      <c r="AK93" s="181"/>
      <c r="AL93" s="180" t="s">
        <v>56</v>
      </c>
      <c r="AM93" s="181"/>
      <c r="AN93" s="180" t="s">
        <v>56</v>
      </c>
      <c r="AO93" s="181"/>
      <c r="AP93" s="180" t="s">
        <v>57</v>
      </c>
      <c r="AQ93" s="181"/>
      <c r="AR93" s="186"/>
      <c r="AS93" s="187"/>
      <c r="AT93" s="186"/>
      <c r="AU93" s="187"/>
      <c r="AV93" s="186"/>
      <c r="AW93" s="187"/>
      <c r="AX93" s="186"/>
      <c r="AY93" s="187"/>
      <c r="AZ93" s="188" t="str">
        <f t="shared" si="9"/>
        <v>Complete</v>
      </c>
      <c r="BA93" s="189"/>
    </row>
    <row r="94" spans="1:53" s="191" customFormat="1" ht="15.5" hidden="1" x14ac:dyDescent="0.35">
      <c r="A94" s="191" t="str">
        <f t="shared" si="7"/>
        <v>2026-PLUS CORPORATION-SOHO HOUSE TOKYONPI</v>
      </c>
      <c r="B94" s="178" t="str">
        <f>VLOOKUP(E94,'Customer '!A:C,3,0)</f>
        <v>NON RH</v>
      </c>
      <c r="C94" s="178" t="s">
        <v>268</v>
      </c>
      <c r="D94" s="178" t="s">
        <v>272</v>
      </c>
      <c r="E94" s="178" t="s">
        <v>168</v>
      </c>
      <c r="F94" s="179" t="str">
        <f>VLOOKUP(E94,'Customer '!A:B,2,0)</f>
        <v>PLUS CORPORATION</v>
      </c>
      <c r="G94" s="178" t="s">
        <v>357</v>
      </c>
      <c r="H94" s="178" t="str">
        <f t="shared" si="8"/>
        <v>2026-PLUS CORPORATION-SOHO HOUSE TOKYO</v>
      </c>
      <c r="I94" s="178">
        <v>1</v>
      </c>
      <c r="J94" s="180" t="s">
        <v>272</v>
      </c>
      <c r="K94" s="181" t="s">
        <v>273</v>
      </c>
      <c r="L94" s="180" t="s">
        <v>274</v>
      </c>
      <c r="M94" s="182"/>
      <c r="N94" s="183"/>
      <c r="O94" s="181"/>
      <c r="P94" s="183" t="str">
        <f>VLOOKUP(E94,'Customer '!A:D,4,0)</f>
        <v>50% deposit, 50% prior shipment</v>
      </c>
      <c r="Q94" s="178"/>
      <c r="R94" s="178"/>
      <c r="S94" s="178">
        <v>48</v>
      </c>
      <c r="T94" s="184">
        <v>24407</v>
      </c>
      <c r="U94" s="184">
        <v>24407</v>
      </c>
      <c r="V94" s="184" t="s">
        <v>378</v>
      </c>
      <c r="W94" s="185">
        <v>2026</v>
      </c>
      <c r="X94" s="183"/>
      <c r="Y94" s="183"/>
      <c r="Z94" s="183"/>
      <c r="AA94" s="183"/>
      <c r="AB94" s="183"/>
      <c r="AC94" s="183"/>
      <c r="AD94" s="180" t="s">
        <v>56</v>
      </c>
      <c r="AE94" s="181"/>
      <c r="AF94" s="180"/>
      <c r="AG94" s="181"/>
      <c r="AH94" s="180"/>
      <c r="AI94" s="181"/>
      <c r="AJ94" s="180"/>
      <c r="AK94" s="181"/>
      <c r="AL94" s="180"/>
      <c r="AM94" s="181"/>
      <c r="AN94" s="180"/>
      <c r="AO94" s="181"/>
      <c r="AP94" s="180"/>
      <c r="AQ94" s="181"/>
      <c r="AR94" s="186"/>
      <c r="AS94" s="187"/>
      <c r="AT94" s="186"/>
      <c r="AU94" s="187"/>
      <c r="AV94" s="186"/>
      <c r="AW94" s="187"/>
      <c r="AX94" s="186"/>
      <c r="AY94" s="187"/>
      <c r="AZ94" s="188" t="str">
        <f t="shared" si="9"/>
        <v>Complete</v>
      </c>
      <c r="BA94" s="189"/>
    </row>
    <row r="95" spans="1:53" s="191" customFormat="1" ht="15.5" hidden="1" x14ac:dyDescent="0.35">
      <c r="A95" s="191" t="str">
        <f t="shared" si="7"/>
        <v>2026-PLUS CORPORATION-SOHO HOUSE TOKYONPI</v>
      </c>
      <c r="B95" s="178" t="str">
        <f>VLOOKUP(E95,'Customer '!A:C,3,0)</f>
        <v>NON RH</v>
      </c>
      <c r="C95" s="178" t="s">
        <v>268</v>
      </c>
      <c r="D95" s="178" t="s">
        <v>272</v>
      </c>
      <c r="E95" s="178" t="s">
        <v>168</v>
      </c>
      <c r="F95" s="179" t="str">
        <f>VLOOKUP(E95,'Customer '!A:B,2,0)</f>
        <v>PLUS CORPORATION</v>
      </c>
      <c r="G95" s="178" t="s">
        <v>357</v>
      </c>
      <c r="H95" s="178" t="str">
        <f t="shared" si="8"/>
        <v>2026-PLUS CORPORATION-SOHO HOUSE TOKYO</v>
      </c>
      <c r="I95" s="178">
        <v>1</v>
      </c>
      <c r="J95" s="180" t="s">
        <v>272</v>
      </c>
      <c r="K95" s="181" t="s">
        <v>273</v>
      </c>
      <c r="L95" s="180" t="s">
        <v>274</v>
      </c>
      <c r="M95" s="182"/>
      <c r="N95" s="183"/>
      <c r="O95" s="181"/>
      <c r="P95" s="183" t="str">
        <f>VLOOKUP(E95,'Customer '!A:D,4,0)</f>
        <v>50% deposit, 50% prior shipment</v>
      </c>
      <c r="Q95" s="178"/>
      <c r="R95" s="178"/>
      <c r="S95" s="178">
        <v>48</v>
      </c>
      <c r="T95" s="184">
        <v>80520</v>
      </c>
      <c r="U95" s="184">
        <v>80520</v>
      </c>
      <c r="V95" s="184" t="s">
        <v>400</v>
      </c>
      <c r="W95" s="185">
        <v>2026</v>
      </c>
      <c r="X95" s="183"/>
      <c r="Y95" s="183"/>
      <c r="Z95" s="183"/>
      <c r="AA95" s="183"/>
      <c r="AB95" s="183"/>
      <c r="AC95" s="183"/>
      <c r="AD95" s="180" t="s">
        <v>56</v>
      </c>
      <c r="AE95" s="181"/>
      <c r="AF95" s="180"/>
      <c r="AG95" s="181"/>
      <c r="AH95" s="180"/>
      <c r="AI95" s="181"/>
      <c r="AJ95" s="180"/>
      <c r="AK95" s="181"/>
      <c r="AL95" s="180"/>
      <c r="AM95" s="181"/>
      <c r="AN95" s="180"/>
      <c r="AO95" s="181"/>
      <c r="AP95" s="180"/>
      <c r="AQ95" s="181"/>
      <c r="AR95" s="186"/>
      <c r="AS95" s="187"/>
      <c r="AT95" s="186"/>
      <c r="AU95" s="187"/>
      <c r="AV95" s="186"/>
      <c r="AW95" s="187"/>
      <c r="AX95" s="186"/>
      <c r="AY95" s="187"/>
      <c r="AZ95" s="188" t="str">
        <f t="shared" si="9"/>
        <v>Complete</v>
      </c>
      <c r="BA95" s="189"/>
    </row>
    <row r="96" spans="1:53" s="191" customFormat="1" ht="15.5" hidden="1" x14ac:dyDescent="0.35">
      <c r="A96" s="191" t="str">
        <f t="shared" si="7"/>
        <v>2026-RH-RH BRANDYWISENPI</v>
      </c>
      <c r="B96" s="178" t="str">
        <f>VLOOKUP(E96,'Customer '!A:C,3,0)</f>
        <v>RH</v>
      </c>
      <c r="C96" s="178" t="s">
        <v>268</v>
      </c>
      <c r="D96" s="178" t="s">
        <v>272</v>
      </c>
      <c r="E96" s="178" t="s">
        <v>61</v>
      </c>
      <c r="F96" s="179" t="str">
        <f>VLOOKUP(E96,'Customer '!A:B,2,0)</f>
        <v>RH</v>
      </c>
      <c r="G96" s="178" t="s">
        <v>892</v>
      </c>
      <c r="H96" s="178" t="str">
        <f t="shared" si="8"/>
        <v>2026-RH-RH BRANDYWISE</v>
      </c>
      <c r="I96" s="178">
        <v>1</v>
      </c>
      <c r="J96" s="180" t="s">
        <v>272</v>
      </c>
      <c r="K96" s="181" t="s">
        <v>273</v>
      </c>
      <c r="L96" s="180" t="s">
        <v>274</v>
      </c>
      <c r="M96" s="182"/>
      <c r="N96" s="183"/>
      <c r="O96" s="181"/>
      <c r="P96" s="183" t="e">
        <f>VLOOKUP(E96,'Customer '!A:D,4,0)</f>
        <v>#N/A</v>
      </c>
      <c r="Q96" s="178"/>
      <c r="R96" s="178"/>
      <c r="S96" s="178">
        <v>2</v>
      </c>
      <c r="T96" s="184">
        <v>5432.2</v>
      </c>
      <c r="U96" s="184">
        <v>5432.2</v>
      </c>
      <c r="V96" s="184" t="s">
        <v>378</v>
      </c>
      <c r="W96" s="185">
        <v>2026</v>
      </c>
      <c r="X96" s="183"/>
      <c r="Y96" s="183"/>
      <c r="Z96" s="183"/>
      <c r="AA96" s="183"/>
      <c r="AB96" s="183"/>
      <c r="AC96" s="183"/>
      <c r="AD96" s="180"/>
      <c r="AE96" s="181"/>
      <c r="AF96" s="180"/>
      <c r="AG96" s="181"/>
      <c r="AH96" s="180"/>
      <c r="AI96" s="181"/>
      <c r="AJ96" s="180"/>
      <c r="AK96" s="181"/>
      <c r="AL96" s="180"/>
      <c r="AM96" s="181"/>
      <c r="AN96" s="180"/>
      <c r="AO96" s="181"/>
      <c r="AP96" s="180"/>
      <c r="AQ96" s="181"/>
      <c r="AR96" s="186"/>
      <c r="AS96" s="187"/>
      <c r="AT96" s="186"/>
      <c r="AU96" s="187"/>
      <c r="AV96" s="186"/>
      <c r="AW96" s="187"/>
      <c r="AX96" s="186"/>
      <c r="AY96" s="187"/>
      <c r="AZ96" s="188" t="str">
        <f t="shared" si="9"/>
        <v>Complete</v>
      </c>
      <c r="BA96" s="189"/>
    </row>
    <row r="97" spans="1:53" s="191" customFormat="1" ht="15.5" x14ac:dyDescent="0.35">
      <c r="A97" s="191" t="str">
        <f t="shared" si="7"/>
        <v>2026-BROOKFIELD-RITZ CARLTON PHILADELPHIANPD</v>
      </c>
      <c r="B97" s="178" t="str">
        <f>VLOOKUP(E97,'Customer '!A:C,3,0)</f>
        <v>NON RH</v>
      </c>
      <c r="C97" s="178" t="s">
        <v>323</v>
      </c>
      <c r="D97" s="178" t="s">
        <v>298</v>
      </c>
      <c r="E97" s="179" t="s">
        <v>366</v>
      </c>
      <c r="F97" s="179" t="str">
        <f>VLOOKUP(E97,'Customer '!A:B,2,0)</f>
        <v>BROOKFIELD</v>
      </c>
      <c r="G97" s="178" t="s">
        <v>402</v>
      </c>
      <c r="H97" s="178" t="str">
        <f t="shared" si="8"/>
        <v>2026-BROOKFIELD-RITZ CARLTON PHILADELPHIA</v>
      </c>
      <c r="I97" s="178">
        <v>1</v>
      </c>
      <c r="J97" s="180" t="s">
        <v>309</v>
      </c>
      <c r="K97" s="181" t="s">
        <v>273</v>
      </c>
      <c r="L97" s="180" t="s">
        <v>317</v>
      </c>
      <c r="M97" s="182">
        <v>46144</v>
      </c>
      <c r="N97" s="183">
        <v>46149</v>
      </c>
      <c r="O97" s="181"/>
      <c r="P97" s="183" t="str">
        <f>VLOOKUP(E97,'Customer '!A:D,4,0)</f>
        <v>50% deposit, 50% prior shipment</v>
      </c>
      <c r="Q97" s="178" t="s">
        <v>51</v>
      </c>
      <c r="R97" s="178" t="s">
        <v>403</v>
      </c>
      <c r="S97" s="178">
        <v>6</v>
      </c>
      <c r="T97" s="184">
        <v>11414.99</v>
      </c>
      <c r="U97" s="184">
        <v>13583.730000000001</v>
      </c>
      <c r="V97" s="184" t="s">
        <v>281</v>
      </c>
      <c r="W97" s="185">
        <v>2026</v>
      </c>
      <c r="X97" s="183"/>
      <c r="Y97" s="183"/>
      <c r="Z97" s="183" t="s">
        <v>404</v>
      </c>
      <c r="AA97" s="183"/>
      <c r="AB97" s="183"/>
      <c r="AC97" s="183"/>
      <c r="AD97" s="180" t="s">
        <v>318</v>
      </c>
      <c r="AE97" s="181"/>
      <c r="AF97" s="180" t="s">
        <v>342</v>
      </c>
      <c r="AG97" s="181"/>
      <c r="AH97" s="180" t="s">
        <v>318</v>
      </c>
      <c r="AI97" s="181"/>
      <c r="AJ97" s="180" t="s">
        <v>342</v>
      </c>
      <c r="AK97" s="181"/>
      <c r="AL97" s="180" t="s">
        <v>73</v>
      </c>
      <c r="AM97" s="181"/>
      <c r="AN97" s="180" t="s">
        <v>318</v>
      </c>
      <c r="AO97" s="181"/>
      <c r="AP97" s="180" t="s">
        <v>331</v>
      </c>
      <c r="AQ97" s="181"/>
      <c r="AR97" s="186"/>
      <c r="AS97" s="187"/>
      <c r="AT97" s="186"/>
      <c r="AU97" s="187"/>
      <c r="AV97" s="186"/>
      <c r="AW97" s="187"/>
      <c r="AX97" s="186"/>
      <c r="AY97" s="187"/>
      <c r="AZ97" s="188" t="str">
        <f t="shared" si="9"/>
        <v>Active</v>
      </c>
      <c r="BA97" s="189"/>
    </row>
    <row r="98" spans="1:53" s="191" customFormat="1" ht="15.5" hidden="1" x14ac:dyDescent="0.35">
      <c r="A98" s="191" t="str">
        <f t="shared" si="7"/>
        <v>2026-RH-CUSTOM MIYU TABLESNPD</v>
      </c>
      <c r="B98" s="178" t="str">
        <f>VLOOKUP(E98,'Customer '!A:C,3,0)</f>
        <v>RH</v>
      </c>
      <c r="C98" s="178" t="s">
        <v>323</v>
      </c>
      <c r="D98" s="178" t="s">
        <v>329</v>
      </c>
      <c r="E98" s="178" t="s">
        <v>61</v>
      </c>
      <c r="F98" s="179" t="str">
        <f>VLOOKUP(E98,'Customer '!A:B,2,0)</f>
        <v>RH</v>
      </c>
      <c r="G98" s="178" t="s">
        <v>406</v>
      </c>
      <c r="H98" s="178" t="str">
        <f t="shared" si="8"/>
        <v>2026-RH-CUSTOM MIYU TABLES</v>
      </c>
      <c r="I98" s="178">
        <v>1</v>
      </c>
      <c r="J98" s="180" t="s">
        <v>284</v>
      </c>
      <c r="K98" s="181" t="s">
        <v>273</v>
      </c>
      <c r="L98" s="180" t="s">
        <v>317</v>
      </c>
      <c r="M98" s="182">
        <v>46128</v>
      </c>
      <c r="N98" s="183"/>
      <c r="O98" s="181"/>
      <c r="P98" s="183" t="e">
        <f>VLOOKUP(E98,'Customer '!A:D,4,0)</f>
        <v>#N/A</v>
      </c>
      <c r="Q98" s="178"/>
      <c r="R98" s="178"/>
      <c r="S98" s="178">
        <v>5</v>
      </c>
      <c r="T98" s="184">
        <v>5617.6</v>
      </c>
      <c r="U98" s="184">
        <v>5617.6</v>
      </c>
      <c r="V98" s="184" t="s">
        <v>281</v>
      </c>
      <c r="W98" s="185">
        <v>2026</v>
      </c>
      <c r="X98" s="183"/>
      <c r="Y98" s="183"/>
      <c r="Z98" s="183" t="s">
        <v>889</v>
      </c>
      <c r="AA98" s="183"/>
      <c r="AB98" s="183"/>
      <c r="AC98" s="183"/>
      <c r="AD98" s="180" t="s">
        <v>318</v>
      </c>
      <c r="AE98" s="181"/>
      <c r="AF98" s="180" t="s">
        <v>304</v>
      </c>
      <c r="AG98" s="181"/>
      <c r="AH98" s="180" t="s">
        <v>73</v>
      </c>
      <c r="AI98" s="181"/>
      <c r="AJ98" s="180" t="s">
        <v>73</v>
      </c>
      <c r="AK98" s="181"/>
      <c r="AL98" s="180"/>
      <c r="AM98" s="181"/>
      <c r="AN98" s="180" t="s">
        <v>304</v>
      </c>
      <c r="AO98" s="181"/>
      <c r="AP98" s="180" t="s">
        <v>73</v>
      </c>
      <c r="AQ98" s="181"/>
      <c r="AR98" s="186"/>
      <c r="AS98" s="187"/>
      <c r="AT98" s="186"/>
      <c r="AU98" s="187"/>
      <c r="AV98" s="186"/>
      <c r="AW98" s="187"/>
      <c r="AX98" s="186"/>
      <c r="AY98" s="187"/>
      <c r="AZ98" s="188" t="str">
        <f t="shared" si="9"/>
        <v>Active</v>
      </c>
      <c r="BA98" s="189"/>
    </row>
    <row r="99" spans="1:53" s="191" customFormat="1" ht="15.5" hidden="1" x14ac:dyDescent="0.35">
      <c r="A99" s="191" t="str">
        <f t="shared" si="7"/>
        <v>2026-RH-GRAND HYATT DENVERNPD</v>
      </c>
      <c r="B99" s="178" t="str">
        <f>VLOOKUP(E99,'Customer '!A:C,3,0)</f>
        <v>RH</v>
      </c>
      <c r="C99" s="178" t="s">
        <v>323</v>
      </c>
      <c r="D99" s="178" t="s">
        <v>306</v>
      </c>
      <c r="E99" s="178" t="s">
        <v>61</v>
      </c>
      <c r="F99" s="179" t="str">
        <f>VLOOKUP(E99,'Customer '!A:B,2,0)</f>
        <v>RH</v>
      </c>
      <c r="G99" s="178" t="s">
        <v>407</v>
      </c>
      <c r="H99" s="178" t="str">
        <f t="shared" si="8"/>
        <v>2026-RH-GRAND HYATT DENVER</v>
      </c>
      <c r="I99" s="178">
        <v>1</v>
      </c>
      <c r="J99" s="180" t="s">
        <v>284</v>
      </c>
      <c r="K99" s="181" t="s">
        <v>273</v>
      </c>
      <c r="L99" s="180" t="s">
        <v>285</v>
      </c>
      <c r="M99" s="182">
        <v>46136</v>
      </c>
      <c r="N99" s="183"/>
      <c r="O99" s="181"/>
      <c r="P99" s="183" t="e">
        <f>VLOOKUP(E99,'Customer '!A:D,4,0)</f>
        <v>#N/A</v>
      </c>
      <c r="Q99" s="178" t="s">
        <v>51</v>
      </c>
      <c r="R99" s="178" t="s">
        <v>408</v>
      </c>
      <c r="S99" s="178">
        <v>2</v>
      </c>
      <c r="T99" s="184">
        <v>5377.22</v>
      </c>
      <c r="U99" s="209">
        <v>5377.22</v>
      </c>
      <c r="V99" s="184" t="s">
        <v>297</v>
      </c>
      <c r="W99" s="185">
        <v>2026</v>
      </c>
      <c r="X99" s="183"/>
      <c r="Y99" s="183"/>
      <c r="Z99" s="183" t="s">
        <v>875</v>
      </c>
      <c r="AA99" s="183"/>
      <c r="AB99" s="183"/>
      <c r="AC99" s="183"/>
      <c r="AD99" s="180" t="s">
        <v>304</v>
      </c>
      <c r="AE99" s="181"/>
      <c r="AF99" s="180" t="s">
        <v>304</v>
      </c>
      <c r="AG99" s="181"/>
      <c r="AH99" s="180" t="s">
        <v>73</v>
      </c>
      <c r="AI99" s="181"/>
      <c r="AJ99" s="180" t="s">
        <v>73</v>
      </c>
      <c r="AK99" s="181"/>
      <c r="AL99" s="180" t="s">
        <v>73</v>
      </c>
      <c r="AM99" s="181"/>
      <c r="AN99" s="180" t="s">
        <v>304</v>
      </c>
      <c r="AO99" s="181"/>
      <c r="AP99" s="180" t="s">
        <v>57</v>
      </c>
      <c r="AQ99" s="181"/>
      <c r="AR99" s="186"/>
      <c r="AS99" s="187"/>
      <c r="AT99" s="186"/>
      <c r="AU99" s="187"/>
      <c r="AV99" s="186"/>
      <c r="AW99" s="187"/>
      <c r="AX99" s="186"/>
      <c r="AY99" s="187"/>
      <c r="AZ99" s="188"/>
      <c r="BA99" s="189"/>
    </row>
    <row r="100" spans="1:53" s="191" customFormat="1" ht="15.5" hidden="1" x14ac:dyDescent="0.35">
      <c r="A100" s="191" t="str">
        <f t="shared" si="7"/>
        <v>2026-RH-COMPETITIVE EDGE NPI</v>
      </c>
      <c r="B100" s="178" t="str">
        <f>VLOOKUP(E100,'Customer '!A:C,3,0)</f>
        <v>RH</v>
      </c>
      <c r="C100" s="178" t="s">
        <v>268</v>
      </c>
      <c r="D100" s="178" t="s">
        <v>290</v>
      </c>
      <c r="E100" s="178" t="s">
        <v>61</v>
      </c>
      <c r="F100" s="179" t="str">
        <f>VLOOKUP(E100,'Customer '!A:B,2,0)</f>
        <v>RH</v>
      </c>
      <c r="G100" s="178" t="s">
        <v>409</v>
      </c>
      <c r="H100" s="178" t="str">
        <f t="shared" si="8"/>
        <v xml:space="preserve">2026-RH-COMPETITIVE EDGE </v>
      </c>
      <c r="I100" s="178">
        <v>1</v>
      </c>
      <c r="J100" s="180" t="s">
        <v>284</v>
      </c>
      <c r="K100" s="181" t="s">
        <v>273</v>
      </c>
      <c r="L100" s="180" t="s">
        <v>285</v>
      </c>
      <c r="M100" s="182">
        <v>46141</v>
      </c>
      <c r="N100" s="183"/>
      <c r="O100" s="181"/>
      <c r="P100" s="183" t="e">
        <f>VLOOKUP(E100,'Customer '!A:D,4,0)</f>
        <v>#N/A</v>
      </c>
      <c r="Q100" s="178"/>
      <c r="R100" s="178"/>
      <c r="S100" s="178">
        <v>3</v>
      </c>
      <c r="T100" s="184">
        <v>847691</v>
      </c>
      <c r="U100" s="184">
        <v>847691</v>
      </c>
      <c r="V100" s="184" t="s">
        <v>149</v>
      </c>
      <c r="W100" s="185" t="s">
        <v>149</v>
      </c>
      <c r="X100" s="183"/>
      <c r="Y100" s="183"/>
      <c r="Z100" s="183"/>
      <c r="AA100" s="183"/>
      <c r="AB100" s="183"/>
      <c r="AC100" s="183"/>
      <c r="AD100" s="180"/>
      <c r="AE100" s="181"/>
      <c r="AF100" s="180"/>
      <c r="AG100" s="181"/>
      <c r="AH100" s="180"/>
      <c r="AI100" s="181"/>
      <c r="AJ100" s="180"/>
      <c r="AK100" s="181"/>
      <c r="AL100" s="180"/>
      <c r="AM100" s="181"/>
      <c r="AN100" s="180"/>
      <c r="AO100" s="181"/>
      <c r="AP100" s="180"/>
      <c r="AQ100" s="181"/>
      <c r="AR100" s="186"/>
      <c r="AS100" s="187"/>
      <c r="AT100" s="186"/>
      <c r="AU100" s="187"/>
      <c r="AV100" s="186"/>
      <c r="AW100" s="187"/>
      <c r="AX100" s="186"/>
      <c r="AY100" s="187"/>
      <c r="AZ100" s="188"/>
      <c r="BA100" s="189"/>
    </row>
    <row r="101" spans="1:53" s="191" customFormat="1" ht="15.5" hidden="1" x14ac:dyDescent="0.35">
      <c r="A101" s="191" t="str">
        <f t="shared" si="7"/>
        <v>2026-FLEETWOOD -WALDORF ASTORIA DEER VALLEYNPD to NPI</v>
      </c>
      <c r="B101" s="178" t="str">
        <f>VLOOKUP(E101,'Customer '!A:C,3,0)</f>
        <v>NON RH</v>
      </c>
      <c r="C101" s="178" t="s">
        <v>893</v>
      </c>
      <c r="D101" s="178" t="s">
        <v>340</v>
      </c>
      <c r="E101" s="178" t="s">
        <v>98</v>
      </c>
      <c r="F101" s="179" t="str">
        <f>VLOOKUP(E101,'Customer '!A:B,2,0)</f>
        <v xml:space="preserve">FLEETWOOD </v>
      </c>
      <c r="G101" s="178" t="s">
        <v>410</v>
      </c>
      <c r="H101" s="178" t="str">
        <f t="shared" si="8"/>
        <v>2026-FLEETWOOD -WALDORF ASTORIA DEER VALLEY</v>
      </c>
      <c r="I101" s="178">
        <v>1</v>
      </c>
      <c r="J101" s="180" t="s">
        <v>284</v>
      </c>
      <c r="K101" s="181" t="s">
        <v>273</v>
      </c>
      <c r="L101" s="180" t="s">
        <v>285</v>
      </c>
      <c r="M101" s="182">
        <v>46144</v>
      </c>
      <c r="N101" s="183"/>
      <c r="O101" s="181"/>
      <c r="P101" s="183" t="str">
        <f>VLOOKUP(E101,'Customer '!A:D,4,0)</f>
        <v>25% desposit, 75% period shipment</v>
      </c>
      <c r="Q101" s="178" t="s">
        <v>51</v>
      </c>
      <c r="R101" s="178"/>
      <c r="S101" s="178">
        <v>13</v>
      </c>
      <c r="T101" s="184">
        <v>5665882.9799999986</v>
      </c>
      <c r="U101" s="184">
        <v>5665882.9799999986</v>
      </c>
      <c r="V101" s="184" t="s">
        <v>286</v>
      </c>
      <c r="W101" s="185">
        <v>2027</v>
      </c>
      <c r="X101" s="183"/>
      <c r="Y101" s="183"/>
      <c r="Z101" s="183"/>
      <c r="AA101" s="183"/>
      <c r="AB101" s="183"/>
      <c r="AC101" s="183"/>
      <c r="AD101" s="180"/>
      <c r="AE101" s="181"/>
      <c r="AF101" s="180"/>
      <c r="AG101" s="181"/>
      <c r="AH101" s="180"/>
      <c r="AI101" s="181"/>
      <c r="AJ101" s="180"/>
      <c r="AK101" s="181"/>
      <c r="AL101" s="180"/>
      <c r="AM101" s="181"/>
      <c r="AN101" s="180"/>
      <c r="AO101" s="181"/>
      <c r="AP101" s="180"/>
      <c r="AQ101" s="181"/>
      <c r="AR101" s="186"/>
      <c r="AS101" s="187"/>
      <c r="AT101" s="186"/>
      <c r="AU101" s="187"/>
      <c r="AV101" s="186"/>
      <c r="AW101" s="187"/>
      <c r="AX101" s="186"/>
      <c r="AY101" s="187"/>
      <c r="AZ101" s="188"/>
      <c r="BA101" s="189"/>
    </row>
    <row r="102" spans="1:53" s="191" customFormat="1" ht="15.5" hidden="1" x14ac:dyDescent="0.35">
      <c r="A102" s="191" t="str">
        <f t="shared" si="7"/>
        <v>2026-FLEETWOOD -PEBBLE BEACH CASA PALMERONPI</v>
      </c>
      <c r="B102" s="178" t="str">
        <f>VLOOKUP(E102,'Customer '!A:C,3,0)</f>
        <v>NON RH</v>
      </c>
      <c r="C102" s="178" t="s">
        <v>268</v>
      </c>
      <c r="D102" s="178" t="s">
        <v>340</v>
      </c>
      <c r="E102" s="178" t="s">
        <v>98</v>
      </c>
      <c r="F102" s="179" t="str">
        <f>VLOOKUP(E102,'Customer '!A:B,2,0)</f>
        <v xml:space="preserve">FLEETWOOD </v>
      </c>
      <c r="G102" s="178" t="s">
        <v>411</v>
      </c>
      <c r="H102" s="178" t="str">
        <f t="shared" si="8"/>
        <v>2026-FLEETWOOD -PEBBLE BEACH CASA PALMERO</v>
      </c>
      <c r="I102" s="178">
        <v>1</v>
      </c>
      <c r="J102" s="180" t="s">
        <v>284</v>
      </c>
      <c r="K102" s="181" t="s">
        <v>273</v>
      </c>
      <c r="L102" s="180" t="s">
        <v>285</v>
      </c>
      <c r="M102" s="182">
        <v>46144</v>
      </c>
      <c r="N102" s="183"/>
      <c r="O102" s="181"/>
      <c r="P102" s="183" t="str">
        <f>VLOOKUP(E102,'Customer '!A:D,4,0)</f>
        <v>25% desposit, 75% period shipment</v>
      </c>
      <c r="Q102" s="178"/>
      <c r="R102" s="178"/>
      <c r="S102" s="178">
        <v>1</v>
      </c>
      <c r="T102" s="184">
        <v>13541.25</v>
      </c>
      <c r="U102" s="209">
        <v>13541.25</v>
      </c>
      <c r="V102" s="184" t="s">
        <v>297</v>
      </c>
      <c r="W102" s="185">
        <v>2026</v>
      </c>
      <c r="X102" s="183">
        <v>46296</v>
      </c>
      <c r="Y102" s="183"/>
      <c r="Z102" s="183"/>
      <c r="AA102" s="183"/>
      <c r="AB102" s="183"/>
      <c r="AC102" s="183"/>
      <c r="AD102" s="180" t="s">
        <v>318</v>
      </c>
      <c r="AE102" s="181"/>
      <c r="AF102" s="180" t="s">
        <v>304</v>
      </c>
      <c r="AG102" s="181"/>
      <c r="AH102" s="180" t="s">
        <v>73</v>
      </c>
      <c r="AI102" s="181"/>
      <c r="AJ102" s="180" t="s">
        <v>304</v>
      </c>
      <c r="AK102" s="181"/>
      <c r="AL102" s="180" t="s">
        <v>304</v>
      </c>
      <c r="AM102" s="181"/>
      <c r="AN102" s="180" t="s">
        <v>73</v>
      </c>
      <c r="AO102" s="181"/>
      <c r="AP102" s="180" t="s">
        <v>73</v>
      </c>
      <c r="AQ102" s="181"/>
      <c r="AR102" s="186"/>
      <c r="AS102" s="187"/>
      <c r="AT102" s="186"/>
      <c r="AU102" s="187"/>
      <c r="AV102" s="186"/>
      <c r="AW102" s="187"/>
      <c r="AX102" s="186"/>
      <c r="AY102" s="187"/>
      <c r="AZ102" s="188"/>
      <c r="BA102" s="189"/>
    </row>
    <row r="103" spans="1:53" s="191" customFormat="1" ht="15.5" hidden="1" x14ac:dyDescent="0.35">
      <c r="A103" s="191" t="str">
        <f t="shared" si="7"/>
        <v>2026-RH-SUNRIVER RESORT MRNPD</v>
      </c>
      <c r="B103" s="178" t="str">
        <f>VLOOKUP(E103,'Customer '!A:C,3,0)</f>
        <v>RH</v>
      </c>
      <c r="C103" s="178" t="s">
        <v>323</v>
      </c>
      <c r="D103" s="178" t="s">
        <v>329</v>
      </c>
      <c r="E103" s="178" t="s">
        <v>61</v>
      </c>
      <c r="F103" s="179" t="str">
        <f>VLOOKUP(E103,'Customer '!A:B,2,0)</f>
        <v>RH</v>
      </c>
      <c r="G103" s="178" t="s">
        <v>894</v>
      </c>
      <c r="H103" s="178" t="str">
        <f t="shared" si="8"/>
        <v>2026-RH-SUNRIVER RESORT MR</v>
      </c>
      <c r="I103" s="178">
        <v>1</v>
      </c>
      <c r="J103" s="180" t="s">
        <v>284</v>
      </c>
      <c r="K103" s="181" t="s">
        <v>273</v>
      </c>
      <c r="L103" s="180" t="s">
        <v>285</v>
      </c>
      <c r="M103" s="182">
        <v>46144</v>
      </c>
      <c r="N103" s="183"/>
      <c r="O103" s="181"/>
      <c r="P103" s="183" t="e">
        <f>VLOOKUP(E103,'Customer '!A:D,4,0)</f>
        <v>#N/A</v>
      </c>
      <c r="Q103" s="178" t="s">
        <v>51</v>
      </c>
      <c r="R103" s="178" t="s">
        <v>51</v>
      </c>
      <c r="S103" s="178">
        <v>2</v>
      </c>
      <c r="T103" s="184">
        <v>3580</v>
      </c>
      <c r="U103" s="184">
        <v>3580</v>
      </c>
      <c r="V103" s="184" t="s">
        <v>280</v>
      </c>
      <c r="W103" s="185">
        <v>2026</v>
      </c>
      <c r="X103" s="183">
        <v>46194</v>
      </c>
      <c r="Y103" s="183"/>
      <c r="Z103" s="183"/>
      <c r="AA103" s="183"/>
      <c r="AB103" s="183"/>
      <c r="AC103" s="183"/>
      <c r="AD103" s="180" t="s">
        <v>56</v>
      </c>
      <c r="AE103" s="182">
        <v>46158</v>
      </c>
      <c r="AF103" s="180" t="s">
        <v>56</v>
      </c>
      <c r="AG103" s="182">
        <v>46158</v>
      </c>
      <c r="AH103" s="180" t="s">
        <v>73</v>
      </c>
      <c r="AI103" s="181"/>
      <c r="AJ103" s="180" t="s">
        <v>56</v>
      </c>
      <c r="AK103" s="182">
        <v>46158</v>
      </c>
      <c r="AL103" s="180" t="s">
        <v>73</v>
      </c>
      <c r="AM103" s="181"/>
      <c r="AN103" s="180" t="s">
        <v>73</v>
      </c>
      <c r="AO103" s="181"/>
      <c r="AP103" s="180" t="s">
        <v>73</v>
      </c>
      <c r="AQ103" s="181"/>
      <c r="AR103" s="186"/>
      <c r="AS103" s="187"/>
      <c r="AT103" s="186"/>
      <c r="AU103" s="187"/>
      <c r="AV103" s="186"/>
      <c r="AW103" s="187"/>
      <c r="AX103" s="186"/>
      <c r="AY103" s="187"/>
      <c r="AZ103" s="188"/>
      <c r="BA103" s="189"/>
    </row>
    <row r="104" spans="1:53" s="191" customFormat="1" ht="15.5" hidden="1" x14ac:dyDescent="0.35">
      <c r="A104" s="191" t="str">
        <f t="shared" si="7"/>
        <v>2026-RH-SUNRIVER RESORT MRNPI</v>
      </c>
      <c r="B104" s="178" t="str">
        <f>VLOOKUP(E104,'Customer '!A:C,3,0)</f>
        <v>RH</v>
      </c>
      <c r="C104" s="178" t="s">
        <v>268</v>
      </c>
      <c r="D104" s="178" t="s">
        <v>340</v>
      </c>
      <c r="E104" s="178" t="s">
        <v>61</v>
      </c>
      <c r="F104" s="179" t="str">
        <f>VLOOKUP(E104,'Customer '!A:B,2,0)</f>
        <v>RH</v>
      </c>
      <c r="G104" s="178" t="s">
        <v>894</v>
      </c>
      <c r="H104" s="178" t="str">
        <f t="shared" si="8"/>
        <v>2026-RH-SUNRIVER RESORT MR</v>
      </c>
      <c r="I104" s="178">
        <v>1</v>
      </c>
      <c r="J104" s="180" t="s">
        <v>284</v>
      </c>
      <c r="K104" s="181" t="s">
        <v>273</v>
      </c>
      <c r="L104" s="180" t="s">
        <v>285</v>
      </c>
      <c r="M104" s="182">
        <v>46144</v>
      </c>
      <c r="N104" s="183"/>
      <c r="O104" s="181"/>
      <c r="P104" s="183" t="e">
        <f>VLOOKUP(E104,'Customer '!A:D,4,0)</f>
        <v>#N/A</v>
      </c>
      <c r="Q104" s="178" t="s">
        <v>51</v>
      </c>
      <c r="R104" s="178" t="s">
        <v>51</v>
      </c>
      <c r="S104" s="178">
        <v>6</v>
      </c>
      <c r="T104" s="184">
        <v>10346.75</v>
      </c>
      <c r="U104" s="184">
        <v>10346.75</v>
      </c>
      <c r="V104" s="184" t="s">
        <v>149</v>
      </c>
      <c r="W104" s="185" t="s">
        <v>149</v>
      </c>
      <c r="X104" s="183"/>
      <c r="Y104" s="183"/>
      <c r="Z104" s="183"/>
      <c r="AA104" s="183"/>
      <c r="AB104" s="183"/>
      <c r="AC104" s="183"/>
      <c r="AD104" s="180"/>
      <c r="AE104" s="181"/>
      <c r="AF104" s="180"/>
      <c r="AG104" s="181"/>
      <c r="AH104" s="180"/>
      <c r="AI104" s="181"/>
      <c r="AJ104" s="180"/>
      <c r="AK104" s="181"/>
      <c r="AL104" s="180"/>
      <c r="AM104" s="181"/>
      <c r="AN104" s="180"/>
      <c r="AO104" s="181"/>
      <c r="AP104" s="180"/>
      <c r="AQ104" s="181"/>
      <c r="AR104" s="186"/>
      <c r="AS104" s="187"/>
      <c r="AT104" s="186"/>
      <c r="AU104" s="187"/>
      <c r="AV104" s="186"/>
      <c r="AW104" s="187"/>
      <c r="AX104" s="186"/>
      <c r="AY104" s="187"/>
      <c r="AZ104" s="188"/>
      <c r="BA104" s="189"/>
    </row>
    <row r="105" spans="1:53" s="191" customFormat="1" ht="15.5" x14ac:dyDescent="0.35">
      <c r="A105" s="191" t="str">
        <f t="shared" si="7"/>
        <v>2026-BROOKFIELD-RITZ CARLTON PHILADELPHIANPI</v>
      </c>
      <c r="B105" s="178" t="str">
        <f>VLOOKUP(E105,'Customer '!A:C,3,0)</f>
        <v>NON RH</v>
      </c>
      <c r="C105" s="178" t="s">
        <v>268</v>
      </c>
      <c r="D105" s="178" t="s">
        <v>298</v>
      </c>
      <c r="E105" s="179" t="s">
        <v>366</v>
      </c>
      <c r="F105" s="179" t="str">
        <f>VLOOKUP(E105,'Customer '!A:B,2,0)</f>
        <v>BROOKFIELD</v>
      </c>
      <c r="G105" s="178" t="s">
        <v>402</v>
      </c>
      <c r="H105" s="178" t="str">
        <f t="shared" si="8"/>
        <v>2026-BROOKFIELD-RITZ CARLTON PHILADELPHIA</v>
      </c>
      <c r="I105" s="178">
        <v>1</v>
      </c>
      <c r="J105" s="180" t="s">
        <v>284</v>
      </c>
      <c r="K105" s="181" t="s">
        <v>273</v>
      </c>
      <c r="L105" s="180" t="s">
        <v>285</v>
      </c>
      <c r="M105" s="182"/>
      <c r="N105" s="183"/>
      <c r="O105" s="181"/>
      <c r="P105" s="183" t="str">
        <f>VLOOKUP(E105,'Customer '!A:D,4,0)</f>
        <v>50% deposit, 50% prior shipment</v>
      </c>
      <c r="Q105" s="178" t="s">
        <v>51</v>
      </c>
      <c r="R105" s="178" t="s">
        <v>403</v>
      </c>
      <c r="S105" s="178"/>
      <c r="T105" s="184">
        <v>1985002.77</v>
      </c>
      <c r="U105" s="184">
        <f>T105/2</f>
        <v>992501.38500000001</v>
      </c>
      <c r="V105" s="184" t="s">
        <v>311</v>
      </c>
      <c r="W105" s="185">
        <v>2026</v>
      </c>
      <c r="X105" s="183"/>
      <c r="Y105" s="183"/>
      <c r="Z105" s="183"/>
      <c r="AA105" s="183"/>
      <c r="AB105" s="183"/>
      <c r="AC105" s="183"/>
      <c r="AD105" s="180" t="s">
        <v>342</v>
      </c>
      <c r="AE105" s="181"/>
      <c r="AF105" s="180" t="s">
        <v>342</v>
      </c>
      <c r="AG105" s="181"/>
      <c r="AH105" s="180" t="s">
        <v>342</v>
      </c>
      <c r="AI105" s="181"/>
      <c r="AJ105" s="180" t="s">
        <v>342</v>
      </c>
      <c r="AK105" s="181"/>
      <c r="AL105" s="180" t="s">
        <v>73</v>
      </c>
      <c r="AM105" s="181"/>
      <c r="AN105" s="180" t="s">
        <v>342</v>
      </c>
      <c r="AO105" s="181"/>
      <c r="AP105" s="180" t="s">
        <v>342</v>
      </c>
      <c r="AQ105" s="181"/>
      <c r="AR105" s="186"/>
      <c r="AS105" s="187"/>
      <c r="AT105" s="186"/>
      <c r="AU105" s="187"/>
      <c r="AV105" s="186"/>
      <c r="AW105" s="187"/>
      <c r="AX105" s="186"/>
      <c r="AY105" s="187"/>
      <c r="AZ105" s="188" t="str">
        <f>IF(J105="SHIPPED","Complete",IF(J105="VIEWING","Archived","Active"))</f>
        <v>Active</v>
      </c>
      <c r="BA105" s="189"/>
    </row>
    <row r="106" spans="1:53" s="191" customFormat="1" ht="15.5" x14ac:dyDescent="0.35">
      <c r="A106" s="191" t="str">
        <f t="shared" si="7"/>
        <v>2026-BROOKFIELD-RITZ CARLTON PHILADELPHIANPI</v>
      </c>
      <c r="B106" s="178" t="str">
        <f>VLOOKUP(E106,'Customer '!A:C,3,0)</f>
        <v>NON RH</v>
      </c>
      <c r="C106" s="178" t="s">
        <v>268</v>
      </c>
      <c r="D106" s="178" t="s">
        <v>298</v>
      </c>
      <c r="E106" s="179" t="s">
        <v>366</v>
      </c>
      <c r="F106" s="179" t="str">
        <f>VLOOKUP(E106,'Customer '!A:B,2,0)</f>
        <v>BROOKFIELD</v>
      </c>
      <c r="G106" s="178" t="s">
        <v>402</v>
      </c>
      <c r="H106" s="178" t="str">
        <f t="shared" si="8"/>
        <v>2026-BROOKFIELD-RITZ CARLTON PHILADELPHIA</v>
      </c>
      <c r="I106" s="178">
        <v>0</v>
      </c>
      <c r="J106" s="180" t="s">
        <v>284</v>
      </c>
      <c r="K106" s="181" t="s">
        <v>273</v>
      </c>
      <c r="L106" s="180" t="s">
        <v>285</v>
      </c>
      <c r="M106" s="182"/>
      <c r="N106" s="183"/>
      <c r="O106" s="181"/>
      <c r="P106" s="183" t="str">
        <f>VLOOKUP(E106,'Customer '!A:D,4,0)</f>
        <v>50% deposit, 50% prior shipment</v>
      </c>
      <c r="Q106" s="178" t="s">
        <v>51</v>
      </c>
      <c r="R106" s="178" t="s">
        <v>403</v>
      </c>
      <c r="S106" s="178"/>
      <c r="T106" s="184">
        <v>1985002.77</v>
      </c>
      <c r="U106" s="184">
        <f>T106/2</f>
        <v>992501.38500000001</v>
      </c>
      <c r="V106" s="184" t="s">
        <v>330</v>
      </c>
      <c r="W106" s="185">
        <v>2026</v>
      </c>
      <c r="X106" s="183"/>
      <c r="Y106" s="183"/>
      <c r="Z106" s="183"/>
      <c r="AA106" s="183"/>
      <c r="AB106" s="183"/>
      <c r="AC106" s="183"/>
      <c r="AD106" s="180" t="s">
        <v>342</v>
      </c>
      <c r="AE106" s="181"/>
      <c r="AF106" s="180" t="s">
        <v>342</v>
      </c>
      <c r="AG106" s="181"/>
      <c r="AH106" s="180" t="s">
        <v>342</v>
      </c>
      <c r="AI106" s="181"/>
      <c r="AJ106" s="180" t="s">
        <v>342</v>
      </c>
      <c r="AK106" s="181"/>
      <c r="AL106" s="180" t="s">
        <v>73</v>
      </c>
      <c r="AM106" s="181"/>
      <c r="AN106" s="180" t="s">
        <v>342</v>
      </c>
      <c r="AO106" s="181"/>
      <c r="AP106" s="180" t="s">
        <v>342</v>
      </c>
      <c r="AQ106" s="181"/>
      <c r="AR106" s="186"/>
      <c r="AS106" s="187"/>
      <c r="AT106" s="186"/>
      <c r="AU106" s="187"/>
      <c r="AV106" s="186"/>
      <c r="AW106" s="187"/>
      <c r="AX106" s="186"/>
      <c r="AY106" s="187"/>
      <c r="AZ106" s="188" t="str">
        <f>IF(J106="SHIPPED","Complete",IF(J106="VIEWING","Archived","Active"))</f>
        <v>Active</v>
      </c>
      <c r="BA106" s="189"/>
    </row>
    <row r="107" spans="1:53" s="191" customFormat="1" ht="15.5" hidden="1" x14ac:dyDescent="0.35">
      <c r="A107" s="191" t="str">
        <f t="shared" si="7"/>
        <v>2026-AYALA-KHOBAR HILTON CANOPY HOTELNPI</v>
      </c>
      <c r="B107" s="178" t="str">
        <f>VLOOKUP(E107,'Customer '!A:C,3,0)</f>
        <v>NON RH</v>
      </c>
      <c r="C107" s="178" t="s">
        <v>268</v>
      </c>
      <c r="D107" s="178" t="s">
        <v>329</v>
      </c>
      <c r="E107" s="179" t="s">
        <v>373</v>
      </c>
      <c r="F107" s="179" t="str">
        <f>VLOOKUP(E107,'Customer '!A:B,2,0)</f>
        <v>AYALA</v>
      </c>
      <c r="G107" s="178" t="s">
        <v>374</v>
      </c>
      <c r="H107" s="178" t="str">
        <f t="shared" si="8"/>
        <v>2026-AYALA-KHOBAR HILTON CANOPY HOTEL</v>
      </c>
      <c r="I107" s="178">
        <v>1</v>
      </c>
      <c r="J107" s="180" t="s">
        <v>284</v>
      </c>
      <c r="K107" s="181" t="s">
        <v>273</v>
      </c>
      <c r="L107" s="180" t="s">
        <v>285</v>
      </c>
      <c r="M107" s="182">
        <v>46156</v>
      </c>
      <c r="N107" s="183"/>
      <c r="O107" s="181"/>
      <c r="P107" s="183" t="e">
        <f>VLOOKUP(E107,'Customer '!A:D,4,0)</f>
        <v>#N/A</v>
      </c>
      <c r="Q107" s="178" t="s">
        <v>132</v>
      </c>
      <c r="R107" s="178" t="s">
        <v>350</v>
      </c>
      <c r="S107" s="178"/>
      <c r="T107" s="184">
        <v>1318297.6000000001</v>
      </c>
      <c r="U107" s="184">
        <v>1318297.6000000001</v>
      </c>
      <c r="V107" s="184" t="s">
        <v>345</v>
      </c>
      <c r="W107" s="185">
        <v>2027</v>
      </c>
      <c r="X107" s="183"/>
      <c r="Y107" s="183"/>
      <c r="Z107" s="183"/>
      <c r="AA107" s="183"/>
      <c r="AB107" s="183"/>
      <c r="AC107" s="183"/>
      <c r="AD107" s="180" t="s">
        <v>342</v>
      </c>
      <c r="AE107" s="181"/>
      <c r="AF107" s="180" t="s">
        <v>342</v>
      </c>
      <c r="AG107" s="181"/>
      <c r="AH107" s="180" t="s">
        <v>342</v>
      </c>
      <c r="AI107" s="181"/>
      <c r="AJ107" s="180" t="s">
        <v>342</v>
      </c>
      <c r="AK107" s="181"/>
      <c r="AL107" s="180" t="s">
        <v>342</v>
      </c>
      <c r="AM107" s="181"/>
      <c r="AN107" s="180" t="s">
        <v>342</v>
      </c>
      <c r="AO107" s="181"/>
      <c r="AP107" s="180" t="s">
        <v>342</v>
      </c>
      <c r="AQ107" s="181"/>
      <c r="AR107" s="186"/>
      <c r="AS107" s="187"/>
      <c r="AT107" s="186"/>
      <c r="AU107" s="187"/>
      <c r="AV107" s="186"/>
      <c r="AW107" s="187"/>
      <c r="AX107" s="186"/>
      <c r="AY107" s="187"/>
      <c r="AZ107" s="188"/>
      <c r="BA107" s="189"/>
    </row>
    <row r="108" spans="1:53" s="191" customFormat="1" ht="15.5" hidden="1" x14ac:dyDescent="0.35">
      <c r="A108" s="191" t="str">
        <f t="shared" si="7"/>
        <v>2026-TRIMA-ASIATICO RESTAURANT NPI</v>
      </c>
      <c r="B108" s="178" t="str">
        <f>VLOOKUP(E108,'Customer '!A:C,3,0)</f>
        <v>NON RH</v>
      </c>
      <c r="C108" s="178" t="s">
        <v>268</v>
      </c>
      <c r="D108" s="178" t="s">
        <v>290</v>
      </c>
      <c r="E108" s="179" t="s">
        <v>196</v>
      </c>
      <c r="F108" s="179" t="str">
        <f>VLOOKUP(E108,'Customer '!A:B,2,0)</f>
        <v>TRIMA</v>
      </c>
      <c r="G108" s="178" t="s">
        <v>415</v>
      </c>
      <c r="H108" s="178" t="str">
        <f t="shared" si="8"/>
        <v xml:space="preserve">2026-TRIMA-ASIATICO RESTAURANT </v>
      </c>
      <c r="I108" s="178">
        <v>1</v>
      </c>
      <c r="J108" s="180" t="s">
        <v>477</v>
      </c>
      <c r="K108" s="181" t="s">
        <v>273</v>
      </c>
      <c r="L108" s="180" t="s">
        <v>317</v>
      </c>
      <c r="M108" s="182">
        <v>46152</v>
      </c>
      <c r="N108" s="183"/>
      <c r="O108" s="181"/>
      <c r="P108" s="183" t="str">
        <f>VLOOKUP(E108,'Customer '!A:D,4,0)</f>
        <v>50% deposit, 50% prior shipment</v>
      </c>
      <c r="Q108" s="178"/>
      <c r="R108" s="178"/>
      <c r="S108" s="178"/>
      <c r="T108" s="184">
        <v>172963.83000000002</v>
      </c>
      <c r="U108" s="184">
        <v>172963.83000000002</v>
      </c>
      <c r="V108" s="184" t="s">
        <v>282</v>
      </c>
      <c r="W108" s="185">
        <v>2026</v>
      </c>
      <c r="X108" s="183"/>
      <c r="Y108" s="183"/>
      <c r="Z108" s="183"/>
      <c r="AA108" s="183"/>
      <c r="AB108" s="183"/>
      <c r="AC108" s="183"/>
      <c r="AD108" s="180" t="s">
        <v>304</v>
      </c>
      <c r="AE108" s="181"/>
      <c r="AF108" s="180" t="s">
        <v>304</v>
      </c>
      <c r="AG108" s="181"/>
      <c r="AH108" s="180" t="s">
        <v>304</v>
      </c>
      <c r="AI108" s="181"/>
      <c r="AJ108" s="180" t="s">
        <v>304</v>
      </c>
      <c r="AK108" s="181"/>
      <c r="AL108" s="180" t="s">
        <v>304</v>
      </c>
      <c r="AM108" s="181"/>
      <c r="AN108" s="180" t="s">
        <v>304</v>
      </c>
      <c r="AO108" s="181"/>
      <c r="AP108" s="180" t="s">
        <v>304</v>
      </c>
      <c r="AQ108" s="181"/>
      <c r="AR108" s="186"/>
      <c r="AS108" s="187"/>
      <c r="AT108" s="186"/>
      <c r="AU108" s="187"/>
      <c r="AV108" s="186"/>
      <c r="AW108" s="187"/>
      <c r="AX108" s="186"/>
      <c r="AY108" s="187"/>
      <c r="AZ108" s="188"/>
      <c r="BA108" s="189"/>
    </row>
  </sheetData>
  <autoFilter ref="A2:BA108" xr:uid="{18766B76-D7D8-4FAC-B221-23A161974702}">
    <filterColumn colId="3">
      <filters>
        <filter val="DUNG"/>
      </filters>
    </filterColumn>
  </autoFilter>
  <conditionalFormatting sqref="O2:O9 O54:O1048576">
    <cfRule type="cellIs" dxfId="71" priority="7" operator="equal">
      <formula>"NO"</formula>
    </cfRule>
    <cfRule type="cellIs" dxfId="70" priority="8" operator="equal">
      <formula>"YES"</formula>
    </cfRule>
  </conditionalFormatting>
  <conditionalFormatting sqref="O11:O50">
    <cfRule type="cellIs" dxfId="69" priority="37" operator="equal">
      <formula>"NO"</formula>
    </cfRule>
    <cfRule type="cellIs" dxfId="68" priority="38" operator="equal">
      <formula>"YES"</formula>
    </cfRule>
  </conditionalFormatting>
  <conditionalFormatting sqref="V47:V48">
    <cfRule type="duplicateValues" dxfId="67" priority="13"/>
  </conditionalFormatting>
  <dataValidations count="1">
    <dataValidation allowBlank="1" showInputMessage="1" showErrorMessage="1" sqref="AE3:AE56 AG1:AG1048576 AQ1:AQ1048576 AO1:AO1048576 AM1:AM1048576 AK1:AK1048576 AI1:AI1048576" xr:uid="{DB27C901-4A17-46AE-8B0E-C84F3F544A96}"/>
  </dataValidation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E4E57E13-1142-4C3B-8162-F7249D808DA0}">
          <x14:formula1>
            <xm:f>'Drop list'!$A:$A</xm:f>
          </x14:formula1>
          <xm:sqref>O2:O9 O11:O50 O54:O1048576</xm:sqref>
        </x14:dataValidation>
        <x14:dataValidation type="list" allowBlank="1" showInputMessage="1" showErrorMessage="1" xr:uid="{9097A876-2DDB-47FA-ADDC-5EEF0A7AF4E3}">
          <x14:formula1>
            <xm:f>'Drop list'!$G:$G</xm:f>
          </x14:formula1>
          <xm:sqref>AE2 AE61:AE102 AJ2:AJ59 AL2:AL59 AL61:AL1048576 AJ61:AJ1048576 AH1:AH1048576 AF1:AF1048576 AN1:AN1048576 AP1:AP1048576 AD1:AD1048576 AE104:AE1048576</xm:sqref>
        </x14:dataValidation>
        <x14:dataValidation type="list" allowBlank="1" showInputMessage="1" showErrorMessage="1" xr:uid="{35AE6498-9BDA-4386-BDEC-E4FC64B60782}">
          <x14:formula1>
            <xm:f>'Drop list'!$B:$B</xm:f>
          </x14:formula1>
          <xm:sqref>J1:J1048576</xm:sqref>
        </x14:dataValidation>
        <x14:dataValidation type="list" allowBlank="1" showInputMessage="1" showErrorMessage="1" xr:uid="{720370B3-7D00-4423-925D-92372A067AFD}">
          <x14:formula1>
            <xm:f>'Drop list'!$E:$E</xm:f>
          </x14:formula1>
          <xm:sqref>C1:C1048576</xm:sqref>
        </x14:dataValidation>
        <x14:dataValidation type="list" allowBlank="1" showInputMessage="1" showErrorMessage="1" xr:uid="{062F9730-CB78-46DF-81C1-6FB30E7F82E8}">
          <x14:formula1>
            <xm:f>'Drop list'!$H:$H</xm:f>
          </x14:formula1>
          <xm:sqref>D1:D1048576</xm:sqref>
        </x14:dataValidation>
        <x14:dataValidation type="list" allowBlank="1" showInputMessage="1" showErrorMessage="1" xr:uid="{29FD8F67-2643-47AD-ACDE-20139B2C5AA1}">
          <x14:formula1>
            <xm:f>'Drop list'!$F:$F</xm:f>
          </x14:formula1>
          <xm:sqref>L1:L1048576</xm:sqref>
        </x14:dataValidation>
        <x14:dataValidation type="list" allowBlank="1" showInputMessage="1" showErrorMessage="1" xr:uid="{7D6472A1-061A-4727-945F-F9A1FA0D5CCF}">
          <x14:formula1>
            <xm:f>'Drop list'!$I:$I</xm:f>
          </x14:formula1>
          <xm:sqref>W1:W1048576</xm:sqref>
        </x14:dataValidation>
        <x14:dataValidation type="list" allowBlank="1" showInputMessage="1" showErrorMessage="1" xr:uid="{40ED5566-A113-4DBE-A040-746D5574BC64}">
          <x14:formula1>
            <xm:f>'Customer '!$A:$A</xm:f>
          </x14:formula1>
          <xm:sqref>E1:E1048576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60EF2-2A6A-466E-ADC3-42C20488B25C}">
  <dimension ref="A1:D36"/>
  <sheetViews>
    <sheetView zoomScale="90" zoomScaleNormal="90" workbookViewId="0">
      <selection activeCell="E32" sqref="E32"/>
    </sheetView>
  </sheetViews>
  <sheetFormatPr defaultRowHeight="14.5" x14ac:dyDescent="0.35"/>
  <cols>
    <col min="1" max="1" width="26.453125" customWidth="1"/>
    <col min="2" max="2" width="82.453125" customWidth="1"/>
    <col min="3" max="3" width="18.54296875" bestFit="1" customWidth="1"/>
    <col min="4" max="4" width="70.453125" customWidth="1"/>
    <col min="5" max="5" width="67.453125" customWidth="1"/>
  </cols>
  <sheetData>
    <row r="1" spans="1:4" x14ac:dyDescent="0.35">
      <c r="A1" s="118" t="s">
        <v>895</v>
      </c>
      <c r="B1" s="118" t="s">
        <v>896</v>
      </c>
      <c r="C1" s="118" t="s">
        <v>897</v>
      </c>
      <c r="D1" s="118" t="s">
        <v>898</v>
      </c>
    </row>
    <row r="2" spans="1:4" x14ac:dyDescent="0.35">
      <c r="A2" s="119" t="s">
        <v>899</v>
      </c>
      <c r="B2" s="119" t="s">
        <v>693</v>
      </c>
      <c r="C2" s="119" t="s">
        <v>900</v>
      </c>
      <c r="D2" s="119"/>
    </row>
    <row r="3" spans="1:4" x14ac:dyDescent="0.35">
      <c r="A3" s="119" t="s">
        <v>899</v>
      </c>
      <c r="B3" s="119" t="s">
        <v>901</v>
      </c>
      <c r="C3" s="119" t="s">
        <v>900</v>
      </c>
      <c r="D3" s="119"/>
    </row>
    <row r="4" spans="1:4" x14ac:dyDescent="0.35">
      <c r="A4" s="119" t="s">
        <v>899</v>
      </c>
      <c r="B4" s="119" t="s">
        <v>902</v>
      </c>
      <c r="C4" s="119" t="s">
        <v>900</v>
      </c>
      <c r="D4" s="119"/>
    </row>
    <row r="5" spans="1:4" x14ac:dyDescent="0.35">
      <c r="A5" s="119" t="s">
        <v>899</v>
      </c>
      <c r="B5" s="119" t="s">
        <v>903</v>
      </c>
      <c r="C5" s="119" t="s">
        <v>900</v>
      </c>
      <c r="D5" s="119"/>
    </row>
    <row r="6" spans="1:4" x14ac:dyDescent="0.35">
      <c r="A6" s="119" t="s">
        <v>899</v>
      </c>
      <c r="B6" s="119" t="s">
        <v>904</v>
      </c>
      <c r="C6" s="119" t="s">
        <v>900</v>
      </c>
      <c r="D6" s="119"/>
    </row>
    <row r="7" spans="1:4" x14ac:dyDescent="0.35">
      <c r="A7" s="119" t="s">
        <v>899</v>
      </c>
      <c r="B7" s="119" t="s">
        <v>905</v>
      </c>
      <c r="C7" s="119" t="s">
        <v>900</v>
      </c>
      <c r="D7" s="119"/>
    </row>
    <row r="8" spans="1:4" x14ac:dyDescent="0.35">
      <c r="A8" s="120" t="s">
        <v>906</v>
      </c>
      <c r="B8" s="120" t="s">
        <v>907</v>
      </c>
      <c r="C8" s="120" t="s">
        <v>477</v>
      </c>
      <c r="D8" s="120" t="s">
        <v>908</v>
      </c>
    </row>
    <row r="9" spans="1:4" x14ac:dyDescent="0.35">
      <c r="A9" s="120" t="s">
        <v>906</v>
      </c>
      <c r="B9" s="120" t="s">
        <v>909</v>
      </c>
      <c r="C9" s="120" t="s">
        <v>477</v>
      </c>
      <c r="D9" s="120" t="s">
        <v>910</v>
      </c>
    </row>
    <row r="10" spans="1:4" x14ac:dyDescent="0.35">
      <c r="A10" s="120" t="s">
        <v>906</v>
      </c>
      <c r="B10" s="120" t="s">
        <v>911</v>
      </c>
      <c r="C10" s="120" t="s">
        <v>477</v>
      </c>
      <c r="D10" s="120" t="s">
        <v>912</v>
      </c>
    </row>
    <row r="11" spans="1:4" x14ac:dyDescent="0.35">
      <c r="A11" s="120" t="s">
        <v>906</v>
      </c>
      <c r="B11" s="120" t="s">
        <v>913</v>
      </c>
      <c r="C11" s="120" t="s">
        <v>477</v>
      </c>
      <c r="D11" s="120" t="s">
        <v>914</v>
      </c>
    </row>
    <row r="12" spans="1:4" s="121" customFormat="1" x14ac:dyDescent="0.35">
      <c r="A12" s="120" t="s">
        <v>906</v>
      </c>
      <c r="B12" s="120" t="s">
        <v>915</v>
      </c>
      <c r="C12" s="120" t="s">
        <v>477</v>
      </c>
      <c r="D12" s="120" t="s">
        <v>916</v>
      </c>
    </row>
    <row r="13" spans="1:4" s="121" customFormat="1" x14ac:dyDescent="0.35">
      <c r="A13" s="120" t="s">
        <v>906</v>
      </c>
      <c r="B13" s="120" t="s">
        <v>917</v>
      </c>
      <c r="C13" s="120" t="s">
        <v>309</v>
      </c>
      <c r="D13" s="120" t="s">
        <v>918</v>
      </c>
    </row>
    <row r="14" spans="1:4" s="121" customFormat="1" x14ac:dyDescent="0.35">
      <c r="A14" s="120" t="s">
        <v>906</v>
      </c>
      <c r="B14" s="120" t="s">
        <v>919</v>
      </c>
      <c r="C14" s="120" t="s">
        <v>309</v>
      </c>
      <c r="D14" s="120" t="s">
        <v>920</v>
      </c>
    </row>
    <row r="15" spans="1:4" s="121" customFormat="1" x14ac:dyDescent="0.35">
      <c r="A15" s="120" t="s">
        <v>906</v>
      </c>
      <c r="B15" s="120" t="s">
        <v>921</v>
      </c>
      <c r="C15" s="120" t="s">
        <v>309</v>
      </c>
      <c r="D15" s="120" t="s">
        <v>922</v>
      </c>
    </row>
    <row r="16" spans="1:4" s="121" customFormat="1" x14ac:dyDescent="0.35">
      <c r="A16" s="120" t="s">
        <v>906</v>
      </c>
      <c r="B16" s="120" t="s">
        <v>923</v>
      </c>
      <c r="C16" s="120" t="s">
        <v>309</v>
      </c>
      <c r="D16" s="120" t="s">
        <v>924</v>
      </c>
    </row>
    <row r="17" spans="1:4" s="121" customFormat="1" x14ac:dyDescent="0.35">
      <c r="A17" s="120" t="s">
        <v>906</v>
      </c>
      <c r="B17" s="120" t="s">
        <v>925</v>
      </c>
      <c r="C17" s="120" t="s">
        <v>477</v>
      </c>
      <c r="D17" s="120"/>
    </row>
    <row r="18" spans="1:4" s="121" customFormat="1" x14ac:dyDescent="0.35">
      <c r="A18" s="120" t="s">
        <v>906</v>
      </c>
      <c r="B18" s="120" t="s">
        <v>926</v>
      </c>
      <c r="C18" s="120" t="s">
        <v>477</v>
      </c>
      <c r="D18" s="120"/>
    </row>
    <row r="19" spans="1:4" s="121" customFormat="1" x14ac:dyDescent="0.35">
      <c r="A19" s="120" t="s">
        <v>906</v>
      </c>
      <c r="B19" s="120"/>
      <c r="C19" s="120" t="s">
        <v>477</v>
      </c>
      <c r="D19" s="120"/>
    </row>
    <row r="20" spans="1:4" x14ac:dyDescent="0.35">
      <c r="A20" s="119" t="s">
        <v>52</v>
      </c>
      <c r="B20" s="119" t="s">
        <v>927</v>
      </c>
      <c r="C20" s="119" t="s">
        <v>309</v>
      </c>
      <c r="D20" s="119" t="s">
        <v>928</v>
      </c>
    </row>
    <row r="21" spans="1:4" x14ac:dyDescent="0.35">
      <c r="A21" s="119" t="s">
        <v>52</v>
      </c>
      <c r="B21" s="119" t="s">
        <v>929</v>
      </c>
      <c r="C21" s="119" t="s">
        <v>309</v>
      </c>
      <c r="D21" s="119" t="s">
        <v>930</v>
      </c>
    </row>
    <row r="22" spans="1:4" x14ac:dyDescent="0.35">
      <c r="A22" s="119" t="s">
        <v>931</v>
      </c>
      <c r="B22" s="119" t="s">
        <v>932</v>
      </c>
      <c r="C22" s="119" t="s">
        <v>309</v>
      </c>
      <c r="D22" s="119" t="s">
        <v>933</v>
      </c>
    </row>
    <row r="23" spans="1:4" x14ac:dyDescent="0.35">
      <c r="A23" s="119" t="s">
        <v>934</v>
      </c>
      <c r="B23" s="119" t="s">
        <v>935</v>
      </c>
      <c r="C23" s="119" t="s">
        <v>309</v>
      </c>
      <c r="D23" s="119" t="s">
        <v>936</v>
      </c>
    </row>
    <row r="24" spans="1:4" x14ac:dyDescent="0.35">
      <c r="A24" s="119" t="s">
        <v>934</v>
      </c>
      <c r="B24" s="119" t="s">
        <v>937</v>
      </c>
      <c r="C24" s="119" t="s">
        <v>309</v>
      </c>
      <c r="D24" s="119" t="s">
        <v>938</v>
      </c>
    </row>
    <row r="25" spans="1:4" x14ac:dyDescent="0.35">
      <c r="A25" s="119" t="s">
        <v>934</v>
      </c>
      <c r="B25" s="119" t="s">
        <v>185</v>
      </c>
      <c r="C25" s="119" t="s">
        <v>309</v>
      </c>
      <c r="D25" s="119" t="s">
        <v>939</v>
      </c>
    </row>
    <row r="26" spans="1:4" x14ac:dyDescent="0.35">
      <c r="A26" s="119" t="s">
        <v>201</v>
      </c>
      <c r="B26" s="119" t="s">
        <v>940</v>
      </c>
      <c r="C26" s="119" t="s">
        <v>941</v>
      </c>
      <c r="D26" s="119" t="s">
        <v>942</v>
      </c>
    </row>
    <row r="27" spans="1:4" x14ac:dyDescent="0.35">
      <c r="A27" s="119" t="s">
        <v>201</v>
      </c>
      <c r="B27" s="119" t="s">
        <v>943</v>
      </c>
      <c r="C27" s="119" t="s">
        <v>941</v>
      </c>
      <c r="D27" s="119" t="s">
        <v>942</v>
      </c>
    </row>
    <row r="28" spans="1:4" x14ac:dyDescent="0.35">
      <c r="A28" s="119" t="s">
        <v>201</v>
      </c>
      <c r="B28" s="119" t="s">
        <v>944</v>
      </c>
      <c r="C28" s="119"/>
      <c r="D28" s="119"/>
    </row>
    <row r="29" spans="1:4" x14ac:dyDescent="0.35">
      <c r="A29" s="119" t="s">
        <v>945</v>
      </c>
      <c r="B29" s="119" t="s">
        <v>946</v>
      </c>
      <c r="C29" s="119" t="s">
        <v>477</v>
      </c>
      <c r="D29" s="119" t="s">
        <v>947</v>
      </c>
    </row>
    <row r="30" spans="1:4" x14ac:dyDescent="0.35">
      <c r="A30" s="119" t="s">
        <v>945</v>
      </c>
      <c r="B30" s="119"/>
      <c r="C30" s="119" t="s">
        <v>948</v>
      </c>
      <c r="D30" s="119" t="s">
        <v>949</v>
      </c>
    </row>
    <row r="31" spans="1:4" x14ac:dyDescent="0.35">
      <c r="A31" s="119" t="s">
        <v>945</v>
      </c>
      <c r="B31" s="119" t="s">
        <v>950</v>
      </c>
      <c r="C31" s="119" t="s">
        <v>948</v>
      </c>
      <c r="D31" s="119" t="s">
        <v>949</v>
      </c>
    </row>
    <row r="32" spans="1:4" x14ac:dyDescent="0.35">
      <c r="A32" s="119" t="s">
        <v>945</v>
      </c>
      <c r="B32" s="119" t="s">
        <v>951</v>
      </c>
      <c r="C32" s="119"/>
      <c r="D32" s="119"/>
    </row>
    <row r="33" spans="1:4" x14ac:dyDescent="0.35">
      <c r="A33" s="119" t="s">
        <v>945</v>
      </c>
      <c r="B33" s="119" t="s">
        <v>952</v>
      </c>
      <c r="C33" s="119"/>
      <c r="D33" s="119"/>
    </row>
    <row r="34" spans="1:4" x14ac:dyDescent="0.35">
      <c r="A34" s="119" t="s">
        <v>945</v>
      </c>
      <c r="B34" s="119" t="s">
        <v>953</v>
      </c>
      <c r="C34" s="119"/>
      <c r="D34" s="119"/>
    </row>
    <row r="35" spans="1:4" x14ac:dyDescent="0.35">
      <c r="A35" s="119" t="s">
        <v>945</v>
      </c>
      <c r="B35" s="119" t="s">
        <v>954</v>
      </c>
      <c r="C35" s="119"/>
      <c r="D35" s="119"/>
    </row>
    <row r="36" spans="1:4" x14ac:dyDescent="0.35">
      <c r="A36" s="119" t="s">
        <v>955</v>
      </c>
      <c r="B36" s="119" t="s">
        <v>956</v>
      </c>
      <c r="C36" s="119" t="s">
        <v>957</v>
      </c>
      <c r="D36" s="119" t="s">
        <v>958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E44BC-B40C-42EB-8C14-55510B5F6028}">
  <dimension ref="A1:P107"/>
  <sheetViews>
    <sheetView zoomScale="70" zoomScaleNormal="70" workbookViewId="0">
      <pane xSplit="1" ySplit="2" topLeftCell="B85" activePane="bottomRight" state="frozen"/>
      <selection pane="topRight" activeCell="B1" sqref="B1"/>
      <selection pane="bottomLeft" activeCell="A2" sqref="A2"/>
      <selection pane="bottomRight" activeCell="D97" sqref="D97"/>
    </sheetView>
  </sheetViews>
  <sheetFormatPr defaultColWidth="8.54296875" defaultRowHeight="20" outlineLevelCol="1" x14ac:dyDescent="0.7"/>
  <cols>
    <col min="1" max="2" width="14.453125" style="39" customWidth="1"/>
    <col min="3" max="3" width="14.54296875" style="39" customWidth="1" outlineLevel="1"/>
    <col min="4" max="5" width="12.54296875" style="39" bestFit="1" customWidth="1"/>
    <col min="6" max="6" width="13.453125" style="39" bestFit="1" customWidth="1"/>
    <col min="7" max="8" width="17" style="39" customWidth="1"/>
    <col min="9" max="9" width="41.453125" style="39" customWidth="1"/>
    <col min="10" max="10" width="13.453125" style="41" customWidth="1"/>
    <col min="11" max="11" width="15.54296875" style="41" customWidth="1"/>
    <col min="12" max="14" width="8.54296875" style="41"/>
    <col min="15" max="16" width="10.7265625" style="41" bestFit="1" customWidth="1"/>
    <col min="17" max="16384" width="8.54296875" style="41"/>
  </cols>
  <sheetData>
    <row r="1" spans="1:10" x14ac:dyDescent="0.7">
      <c r="G1" s="40">
        <f>SUM(G4:G55)</f>
        <v>47.733333333333341</v>
      </c>
    </row>
    <row r="2" spans="1:10" s="43" customFormat="1" ht="36" customHeight="1" x14ac:dyDescent="0.35">
      <c r="A2" s="42" t="s">
        <v>959</v>
      </c>
      <c r="B2" s="42" t="s">
        <v>960</v>
      </c>
      <c r="C2" s="42" t="s">
        <v>961</v>
      </c>
      <c r="D2" s="214" t="s">
        <v>962</v>
      </c>
      <c r="E2" s="42" t="s">
        <v>963</v>
      </c>
      <c r="F2" s="42" t="s">
        <v>960</v>
      </c>
      <c r="G2" s="42" t="s">
        <v>964</v>
      </c>
      <c r="H2" s="42" t="s">
        <v>965</v>
      </c>
      <c r="I2" s="42" t="s">
        <v>966</v>
      </c>
    </row>
    <row r="3" spans="1:10" x14ac:dyDescent="0.7">
      <c r="A3" s="44"/>
      <c r="B3" s="44"/>
      <c r="C3" s="45" t="s">
        <v>967</v>
      </c>
      <c r="D3" s="45"/>
      <c r="E3" s="45" t="s">
        <v>968</v>
      </c>
      <c r="F3" s="46"/>
      <c r="G3" s="46"/>
      <c r="H3" s="46"/>
      <c r="I3" s="46"/>
    </row>
    <row r="4" spans="1:10" x14ac:dyDescent="0.7">
      <c r="A4" s="44" t="s">
        <v>969</v>
      </c>
      <c r="B4" s="44" t="s">
        <v>378</v>
      </c>
      <c r="C4" s="47">
        <v>46020</v>
      </c>
      <c r="D4" s="47">
        <f t="shared" ref="D4:D38" si="0">E4-2</f>
        <v>46024</v>
      </c>
      <c r="E4" s="47">
        <f>C4+6</f>
        <v>46026</v>
      </c>
      <c r="F4" s="48" t="s">
        <v>970</v>
      </c>
      <c r="G4" s="49">
        <f>5/6</f>
        <v>0.83333333333333337</v>
      </c>
      <c r="H4" s="49">
        <f t="shared" ref="H4:H35" si="1">SUMIF(F:F,F4,G:G)</f>
        <v>9.4166666666666679</v>
      </c>
      <c r="I4" s="48" t="s">
        <v>971</v>
      </c>
    </row>
    <row r="5" spans="1:10" x14ac:dyDescent="0.7">
      <c r="A5" s="44" t="s">
        <v>972</v>
      </c>
      <c r="B5" s="44" t="s">
        <v>378</v>
      </c>
      <c r="C5" s="47">
        <f t="shared" ref="C5:C36" si="2">C4+7</f>
        <v>46027</v>
      </c>
      <c r="D5" s="47">
        <f t="shared" si="0"/>
        <v>46031</v>
      </c>
      <c r="E5" s="47">
        <f t="shared" ref="E5:E36" si="3">E4+7</f>
        <v>46033</v>
      </c>
      <c r="F5" s="48" t="s">
        <v>970</v>
      </c>
      <c r="G5" s="49">
        <f>6/6</f>
        <v>1</v>
      </c>
      <c r="H5" s="49">
        <f t="shared" si="1"/>
        <v>9.4166666666666679</v>
      </c>
      <c r="I5" s="48"/>
    </row>
    <row r="6" spans="1:10" x14ac:dyDescent="0.7">
      <c r="A6" s="44" t="s">
        <v>973</v>
      </c>
      <c r="B6" s="44" t="s">
        <v>378</v>
      </c>
      <c r="C6" s="47">
        <f t="shared" si="2"/>
        <v>46034</v>
      </c>
      <c r="D6" s="47">
        <f t="shared" si="0"/>
        <v>46038</v>
      </c>
      <c r="E6" s="47">
        <f t="shared" si="3"/>
        <v>46040</v>
      </c>
      <c r="F6" s="48" t="s">
        <v>970</v>
      </c>
      <c r="G6" s="49">
        <f>6/6</f>
        <v>1</v>
      </c>
      <c r="H6" s="49">
        <f t="shared" si="1"/>
        <v>9.4166666666666679</v>
      </c>
      <c r="I6" s="48"/>
    </row>
    <row r="7" spans="1:10" x14ac:dyDescent="0.7">
      <c r="A7" s="44" t="s">
        <v>974</v>
      </c>
      <c r="B7" s="44" t="s">
        <v>378</v>
      </c>
      <c r="C7" s="47">
        <f t="shared" si="2"/>
        <v>46041</v>
      </c>
      <c r="D7" s="47">
        <f t="shared" si="0"/>
        <v>46045</v>
      </c>
      <c r="E7" s="47">
        <f t="shared" si="3"/>
        <v>46047</v>
      </c>
      <c r="F7" s="48" t="s">
        <v>970</v>
      </c>
      <c r="G7" s="49">
        <f>6/6</f>
        <v>1</v>
      </c>
      <c r="H7" s="49">
        <f t="shared" si="1"/>
        <v>9.4166666666666679</v>
      </c>
      <c r="I7" s="48"/>
    </row>
    <row r="8" spans="1:10" x14ac:dyDescent="0.7">
      <c r="A8" s="44" t="s">
        <v>975</v>
      </c>
      <c r="B8" s="44" t="s">
        <v>378</v>
      </c>
      <c r="C8" s="47">
        <f t="shared" si="2"/>
        <v>46048</v>
      </c>
      <c r="D8" s="47">
        <f t="shared" si="0"/>
        <v>46052</v>
      </c>
      <c r="E8" s="47">
        <f t="shared" si="3"/>
        <v>46054</v>
      </c>
      <c r="F8" s="48" t="s">
        <v>970</v>
      </c>
      <c r="G8" s="49">
        <f>6/6</f>
        <v>1</v>
      </c>
      <c r="H8" s="49">
        <f t="shared" si="1"/>
        <v>9.4166666666666679</v>
      </c>
      <c r="I8" s="48"/>
    </row>
    <row r="9" spans="1:10" x14ac:dyDescent="0.7">
      <c r="A9" s="44" t="s">
        <v>976</v>
      </c>
      <c r="B9" s="44" t="s">
        <v>400</v>
      </c>
      <c r="C9" s="47">
        <f t="shared" si="2"/>
        <v>46055</v>
      </c>
      <c r="D9" s="47">
        <f t="shared" si="0"/>
        <v>46059</v>
      </c>
      <c r="E9" s="47">
        <f t="shared" si="3"/>
        <v>46061</v>
      </c>
      <c r="F9" s="48" t="s">
        <v>977</v>
      </c>
      <c r="G9" s="49">
        <f>6/6*85%</f>
        <v>0.85</v>
      </c>
      <c r="H9" s="49">
        <f t="shared" si="1"/>
        <v>2.9</v>
      </c>
      <c r="I9" s="48" t="s">
        <v>978</v>
      </c>
    </row>
    <row r="10" spans="1:10" x14ac:dyDescent="0.7">
      <c r="A10" s="50" t="s">
        <v>979</v>
      </c>
      <c r="B10" s="50" t="s">
        <v>400</v>
      </c>
      <c r="C10" s="51">
        <f t="shared" si="2"/>
        <v>46062</v>
      </c>
      <c r="D10" s="51">
        <f t="shared" si="0"/>
        <v>46066</v>
      </c>
      <c r="E10" s="51">
        <f t="shared" si="3"/>
        <v>46068</v>
      </c>
      <c r="F10" s="52" t="s">
        <v>977</v>
      </c>
      <c r="G10" s="53">
        <v>0.3</v>
      </c>
      <c r="H10" s="53">
        <f t="shared" si="1"/>
        <v>2.9</v>
      </c>
      <c r="I10" s="52" t="s">
        <v>980</v>
      </c>
    </row>
    <row r="11" spans="1:10" x14ac:dyDescent="0.7">
      <c r="A11" s="54" t="s">
        <v>981</v>
      </c>
      <c r="B11" s="54" t="s">
        <v>400</v>
      </c>
      <c r="C11" s="55">
        <f t="shared" si="2"/>
        <v>46069</v>
      </c>
      <c r="D11" s="55">
        <f t="shared" si="0"/>
        <v>46073</v>
      </c>
      <c r="E11" s="55">
        <f t="shared" si="3"/>
        <v>46075</v>
      </c>
      <c r="F11" s="56" t="s">
        <v>977</v>
      </c>
      <c r="G11" s="57">
        <v>0</v>
      </c>
      <c r="H11" s="57">
        <f t="shared" si="1"/>
        <v>2.9</v>
      </c>
      <c r="I11" s="56" t="s">
        <v>982</v>
      </c>
    </row>
    <row r="12" spans="1:10" x14ac:dyDescent="0.7">
      <c r="A12" s="50" t="s">
        <v>983</v>
      </c>
      <c r="B12" s="50" t="s">
        <v>400</v>
      </c>
      <c r="C12" s="51">
        <f t="shared" si="2"/>
        <v>46076</v>
      </c>
      <c r="D12" s="51">
        <f t="shared" si="0"/>
        <v>46080</v>
      </c>
      <c r="E12" s="51">
        <f t="shared" si="3"/>
        <v>46082</v>
      </c>
      <c r="F12" s="52" t="s">
        <v>977</v>
      </c>
      <c r="G12" s="53">
        <v>0</v>
      </c>
      <c r="H12" s="53">
        <f t="shared" si="1"/>
        <v>2.9</v>
      </c>
      <c r="I12" s="52" t="s">
        <v>984</v>
      </c>
      <c r="J12" s="41" t="s">
        <v>985</v>
      </c>
    </row>
    <row r="13" spans="1:10" x14ac:dyDescent="0.7">
      <c r="A13" s="44" t="s">
        <v>986</v>
      </c>
      <c r="B13" s="44" t="s">
        <v>321</v>
      </c>
      <c r="C13" s="47">
        <f t="shared" si="2"/>
        <v>46083</v>
      </c>
      <c r="D13" s="47">
        <f t="shared" si="0"/>
        <v>46087</v>
      </c>
      <c r="E13" s="47">
        <f t="shared" si="3"/>
        <v>46089</v>
      </c>
      <c r="F13" s="48" t="s">
        <v>987</v>
      </c>
      <c r="G13" s="49">
        <f>6/6*85%</f>
        <v>0.85</v>
      </c>
      <c r="H13" s="49">
        <f t="shared" si="1"/>
        <v>7.85</v>
      </c>
      <c r="I13" s="48" t="s">
        <v>988</v>
      </c>
    </row>
    <row r="14" spans="1:10" x14ac:dyDescent="0.7">
      <c r="A14" s="58" t="s">
        <v>989</v>
      </c>
      <c r="B14" s="58" t="s">
        <v>321</v>
      </c>
      <c r="C14" s="59">
        <f t="shared" si="2"/>
        <v>46090</v>
      </c>
      <c r="D14" s="59">
        <f t="shared" si="0"/>
        <v>46094</v>
      </c>
      <c r="E14" s="59">
        <f t="shared" si="3"/>
        <v>46096</v>
      </c>
      <c r="F14" s="60" t="s">
        <v>987</v>
      </c>
      <c r="G14" s="61">
        <f t="shared" ref="G14:G20" si="4">6/6</f>
        <v>1</v>
      </c>
      <c r="H14" s="61">
        <f t="shared" si="1"/>
        <v>7.85</v>
      </c>
      <c r="I14" s="60"/>
    </row>
    <row r="15" spans="1:10" x14ac:dyDescent="0.7">
      <c r="A15" s="44" t="s">
        <v>886</v>
      </c>
      <c r="B15" s="44" t="s">
        <v>321</v>
      </c>
      <c r="C15" s="47">
        <f t="shared" si="2"/>
        <v>46097</v>
      </c>
      <c r="D15" s="47">
        <f t="shared" si="0"/>
        <v>46101</v>
      </c>
      <c r="E15" s="47">
        <f t="shared" si="3"/>
        <v>46103</v>
      </c>
      <c r="F15" s="48" t="s">
        <v>987</v>
      </c>
      <c r="G15" s="49">
        <f t="shared" si="4"/>
        <v>1</v>
      </c>
      <c r="H15" s="49">
        <f t="shared" si="1"/>
        <v>7.85</v>
      </c>
      <c r="I15" s="48"/>
    </row>
    <row r="16" spans="1:10" x14ac:dyDescent="0.7">
      <c r="A16" s="44" t="s">
        <v>322</v>
      </c>
      <c r="B16" s="44" t="s">
        <v>321</v>
      </c>
      <c r="C16" s="47">
        <f t="shared" si="2"/>
        <v>46104</v>
      </c>
      <c r="D16" s="47">
        <f t="shared" si="0"/>
        <v>46108</v>
      </c>
      <c r="E16" s="47">
        <f t="shared" si="3"/>
        <v>46110</v>
      </c>
      <c r="F16" s="48" t="s">
        <v>987</v>
      </c>
      <c r="G16" s="49">
        <f t="shared" si="4"/>
        <v>1</v>
      </c>
      <c r="H16" s="49">
        <f t="shared" si="1"/>
        <v>7.85</v>
      </c>
      <c r="I16" s="48"/>
    </row>
    <row r="17" spans="1:10" x14ac:dyDescent="0.7">
      <c r="A17" s="44" t="s">
        <v>864</v>
      </c>
      <c r="B17" s="44" t="s">
        <v>294</v>
      </c>
      <c r="C17" s="47">
        <f t="shared" si="2"/>
        <v>46111</v>
      </c>
      <c r="D17" s="47">
        <f t="shared" si="0"/>
        <v>46115</v>
      </c>
      <c r="E17" s="47">
        <f t="shared" si="3"/>
        <v>46117</v>
      </c>
      <c r="F17" s="48" t="s">
        <v>347</v>
      </c>
      <c r="G17" s="49">
        <f t="shared" si="4"/>
        <v>1</v>
      </c>
      <c r="H17" s="49">
        <f t="shared" si="1"/>
        <v>8.9</v>
      </c>
      <c r="I17" s="48"/>
    </row>
    <row r="18" spans="1:10" x14ac:dyDescent="0.7">
      <c r="A18" s="44" t="s">
        <v>867</v>
      </c>
      <c r="B18" s="44" t="s">
        <v>294</v>
      </c>
      <c r="C18" s="47">
        <f t="shared" si="2"/>
        <v>46118</v>
      </c>
      <c r="D18" s="47">
        <f t="shared" si="0"/>
        <v>46122</v>
      </c>
      <c r="E18" s="47">
        <f t="shared" si="3"/>
        <v>46124</v>
      </c>
      <c r="F18" s="48" t="s">
        <v>347</v>
      </c>
      <c r="G18" s="49">
        <f t="shared" si="4"/>
        <v>1</v>
      </c>
      <c r="H18" s="49">
        <f t="shared" si="1"/>
        <v>8.9</v>
      </c>
      <c r="I18" s="48"/>
    </row>
    <row r="19" spans="1:10" x14ac:dyDescent="0.7">
      <c r="A19" s="44" t="s">
        <v>878</v>
      </c>
      <c r="B19" s="44" t="s">
        <v>294</v>
      </c>
      <c r="C19" s="47">
        <f t="shared" si="2"/>
        <v>46125</v>
      </c>
      <c r="D19" s="47">
        <f t="shared" si="0"/>
        <v>46129</v>
      </c>
      <c r="E19" s="47">
        <f t="shared" si="3"/>
        <v>46131</v>
      </c>
      <c r="F19" s="48" t="s">
        <v>347</v>
      </c>
      <c r="G19" s="49">
        <f t="shared" si="4"/>
        <v>1</v>
      </c>
      <c r="H19" s="49">
        <f t="shared" si="1"/>
        <v>8.9</v>
      </c>
      <c r="I19" s="48"/>
    </row>
    <row r="20" spans="1:10" x14ac:dyDescent="0.7">
      <c r="A20" s="44" t="s">
        <v>990</v>
      </c>
      <c r="B20" s="44" t="s">
        <v>294</v>
      </c>
      <c r="C20" s="47">
        <f t="shared" si="2"/>
        <v>46132</v>
      </c>
      <c r="D20" s="47">
        <f t="shared" si="0"/>
        <v>46136</v>
      </c>
      <c r="E20" s="47">
        <f t="shared" si="3"/>
        <v>46138</v>
      </c>
      <c r="F20" s="48" t="s">
        <v>347</v>
      </c>
      <c r="G20" s="49">
        <f t="shared" si="4"/>
        <v>1</v>
      </c>
      <c r="H20" s="49">
        <f t="shared" si="1"/>
        <v>8.9</v>
      </c>
      <c r="I20" s="48"/>
    </row>
    <row r="21" spans="1:10" s="67" customFormat="1" ht="40" x14ac:dyDescent="0.35">
      <c r="A21" s="62" t="s">
        <v>874</v>
      </c>
      <c r="B21" s="62" t="s">
        <v>294</v>
      </c>
      <c r="C21" s="63">
        <f t="shared" si="2"/>
        <v>46139</v>
      </c>
      <c r="D21" s="63">
        <f t="shared" si="0"/>
        <v>46143</v>
      </c>
      <c r="E21" s="63">
        <f t="shared" si="3"/>
        <v>46145</v>
      </c>
      <c r="F21" s="64" t="s">
        <v>347</v>
      </c>
      <c r="G21" s="65">
        <v>0.4</v>
      </c>
      <c r="H21" s="65">
        <f t="shared" si="1"/>
        <v>8.9</v>
      </c>
      <c r="I21" s="66" t="s">
        <v>991</v>
      </c>
    </row>
    <row r="22" spans="1:10" x14ac:dyDescent="0.7">
      <c r="A22" s="44" t="s">
        <v>880</v>
      </c>
      <c r="B22" s="44" t="s">
        <v>277</v>
      </c>
      <c r="C22" s="47">
        <f t="shared" si="2"/>
        <v>46146</v>
      </c>
      <c r="D22" s="47">
        <f t="shared" si="0"/>
        <v>46150</v>
      </c>
      <c r="E22" s="47">
        <f t="shared" si="3"/>
        <v>46152</v>
      </c>
      <c r="F22" s="48" t="s">
        <v>108</v>
      </c>
      <c r="G22" s="49">
        <f t="shared" ref="G22:G38" si="5">6/6</f>
        <v>1</v>
      </c>
      <c r="H22" s="49">
        <f t="shared" si="1"/>
        <v>8</v>
      </c>
      <c r="I22" s="48"/>
      <c r="J22" s="168"/>
    </row>
    <row r="23" spans="1:10" x14ac:dyDescent="0.7">
      <c r="A23" s="44" t="s">
        <v>884</v>
      </c>
      <c r="B23" s="44" t="s">
        <v>277</v>
      </c>
      <c r="C23" s="47">
        <f t="shared" si="2"/>
        <v>46153</v>
      </c>
      <c r="D23" s="47">
        <f t="shared" si="0"/>
        <v>46157</v>
      </c>
      <c r="E23" s="47">
        <f t="shared" si="3"/>
        <v>46159</v>
      </c>
      <c r="F23" s="48" t="s">
        <v>108</v>
      </c>
      <c r="G23" s="49">
        <f t="shared" si="5"/>
        <v>1</v>
      </c>
      <c r="H23" s="49">
        <f t="shared" si="1"/>
        <v>8</v>
      </c>
      <c r="I23" s="48"/>
    </row>
    <row r="24" spans="1:10" x14ac:dyDescent="0.7">
      <c r="A24" s="44" t="s">
        <v>885</v>
      </c>
      <c r="B24" s="44" t="s">
        <v>277</v>
      </c>
      <c r="C24" s="47">
        <f t="shared" si="2"/>
        <v>46160</v>
      </c>
      <c r="D24" s="47">
        <f t="shared" si="0"/>
        <v>46164</v>
      </c>
      <c r="E24" s="47">
        <f t="shared" si="3"/>
        <v>46166</v>
      </c>
      <c r="F24" s="48" t="s">
        <v>108</v>
      </c>
      <c r="G24" s="49">
        <f t="shared" si="5"/>
        <v>1</v>
      </c>
      <c r="H24" s="49">
        <f t="shared" si="1"/>
        <v>8</v>
      </c>
      <c r="I24" s="48"/>
      <c r="J24" s="168"/>
    </row>
    <row r="25" spans="1:10" x14ac:dyDescent="0.7">
      <c r="A25" s="44" t="s">
        <v>862</v>
      </c>
      <c r="B25" s="44" t="s">
        <v>277</v>
      </c>
      <c r="C25" s="47">
        <f t="shared" si="2"/>
        <v>46167</v>
      </c>
      <c r="D25" s="47">
        <f t="shared" si="0"/>
        <v>46171</v>
      </c>
      <c r="E25" s="47">
        <f t="shared" si="3"/>
        <v>46173</v>
      </c>
      <c r="F25" s="48" t="s">
        <v>108</v>
      </c>
      <c r="G25" s="49">
        <f t="shared" si="5"/>
        <v>1</v>
      </c>
      <c r="H25" s="49">
        <f t="shared" si="1"/>
        <v>8</v>
      </c>
      <c r="I25" s="48"/>
    </row>
    <row r="26" spans="1:10" x14ac:dyDescent="0.7">
      <c r="A26" s="44" t="s">
        <v>871</v>
      </c>
      <c r="B26" s="44" t="s">
        <v>280</v>
      </c>
      <c r="C26" s="47">
        <f t="shared" si="2"/>
        <v>46174</v>
      </c>
      <c r="D26" s="47">
        <f t="shared" si="0"/>
        <v>46178</v>
      </c>
      <c r="E26" s="47">
        <f t="shared" si="3"/>
        <v>46180</v>
      </c>
      <c r="F26" s="48" t="s">
        <v>992</v>
      </c>
      <c r="G26" s="49">
        <f t="shared" si="5"/>
        <v>1</v>
      </c>
      <c r="H26" s="49">
        <f t="shared" si="1"/>
        <v>8</v>
      </c>
      <c r="I26" s="48"/>
    </row>
    <row r="27" spans="1:10" x14ac:dyDescent="0.7">
      <c r="A27" s="44" t="s">
        <v>869</v>
      </c>
      <c r="B27" s="44" t="s">
        <v>280</v>
      </c>
      <c r="C27" s="47">
        <f t="shared" si="2"/>
        <v>46181</v>
      </c>
      <c r="D27" s="47">
        <f t="shared" si="0"/>
        <v>46185</v>
      </c>
      <c r="E27" s="47">
        <f t="shared" si="3"/>
        <v>46187</v>
      </c>
      <c r="F27" s="48" t="s">
        <v>992</v>
      </c>
      <c r="G27" s="49">
        <f t="shared" si="5"/>
        <v>1</v>
      </c>
      <c r="H27" s="49">
        <f t="shared" si="1"/>
        <v>8</v>
      </c>
      <c r="I27" s="48"/>
      <c r="J27" s="127"/>
    </row>
    <row r="28" spans="1:10" x14ac:dyDescent="0.7">
      <c r="A28" s="44" t="s">
        <v>993</v>
      </c>
      <c r="B28" s="44" t="s">
        <v>280</v>
      </c>
      <c r="C28" s="47">
        <f t="shared" si="2"/>
        <v>46188</v>
      </c>
      <c r="D28" s="47">
        <f t="shared" si="0"/>
        <v>46192</v>
      </c>
      <c r="E28" s="47">
        <f t="shared" si="3"/>
        <v>46194</v>
      </c>
      <c r="F28" s="48" t="s">
        <v>992</v>
      </c>
      <c r="G28" s="49">
        <f t="shared" si="5"/>
        <v>1</v>
      </c>
      <c r="H28" s="49">
        <f t="shared" si="1"/>
        <v>8</v>
      </c>
      <c r="I28" s="48"/>
    </row>
    <row r="29" spans="1:10" x14ac:dyDescent="0.7">
      <c r="A29" s="44" t="s">
        <v>887</v>
      </c>
      <c r="B29" s="44" t="s">
        <v>280</v>
      </c>
      <c r="C29" s="47">
        <f t="shared" si="2"/>
        <v>46195</v>
      </c>
      <c r="D29" s="47">
        <f t="shared" si="0"/>
        <v>46199</v>
      </c>
      <c r="E29" s="47">
        <f t="shared" si="3"/>
        <v>46201</v>
      </c>
      <c r="F29" s="48" t="s">
        <v>992</v>
      </c>
      <c r="G29" s="49">
        <f t="shared" si="5"/>
        <v>1</v>
      </c>
      <c r="H29" s="49">
        <f t="shared" si="1"/>
        <v>8</v>
      </c>
      <c r="I29" s="48"/>
      <c r="J29" s="111"/>
    </row>
    <row r="30" spans="1:10" x14ac:dyDescent="0.7">
      <c r="A30" s="44" t="s">
        <v>889</v>
      </c>
      <c r="B30" s="44" t="s">
        <v>281</v>
      </c>
      <c r="C30" s="47">
        <f t="shared" si="2"/>
        <v>46202</v>
      </c>
      <c r="D30" s="47">
        <f t="shared" si="0"/>
        <v>46206</v>
      </c>
      <c r="E30" s="47">
        <f t="shared" si="3"/>
        <v>46208</v>
      </c>
      <c r="F30" s="48" t="s">
        <v>994</v>
      </c>
      <c r="G30" s="49">
        <f t="shared" si="5"/>
        <v>1</v>
      </c>
      <c r="H30" s="49">
        <f t="shared" si="1"/>
        <v>10</v>
      </c>
      <c r="I30" s="48"/>
      <c r="J30" s="111"/>
    </row>
    <row r="31" spans="1:10" x14ac:dyDescent="0.7">
      <c r="A31" s="44" t="s">
        <v>995</v>
      </c>
      <c r="B31" s="44" t="s">
        <v>281</v>
      </c>
      <c r="C31" s="47">
        <f t="shared" si="2"/>
        <v>46209</v>
      </c>
      <c r="D31" s="47">
        <f t="shared" si="0"/>
        <v>46213</v>
      </c>
      <c r="E31" s="47">
        <f t="shared" si="3"/>
        <v>46215</v>
      </c>
      <c r="F31" s="48" t="s">
        <v>994</v>
      </c>
      <c r="G31" s="49">
        <f t="shared" si="5"/>
        <v>1</v>
      </c>
      <c r="H31" s="49">
        <f t="shared" si="1"/>
        <v>10</v>
      </c>
      <c r="I31" s="48"/>
    </row>
    <row r="32" spans="1:10" s="203" customFormat="1" x14ac:dyDescent="0.7">
      <c r="A32" s="58" t="s">
        <v>404</v>
      </c>
      <c r="B32" s="58" t="s">
        <v>281</v>
      </c>
      <c r="C32" s="59">
        <f t="shared" si="2"/>
        <v>46216</v>
      </c>
      <c r="D32" s="59">
        <f t="shared" si="0"/>
        <v>46220</v>
      </c>
      <c r="E32" s="59">
        <f t="shared" si="3"/>
        <v>46222</v>
      </c>
      <c r="F32" s="60" t="s">
        <v>994</v>
      </c>
      <c r="G32" s="61">
        <f t="shared" si="5"/>
        <v>1</v>
      </c>
      <c r="H32" s="61">
        <f t="shared" si="1"/>
        <v>10</v>
      </c>
      <c r="I32" s="60"/>
      <c r="J32" s="202"/>
    </row>
    <row r="33" spans="1:16" x14ac:dyDescent="0.7">
      <c r="A33" s="44" t="s">
        <v>888</v>
      </c>
      <c r="B33" s="44" t="s">
        <v>281</v>
      </c>
      <c r="C33" s="47">
        <f t="shared" si="2"/>
        <v>46223</v>
      </c>
      <c r="D33" s="47">
        <f t="shared" si="0"/>
        <v>46227</v>
      </c>
      <c r="E33" s="47">
        <f t="shared" si="3"/>
        <v>46229</v>
      </c>
      <c r="F33" s="48" t="s">
        <v>994</v>
      </c>
      <c r="G33" s="49">
        <f t="shared" si="5"/>
        <v>1</v>
      </c>
      <c r="H33" s="49">
        <f t="shared" si="1"/>
        <v>10</v>
      </c>
      <c r="I33" s="48"/>
    </row>
    <row r="34" spans="1:16" x14ac:dyDescent="0.7">
      <c r="A34" s="44" t="s">
        <v>875</v>
      </c>
      <c r="B34" s="44" t="s">
        <v>281</v>
      </c>
      <c r="C34" s="47">
        <f t="shared" si="2"/>
        <v>46230</v>
      </c>
      <c r="D34" s="47">
        <f t="shared" si="0"/>
        <v>46234</v>
      </c>
      <c r="E34" s="47">
        <f t="shared" si="3"/>
        <v>46236</v>
      </c>
      <c r="F34" s="48" t="s">
        <v>994</v>
      </c>
      <c r="G34" s="49">
        <f t="shared" si="5"/>
        <v>1</v>
      </c>
      <c r="H34" s="49">
        <f t="shared" si="1"/>
        <v>10</v>
      </c>
      <c r="I34" s="48"/>
    </row>
    <row r="35" spans="1:16" x14ac:dyDescent="0.7">
      <c r="A35" s="44" t="s">
        <v>872</v>
      </c>
      <c r="B35" s="44" t="s">
        <v>282</v>
      </c>
      <c r="C35" s="47">
        <f t="shared" si="2"/>
        <v>46237</v>
      </c>
      <c r="D35" s="47">
        <f t="shared" si="0"/>
        <v>46241</v>
      </c>
      <c r="E35" s="47">
        <f t="shared" si="3"/>
        <v>46243</v>
      </c>
      <c r="F35" s="48" t="s">
        <v>996</v>
      </c>
      <c r="G35" s="49">
        <f t="shared" si="5"/>
        <v>1</v>
      </c>
      <c r="H35" s="49">
        <f t="shared" si="1"/>
        <v>8</v>
      </c>
      <c r="I35" s="48"/>
    </row>
    <row r="36" spans="1:16" x14ac:dyDescent="0.7">
      <c r="A36" s="44" t="s">
        <v>997</v>
      </c>
      <c r="B36" s="44" t="s">
        <v>282</v>
      </c>
      <c r="C36" s="47">
        <f t="shared" si="2"/>
        <v>46244</v>
      </c>
      <c r="D36" s="47">
        <f t="shared" si="0"/>
        <v>46248</v>
      </c>
      <c r="E36" s="47">
        <f t="shared" si="3"/>
        <v>46250</v>
      </c>
      <c r="F36" s="48" t="s">
        <v>996</v>
      </c>
      <c r="G36" s="49">
        <f t="shared" si="5"/>
        <v>1</v>
      </c>
      <c r="H36" s="49">
        <f t="shared" ref="H36:H56" si="6">SUMIF(F:F,F36,G:G)</f>
        <v>8</v>
      </c>
      <c r="I36" s="48"/>
    </row>
    <row r="37" spans="1:16" x14ac:dyDescent="0.7">
      <c r="A37" s="44" t="s">
        <v>881</v>
      </c>
      <c r="B37" s="44" t="s">
        <v>282</v>
      </c>
      <c r="C37" s="47">
        <f t="shared" ref="C37:C55" si="7">C36+7</f>
        <v>46251</v>
      </c>
      <c r="D37" s="47">
        <f t="shared" si="0"/>
        <v>46255</v>
      </c>
      <c r="E37" s="47">
        <f t="shared" ref="E37:E55" si="8">E36+7</f>
        <v>46257</v>
      </c>
      <c r="F37" s="48" t="s">
        <v>996</v>
      </c>
      <c r="G37" s="49">
        <f t="shared" si="5"/>
        <v>1</v>
      </c>
      <c r="H37" s="49">
        <f t="shared" si="6"/>
        <v>8</v>
      </c>
      <c r="I37" s="48"/>
    </row>
    <row r="38" spans="1:16" x14ac:dyDescent="0.7">
      <c r="A38" s="44" t="s">
        <v>863</v>
      </c>
      <c r="B38" s="44" t="s">
        <v>282</v>
      </c>
      <c r="C38" s="47">
        <f t="shared" si="7"/>
        <v>46258</v>
      </c>
      <c r="D38" s="47">
        <f t="shared" si="0"/>
        <v>46262</v>
      </c>
      <c r="E38" s="47">
        <f t="shared" si="8"/>
        <v>46264</v>
      </c>
      <c r="F38" s="48" t="s">
        <v>996</v>
      </c>
      <c r="G38" s="49">
        <f t="shared" si="5"/>
        <v>1</v>
      </c>
      <c r="H38" s="49">
        <f t="shared" si="6"/>
        <v>8</v>
      </c>
      <c r="I38" s="48"/>
    </row>
    <row r="39" spans="1:16" x14ac:dyDescent="0.7">
      <c r="A39" s="50" t="s">
        <v>998</v>
      </c>
      <c r="B39" s="50" t="s">
        <v>297</v>
      </c>
      <c r="C39" s="51">
        <f t="shared" si="7"/>
        <v>46265</v>
      </c>
      <c r="D39" s="51">
        <f t="shared" ref="D39:D102" si="9">E39-2</f>
        <v>46269</v>
      </c>
      <c r="E39" s="51">
        <f t="shared" si="8"/>
        <v>46271</v>
      </c>
      <c r="F39" s="52" t="s">
        <v>999</v>
      </c>
      <c r="G39" s="53">
        <f>4/6</f>
        <v>0.66666666666666663</v>
      </c>
      <c r="H39" s="53">
        <f t="shared" si="6"/>
        <v>8.3333333333333321</v>
      </c>
      <c r="I39" s="52" t="s">
        <v>1000</v>
      </c>
      <c r="K39" s="168">
        <f>D45-50</f>
        <v>46261</v>
      </c>
      <c r="O39" s="111">
        <v>46300</v>
      </c>
      <c r="P39" s="111">
        <v>46304</v>
      </c>
    </row>
    <row r="40" spans="1:16" x14ac:dyDescent="0.7">
      <c r="A40" s="44" t="s">
        <v>754</v>
      </c>
      <c r="B40" s="44" t="s">
        <v>297</v>
      </c>
      <c r="C40" s="47">
        <f t="shared" si="7"/>
        <v>46272</v>
      </c>
      <c r="D40" s="47">
        <f t="shared" si="9"/>
        <v>46276</v>
      </c>
      <c r="E40" s="223">
        <f t="shared" si="8"/>
        <v>46278</v>
      </c>
      <c r="F40" s="48" t="s">
        <v>999</v>
      </c>
      <c r="G40" s="49">
        <f t="shared" ref="G40:G50" si="10">6/6</f>
        <v>1</v>
      </c>
      <c r="H40" s="49">
        <f t="shared" si="6"/>
        <v>8.3333333333333321</v>
      </c>
      <c r="I40" s="48"/>
      <c r="O40" s="111">
        <v>46307</v>
      </c>
      <c r="P40" s="111">
        <v>46311</v>
      </c>
    </row>
    <row r="41" spans="1:16" x14ac:dyDescent="0.7">
      <c r="A41" s="44" t="s">
        <v>760</v>
      </c>
      <c r="B41" s="44" t="s">
        <v>297</v>
      </c>
      <c r="C41" s="47">
        <f t="shared" si="7"/>
        <v>46279</v>
      </c>
      <c r="D41" s="47">
        <f t="shared" si="9"/>
        <v>46283</v>
      </c>
      <c r="E41" s="47">
        <f t="shared" si="8"/>
        <v>46285</v>
      </c>
      <c r="F41" s="48" t="s">
        <v>999</v>
      </c>
      <c r="G41" s="49">
        <f t="shared" si="10"/>
        <v>1</v>
      </c>
      <c r="H41" s="49">
        <f t="shared" si="6"/>
        <v>8.3333333333333321</v>
      </c>
      <c r="I41" s="48"/>
      <c r="O41" s="111">
        <v>46314</v>
      </c>
      <c r="P41" s="111">
        <v>46318</v>
      </c>
    </row>
    <row r="42" spans="1:16" x14ac:dyDescent="0.7">
      <c r="A42" s="44" t="s">
        <v>759</v>
      </c>
      <c r="B42" s="44" t="s">
        <v>297</v>
      </c>
      <c r="C42" s="47">
        <f t="shared" si="7"/>
        <v>46286</v>
      </c>
      <c r="D42" s="47">
        <f t="shared" si="9"/>
        <v>46290</v>
      </c>
      <c r="E42" s="47">
        <f t="shared" si="8"/>
        <v>46292</v>
      </c>
      <c r="F42" s="48" t="s">
        <v>999</v>
      </c>
      <c r="G42" s="49">
        <f t="shared" si="10"/>
        <v>1</v>
      </c>
      <c r="H42" s="49">
        <f t="shared" si="6"/>
        <v>8.3333333333333321</v>
      </c>
      <c r="I42" s="48"/>
      <c r="O42" s="111">
        <v>46321</v>
      </c>
      <c r="P42" s="111">
        <v>46325</v>
      </c>
    </row>
    <row r="43" spans="1:16" x14ac:dyDescent="0.7">
      <c r="A43" s="44" t="s">
        <v>755</v>
      </c>
      <c r="B43" s="44" t="s">
        <v>297</v>
      </c>
      <c r="C43" s="47">
        <f t="shared" si="7"/>
        <v>46293</v>
      </c>
      <c r="D43" s="47">
        <f t="shared" si="9"/>
        <v>46297</v>
      </c>
      <c r="E43" s="47">
        <f t="shared" si="8"/>
        <v>46299</v>
      </c>
      <c r="F43" s="48" t="s">
        <v>999</v>
      </c>
      <c r="G43" s="49">
        <f t="shared" si="10"/>
        <v>1</v>
      </c>
      <c r="H43" s="49">
        <f t="shared" si="6"/>
        <v>8.3333333333333321</v>
      </c>
      <c r="I43" s="48"/>
      <c r="O43" s="111">
        <v>46328</v>
      </c>
      <c r="P43" s="111">
        <v>46332</v>
      </c>
    </row>
    <row r="44" spans="1:16" x14ac:dyDescent="0.7">
      <c r="A44" s="44" t="s">
        <v>770</v>
      </c>
      <c r="B44" s="44" t="s">
        <v>303</v>
      </c>
      <c r="C44" s="47">
        <f t="shared" si="7"/>
        <v>46300</v>
      </c>
      <c r="D44" s="47">
        <f t="shared" si="9"/>
        <v>46304</v>
      </c>
      <c r="E44" s="47">
        <f t="shared" si="8"/>
        <v>46306</v>
      </c>
      <c r="F44" s="48" t="s">
        <v>1001</v>
      </c>
      <c r="G44" s="49">
        <f t="shared" si="10"/>
        <v>1</v>
      </c>
      <c r="H44" s="49">
        <f t="shared" si="6"/>
        <v>9</v>
      </c>
      <c r="I44" s="48"/>
      <c r="O44" s="111">
        <v>46335</v>
      </c>
      <c r="P44" s="111">
        <v>46339</v>
      </c>
    </row>
    <row r="45" spans="1:16" x14ac:dyDescent="0.7">
      <c r="A45" s="44" t="s">
        <v>752</v>
      </c>
      <c r="B45" s="44" t="s">
        <v>303</v>
      </c>
      <c r="C45" s="47">
        <f t="shared" si="7"/>
        <v>46307</v>
      </c>
      <c r="D45" s="47">
        <f t="shared" si="9"/>
        <v>46311</v>
      </c>
      <c r="E45" s="47">
        <f t="shared" si="8"/>
        <v>46313</v>
      </c>
      <c r="F45" s="48" t="s">
        <v>1001</v>
      </c>
      <c r="G45" s="49">
        <f t="shared" si="10"/>
        <v>1</v>
      </c>
      <c r="H45" s="49">
        <f t="shared" si="6"/>
        <v>9</v>
      </c>
      <c r="I45" s="48"/>
      <c r="O45" s="111">
        <v>46342</v>
      </c>
      <c r="P45" s="111">
        <v>46346</v>
      </c>
    </row>
    <row r="46" spans="1:16" x14ac:dyDescent="0.7">
      <c r="A46" s="44" t="s">
        <v>771</v>
      </c>
      <c r="B46" s="44" t="s">
        <v>303</v>
      </c>
      <c r="C46" s="47">
        <f t="shared" si="7"/>
        <v>46314</v>
      </c>
      <c r="D46" s="47">
        <f t="shared" si="9"/>
        <v>46318</v>
      </c>
      <c r="E46" s="47">
        <f t="shared" si="8"/>
        <v>46320</v>
      </c>
      <c r="F46" s="48" t="s">
        <v>1001</v>
      </c>
      <c r="G46" s="49">
        <f t="shared" si="10"/>
        <v>1</v>
      </c>
      <c r="H46" s="49">
        <f t="shared" si="6"/>
        <v>9</v>
      </c>
      <c r="I46" s="48"/>
      <c r="O46" s="111">
        <v>46349</v>
      </c>
      <c r="P46" s="111">
        <v>46353</v>
      </c>
    </row>
    <row r="47" spans="1:16" x14ac:dyDescent="0.7">
      <c r="A47" s="44" t="s">
        <v>753</v>
      </c>
      <c r="B47" s="44" t="s">
        <v>303</v>
      </c>
      <c r="C47" s="47">
        <f t="shared" si="7"/>
        <v>46321</v>
      </c>
      <c r="D47" s="47">
        <f t="shared" si="9"/>
        <v>46325</v>
      </c>
      <c r="E47" s="47">
        <f t="shared" si="8"/>
        <v>46327</v>
      </c>
      <c r="F47" s="48" t="s">
        <v>1001</v>
      </c>
      <c r="G47" s="49">
        <f t="shared" si="10"/>
        <v>1</v>
      </c>
      <c r="H47" s="49">
        <f t="shared" si="6"/>
        <v>9</v>
      </c>
      <c r="I47" s="48"/>
      <c r="O47" s="111">
        <v>46356</v>
      </c>
      <c r="P47" s="111">
        <v>46360</v>
      </c>
    </row>
    <row r="48" spans="1:16" x14ac:dyDescent="0.7">
      <c r="A48" s="44" t="s">
        <v>773</v>
      </c>
      <c r="B48" s="44" t="s">
        <v>311</v>
      </c>
      <c r="C48" s="47">
        <f t="shared" si="7"/>
        <v>46328</v>
      </c>
      <c r="D48" s="47">
        <f t="shared" si="9"/>
        <v>46332</v>
      </c>
      <c r="E48" s="47">
        <f t="shared" si="8"/>
        <v>46334</v>
      </c>
      <c r="F48" s="48" t="s">
        <v>1002</v>
      </c>
      <c r="G48" s="49">
        <f t="shared" si="10"/>
        <v>1</v>
      </c>
      <c r="H48" s="49">
        <f t="shared" si="6"/>
        <v>7.666666666666667</v>
      </c>
      <c r="I48" s="48"/>
      <c r="O48" s="111">
        <v>46363</v>
      </c>
      <c r="P48" s="111">
        <v>46367</v>
      </c>
    </row>
    <row r="49" spans="1:16" x14ac:dyDescent="0.7">
      <c r="A49" s="44" t="s">
        <v>756</v>
      </c>
      <c r="B49" s="44" t="s">
        <v>311</v>
      </c>
      <c r="C49" s="47">
        <f t="shared" si="7"/>
        <v>46335</v>
      </c>
      <c r="D49" s="47">
        <f t="shared" si="9"/>
        <v>46339</v>
      </c>
      <c r="E49" s="47">
        <f t="shared" si="8"/>
        <v>46341</v>
      </c>
      <c r="F49" s="48" t="s">
        <v>1002</v>
      </c>
      <c r="G49" s="49">
        <f t="shared" si="10"/>
        <v>1</v>
      </c>
      <c r="H49" s="49">
        <f t="shared" si="6"/>
        <v>7.666666666666667</v>
      </c>
      <c r="I49" s="48"/>
      <c r="O49" s="111">
        <v>46370</v>
      </c>
      <c r="P49" s="111">
        <v>46374</v>
      </c>
    </row>
    <row r="50" spans="1:16" x14ac:dyDescent="0.7">
      <c r="A50" s="44" t="s">
        <v>761</v>
      </c>
      <c r="B50" s="44" t="s">
        <v>311</v>
      </c>
      <c r="C50" s="47">
        <f t="shared" si="7"/>
        <v>46342</v>
      </c>
      <c r="D50" s="47">
        <f t="shared" si="9"/>
        <v>46346</v>
      </c>
      <c r="E50" s="47">
        <f t="shared" si="8"/>
        <v>46348</v>
      </c>
      <c r="F50" s="48" t="s">
        <v>1002</v>
      </c>
      <c r="G50" s="49">
        <f t="shared" si="10"/>
        <v>1</v>
      </c>
      <c r="H50" s="49">
        <f t="shared" si="6"/>
        <v>7.666666666666667</v>
      </c>
      <c r="I50" s="48"/>
      <c r="O50" s="111">
        <v>46377</v>
      </c>
      <c r="P50" s="111">
        <v>46381</v>
      </c>
    </row>
    <row r="51" spans="1:16" x14ac:dyDescent="0.7">
      <c r="A51" s="50" t="s">
        <v>768</v>
      </c>
      <c r="B51" s="50" t="s">
        <v>311</v>
      </c>
      <c r="C51" s="51">
        <f t="shared" si="7"/>
        <v>46349</v>
      </c>
      <c r="D51" s="51">
        <f t="shared" si="9"/>
        <v>46353</v>
      </c>
      <c r="E51" s="51">
        <f t="shared" si="8"/>
        <v>46355</v>
      </c>
      <c r="F51" s="52" t="s">
        <v>1002</v>
      </c>
      <c r="G51" s="53">
        <f>5/6</f>
        <v>0.83333333333333337</v>
      </c>
      <c r="H51" s="53">
        <f t="shared" si="6"/>
        <v>7.666666666666667</v>
      </c>
      <c r="I51" s="52" t="s">
        <v>1003</v>
      </c>
      <c r="O51" s="111">
        <v>46384</v>
      </c>
      <c r="P51" s="111">
        <v>46388</v>
      </c>
    </row>
    <row r="52" spans="1:16" x14ac:dyDescent="0.7">
      <c r="A52" s="44" t="s">
        <v>757</v>
      </c>
      <c r="B52" s="44" t="s">
        <v>330</v>
      </c>
      <c r="C52" s="47">
        <f t="shared" si="7"/>
        <v>46356</v>
      </c>
      <c r="D52" s="47">
        <f t="shared" si="9"/>
        <v>46360</v>
      </c>
      <c r="E52" s="47">
        <f t="shared" si="8"/>
        <v>46362</v>
      </c>
      <c r="F52" s="48" t="s">
        <v>1004</v>
      </c>
      <c r="G52" s="49">
        <f>6/6</f>
        <v>1</v>
      </c>
      <c r="H52" s="49">
        <f t="shared" si="6"/>
        <v>8</v>
      </c>
      <c r="I52" s="48"/>
      <c r="O52" s="111">
        <v>46391</v>
      </c>
      <c r="P52" s="111">
        <v>46395</v>
      </c>
    </row>
    <row r="53" spans="1:16" x14ac:dyDescent="0.7">
      <c r="A53" s="44" t="s">
        <v>1005</v>
      </c>
      <c r="B53" s="44" t="s">
        <v>330</v>
      </c>
      <c r="C53" s="47">
        <f t="shared" si="7"/>
        <v>46363</v>
      </c>
      <c r="D53" s="47">
        <f t="shared" si="9"/>
        <v>46367</v>
      </c>
      <c r="E53" s="47">
        <f t="shared" si="8"/>
        <v>46369</v>
      </c>
      <c r="F53" s="48" t="s">
        <v>1004</v>
      </c>
      <c r="G53" s="49">
        <f>6/6</f>
        <v>1</v>
      </c>
      <c r="H53" s="49">
        <f t="shared" si="6"/>
        <v>8</v>
      </c>
      <c r="I53" s="48"/>
      <c r="O53" s="111">
        <v>46398</v>
      </c>
      <c r="P53" s="111">
        <v>46402</v>
      </c>
    </row>
    <row r="54" spans="1:16" x14ac:dyDescent="0.7">
      <c r="A54" s="44" t="s">
        <v>1006</v>
      </c>
      <c r="B54" s="44" t="s">
        <v>330</v>
      </c>
      <c r="C54" s="47">
        <f t="shared" si="7"/>
        <v>46370</v>
      </c>
      <c r="D54" s="47">
        <f t="shared" si="9"/>
        <v>46374</v>
      </c>
      <c r="E54" s="47">
        <f t="shared" si="8"/>
        <v>46376</v>
      </c>
      <c r="F54" s="48" t="s">
        <v>1004</v>
      </c>
      <c r="G54" s="49">
        <f>6/6</f>
        <v>1</v>
      </c>
      <c r="H54" s="49">
        <f t="shared" si="6"/>
        <v>8</v>
      </c>
      <c r="I54" s="48"/>
      <c r="O54" s="111">
        <v>46405</v>
      </c>
      <c r="P54" s="111">
        <v>46409</v>
      </c>
    </row>
    <row r="55" spans="1:16" x14ac:dyDescent="0.7">
      <c r="A55" s="44" t="s">
        <v>772</v>
      </c>
      <c r="B55" s="44" t="s">
        <v>330</v>
      </c>
      <c r="C55" s="47">
        <f t="shared" si="7"/>
        <v>46377</v>
      </c>
      <c r="D55" s="47">
        <f t="shared" si="9"/>
        <v>46381</v>
      </c>
      <c r="E55" s="47">
        <f t="shared" si="8"/>
        <v>46383</v>
      </c>
      <c r="F55" s="48" t="s">
        <v>1004</v>
      </c>
      <c r="G55" s="49">
        <f>6/6</f>
        <v>1</v>
      </c>
      <c r="H55" s="49">
        <f t="shared" si="6"/>
        <v>8</v>
      </c>
      <c r="I55" s="48"/>
      <c r="O55" s="111">
        <v>46412</v>
      </c>
      <c r="P55" s="111">
        <v>46416</v>
      </c>
    </row>
    <row r="56" spans="1:16" s="203" customFormat="1" x14ac:dyDescent="0.7">
      <c r="A56" s="263" t="s">
        <v>763</v>
      </c>
      <c r="B56" s="263" t="s">
        <v>315</v>
      </c>
      <c r="C56" s="264">
        <v>46384</v>
      </c>
      <c r="D56" s="59">
        <f t="shared" si="9"/>
        <v>46388</v>
      </c>
      <c r="E56" s="264">
        <f>C56+6</f>
        <v>46390</v>
      </c>
      <c r="F56" s="265" t="s">
        <v>970</v>
      </c>
      <c r="G56" s="266">
        <f>5/6</f>
        <v>0.83333333333333337</v>
      </c>
      <c r="H56" s="266">
        <f t="shared" si="6"/>
        <v>9.4166666666666679</v>
      </c>
      <c r="I56" s="60" t="s">
        <v>971</v>
      </c>
      <c r="O56" s="202">
        <v>46419</v>
      </c>
      <c r="P56" s="202">
        <v>46423</v>
      </c>
    </row>
    <row r="57" spans="1:16" x14ac:dyDescent="0.7">
      <c r="A57" s="44" t="s">
        <v>764</v>
      </c>
      <c r="B57" s="44" t="s">
        <v>315</v>
      </c>
      <c r="C57" s="47">
        <f>C56+7</f>
        <v>46391</v>
      </c>
      <c r="D57" s="47">
        <f t="shared" si="9"/>
        <v>46395</v>
      </c>
      <c r="E57" s="47">
        <f t="shared" ref="E57:E107" si="11">E56+7</f>
        <v>46397</v>
      </c>
      <c r="F57" s="48" t="s">
        <v>970</v>
      </c>
      <c r="G57" s="49">
        <v>1</v>
      </c>
      <c r="H57" s="49">
        <v>4.5833333333333339</v>
      </c>
      <c r="I57" s="48"/>
      <c r="O57" s="111">
        <v>46426</v>
      </c>
      <c r="P57" s="111">
        <v>46430</v>
      </c>
    </row>
    <row r="58" spans="1:16" x14ac:dyDescent="0.7">
      <c r="A58" s="44" t="s">
        <v>766</v>
      </c>
      <c r="B58" s="44" t="s">
        <v>315</v>
      </c>
      <c r="C58" s="47">
        <f t="shared" ref="C58:C107" si="12">C57+7</f>
        <v>46398</v>
      </c>
      <c r="D58" s="47">
        <f t="shared" si="9"/>
        <v>46402</v>
      </c>
      <c r="E58" s="47">
        <f t="shared" si="11"/>
        <v>46404</v>
      </c>
      <c r="F58" s="48" t="s">
        <v>970</v>
      </c>
      <c r="G58" s="49">
        <v>1</v>
      </c>
      <c r="H58" s="49">
        <v>4.5833333333333339</v>
      </c>
      <c r="I58" s="48"/>
      <c r="O58" s="111">
        <v>46433</v>
      </c>
      <c r="P58" s="111">
        <v>46437</v>
      </c>
    </row>
    <row r="59" spans="1:16" x14ac:dyDescent="0.7">
      <c r="A59" s="44" t="s">
        <v>767</v>
      </c>
      <c r="B59" s="44" t="s">
        <v>315</v>
      </c>
      <c r="C59" s="47">
        <f t="shared" si="12"/>
        <v>46405</v>
      </c>
      <c r="D59" s="47">
        <f t="shared" si="9"/>
        <v>46409</v>
      </c>
      <c r="E59" s="47">
        <f t="shared" si="11"/>
        <v>46411</v>
      </c>
      <c r="F59" s="48" t="s">
        <v>970</v>
      </c>
      <c r="G59" s="49">
        <v>1</v>
      </c>
      <c r="H59" s="49">
        <v>4.5833333333333339</v>
      </c>
      <c r="I59" s="48"/>
      <c r="O59" s="111">
        <v>46440</v>
      </c>
      <c r="P59" s="111">
        <v>46444</v>
      </c>
    </row>
    <row r="60" spans="1:16" x14ac:dyDescent="0.7">
      <c r="A60" s="44" t="s">
        <v>1007</v>
      </c>
      <c r="B60" s="44" t="s">
        <v>315</v>
      </c>
      <c r="C60" s="47">
        <f t="shared" si="12"/>
        <v>46412</v>
      </c>
      <c r="D60" s="47">
        <f t="shared" si="9"/>
        <v>46416</v>
      </c>
      <c r="E60" s="47">
        <f t="shared" si="11"/>
        <v>46418</v>
      </c>
      <c r="F60" s="48" t="s">
        <v>970</v>
      </c>
      <c r="G60" s="49">
        <v>0.75</v>
      </c>
      <c r="H60" s="49">
        <v>4.5833333333333339</v>
      </c>
      <c r="I60" s="48" t="s">
        <v>978</v>
      </c>
      <c r="O60" s="111">
        <v>46447</v>
      </c>
      <c r="P60" s="111">
        <v>46451</v>
      </c>
    </row>
    <row r="61" spans="1:16" x14ac:dyDescent="0.7">
      <c r="A61" s="268" t="s">
        <v>1008</v>
      </c>
      <c r="B61" s="268" t="s">
        <v>344</v>
      </c>
      <c r="C61" s="269">
        <f t="shared" si="12"/>
        <v>46419</v>
      </c>
      <c r="D61" s="269">
        <f t="shared" si="9"/>
        <v>46423</v>
      </c>
      <c r="E61" s="269">
        <f t="shared" si="11"/>
        <v>46425</v>
      </c>
      <c r="F61" s="270" t="s">
        <v>977</v>
      </c>
      <c r="G61" s="271">
        <v>0</v>
      </c>
      <c r="H61" s="271">
        <v>1.75</v>
      </c>
      <c r="I61" s="270" t="s">
        <v>982</v>
      </c>
      <c r="O61" s="111">
        <v>46454</v>
      </c>
      <c r="P61" s="111">
        <v>46458</v>
      </c>
    </row>
    <row r="62" spans="1:16" x14ac:dyDescent="0.7">
      <c r="A62" s="268" t="s">
        <v>1009</v>
      </c>
      <c r="B62" s="268" t="s">
        <v>344</v>
      </c>
      <c r="C62" s="269">
        <f t="shared" si="12"/>
        <v>46426</v>
      </c>
      <c r="D62" s="269">
        <f t="shared" si="9"/>
        <v>46430</v>
      </c>
      <c r="E62" s="269">
        <f t="shared" si="11"/>
        <v>46432</v>
      </c>
      <c r="F62" s="270" t="s">
        <v>977</v>
      </c>
      <c r="G62" s="271">
        <v>0</v>
      </c>
      <c r="H62" s="271">
        <v>1.75</v>
      </c>
      <c r="I62" s="270" t="s">
        <v>982</v>
      </c>
      <c r="O62" s="111">
        <v>46461</v>
      </c>
      <c r="P62" s="111">
        <v>46465</v>
      </c>
    </row>
    <row r="63" spans="1:16" x14ac:dyDescent="0.7">
      <c r="A63" s="44" t="s">
        <v>1010</v>
      </c>
      <c r="B63" s="44" t="s">
        <v>344</v>
      </c>
      <c r="C63" s="47">
        <f t="shared" si="12"/>
        <v>46433</v>
      </c>
      <c r="D63" s="47">
        <f t="shared" si="9"/>
        <v>46437</v>
      </c>
      <c r="E63" s="47">
        <f t="shared" si="11"/>
        <v>46439</v>
      </c>
      <c r="F63" s="48" t="s">
        <v>977</v>
      </c>
      <c r="G63" s="49">
        <v>0.75</v>
      </c>
      <c r="H63" s="49">
        <v>1.75</v>
      </c>
      <c r="I63" s="48" t="s">
        <v>988</v>
      </c>
    </row>
    <row r="64" spans="1:16" x14ac:dyDescent="0.7">
      <c r="A64" s="44" t="s">
        <v>774</v>
      </c>
      <c r="B64" s="44" t="s">
        <v>344</v>
      </c>
      <c r="C64" s="47">
        <f t="shared" si="12"/>
        <v>46440</v>
      </c>
      <c r="D64" s="47">
        <f t="shared" si="9"/>
        <v>46444</v>
      </c>
      <c r="E64" s="47">
        <f t="shared" si="11"/>
        <v>46446</v>
      </c>
      <c r="F64" s="48" t="s">
        <v>977</v>
      </c>
      <c r="G64" s="49">
        <v>1</v>
      </c>
      <c r="H64" s="49">
        <v>1.75</v>
      </c>
      <c r="I64" s="48"/>
    </row>
    <row r="65" spans="1:10" x14ac:dyDescent="0.7">
      <c r="A65" s="44" t="s">
        <v>781</v>
      </c>
      <c r="B65" s="44" t="s">
        <v>345</v>
      </c>
      <c r="C65" s="47">
        <f t="shared" si="12"/>
        <v>46447</v>
      </c>
      <c r="D65" s="47">
        <f t="shared" si="9"/>
        <v>46451</v>
      </c>
      <c r="E65" s="47">
        <f t="shared" si="11"/>
        <v>46453</v>
      </c>
      <c r="F65" s="48" t="s">
        <v>987</v>
      </c>
      <c r="G65" s="49">
        <v>1</v>
      </c>
      <c r="H65" s="49">
        <v>4</v>
      </c>
      <c r="I65" s="48"/>
    </row>
    <row r="66" spans="1:10" x14ac:dyDescent="0.7">
      <c r="A66" s="44" t="s">
        <v>775</v>
      </c>
      <c r="B66" s="44" t="s">
        <v>345</v>
      </c>
      <c r="C66" s="47">
        <f t="shared" si="12"/>
        <v>46454</v>
      </c>
      <c r="D66" s="47">
        <f t="shared" si="9"/>
        <v>46458</v>
      </c>
      <c r="E66" s="47">
        <f t="shared" si="11"/>
        <v>46460</v>
      </c>
      <c r="F66" s="48" t="s">
        <v>987</v>
      </c>
      <c r="G66" s="49">
        <v>1</v>
      </c>
      <c r="H66" s="49">
        <v>4</v>
      </c>
      <c r="I66" s="48"/>
    </row>
    <row r="67" spans="1:10" x14ac:dyDescent="0.7">
      <c r="A67" s="44" t="s">
        <v>1011</v>
      </c>
      <c r="B67" s="44" t="s">
        <v>345</v>
      </c>
      <c r="C67" s="47">
        <f t="shared" si="12"/>
        <v>46461</v>
      </c>
      <c r="D67" s="47">
        <f t="shared" si="9"/>
        <v>46465</v>
      </c>
      <c r="E67" s="47">
        <f t="shared" si="11"/>
        <v>46467</v>
      </c>
      <c r="F67" s="48" t="s">
        <v>987</v>
      </c>
      <c r="G67" s="49">
        <v>1</v>
      </c>
      <c r="H67" s="49">
        <v>4</v>
      </c>
      <c r="I67" s="48"/>
      <c r="J67" s="168">
        <f>E67+50</f>
        <v>46517</v>
      </c>
    </row>
    <row r="68" spans="1:10" x14ac:dyDescent="0.7">
      <c r="A68" s="44" t="s">
        <v>1012</v>
      </c>
      <c r="B68" s="44" t="s">
        <v>345</v>
      </c>
      <c r="C68" s="47">
        <f t="shared" si="12"/>
        <v>46468</v>
      </c>
      <c r="D68" s="47">
        <f t="shared" si="9"/>
        <v>46472</v>
      </c>
      <c r="E68" s="47">
        <f t="shared" si="11"/>
        <v>46474</v>
      </c>
      <c r="F68" s="48" t="s">
        <v>987</v>
      </c>
      <c r="G68" s="49">
        <v>1</v>
      </c>
      <c r="H68" s="49">
        <v>4</v>
      </c>
      <c r="I68" s="48"/>
    </row>
    <row r="69" spans="1:10" x14ac:dyDescent="0.7">
      <c r="A69" s="44" t="s">
        <v>1013</v>
      </c>
      <c r="B69" s="44" t="s">
        <v>336</v>
      </c>
      <c r="C69" s="47">
        <f t="shared" si="12"/>
        <v>46475</v>
      </c>
      <c r="D69" s="47">
        <f t="shared" si="9"/>
        <v>46479</v>
      </c>
      <c r="E69" s="47">
        <f t="shared" si="11"/>
        <v>46481</v>
      </c>
      <c r="F69" s="48" t="s">
        <v>347</v>
      </c>
      <c r="G69" s="49">
        <v>1</v>
      </c>
      <c r="H69" s="49">
        <v>4.5</v>
      </c>
      <c r="I69" s="48"/>
    </row>
    <row r="70" spans="1:10" x14ac:dyDescent="0.7">
      <c r="A70" s="44" t="s">
        <v>777</v>
      </c>
      <c r="B70" s="44" t="s">
        <v>336</v>
      </c>
      <c r="C70" s="47">
        <f t="shared" si="12"/>
        <v>46482</v>
      </c>
      <c r="D70" s="47">
        <f t="shared" si="9"/>
        <v>46486</v>
      </c>
      <c r="E70" s="47">
        <f t="shared" si="11"/>
        <v>46488</v>
      </c>
      <c r="F70" s="48" t="s">
        <v>347</v>
      </c>
      <c r="G70" s="49">
        <v>1</v>
      </c>
      <c r="H70" s="49">
        <v>4.5</v>
      </c>
      <c r="I70" s="48"/>
    </row>
    <row r="71" spans="1:10" x14ac:dyDescent="0.7">
      <c r="A71" s="44" t="s">
        <v>778</v>
      </c>
      <c r="B71" s="44" t="s">
        <v>336</v>
      </c>
      <c r="C71" s="47">
        <f t="shared" si="12"/>
        <v>46489</v>
      </c>
      <c r="D71" s="47">
        <f t="shared" si="9"/>
        <v>46493</v>
      </c>
      <c r="E71" s="47">
        <f t="shared" si="11"/>
        <v>46495</v>
      </c>
      <c r="F71" s="48" t="s">
        <v>347</v>
      </c>
      <c r="G71" s="49">
        <v>0.83333333333333337</v>
      </c>
      <c r="H71" s="49">
        <v>4.5</v>
      </c>
      <c r="I71" s="48" t="s">
        <v>1014</v>
      </c>
    </row>
    <row r="72" spans="1:10" x14ac:dyDescent="0.7">
      <c r="A72" s="44" t="s">
        <v>1015</v>
      </c>
      <c r="B72" s="44" t="s">
        <v>336</v>
      </c>
      <c r="C72" s="47">
        <f t="shared" si="12"/>
        <v>46496</v>
      </c>
      <c r="D72" s="47">
        <f t="shared" si="9"/>
        <v>46500</v>
      </c>
      <c r="E72" s="47">
        <f t="shared" si="11"/>
        <v>46502</v>
      </c>
      <c r="F72" s="48" t="s">
        <v>347</v>
      </c>
      <c r="G72" s="49">
        <v>1</v>
      </c>
      <c r="H72" s="49">
        <v>4.5</v>
      </c>
      <c r="I72" s="48"/>
    </row>
    <row r="73" spans="1:10" x14ac:dyDescent="0.7">
      <c r="A73" s="44" t="s">
        <v>1016</v>
      </c>
      <c r="B73" s="44" t="s">
        <v>336</v>
      </c>
      <c r="C73" s="47">
        <f t="shared" si="12"/>
        <v>46503</v>
      </c>
      <c r="D73" s="47">
        <f t="shared" si="9"/>
        <v>46504</v>
      </c>
      <c r="E73" s="262">
        <v>46506</v>
      </c>
      <c r="F73" s="48" t="s">
        <v>347</v>
      </c>
      <c r="G73" s="49">
        <v>0.66666666666666663</v>
      </c>
      <c r="H73" s="49">
        <v>4.5</v>
      </c>
      <c r="I73" s="48" t="s">
        <v>1017</v>
      </c>
    </row>
    <row r="74" spans="1:10" x14ac:dyDescent="0.7">
      <c r="A74" s="44" t="s">
        <v>779</v>
      </c>
      <c r="B74" s="44" t="s">
        <v>328</v>
      </c>
      <c r="C74" s="59">
        <f t="shared" si="12"/>
        <v>46510</v>
      </c>
      <c r="D74" s="59">
        <f t="shared" si="9"/>
        <v>46514</v>
      </c>
      <c r="E74" s="59">
        <v>46516</v>
      </c>
      <c r="F74" s="48" t="s">
        <v>108</v>
      </c>
      <c r="G74" s="49">
        <v>1</v>
      </c>
      <c r="H74" s="49">
        <v>4</v>
      </c>
      <c r="I74" s="48"/>
    </row>
    <row r="75" spans="1:10" x14ac:dyDescent="0.7">
      <c r="A75" s="44" t="s">
        <v>1018</v>
      </c>
      <c r="B75" s="44" t="s">
        <v>328</v>
      </c>
      <c r="C75" s="47">
        <f t="shared" si="12"/>
        <v>46517</v>
      </c>
      <c r="D75" s="47">
        <f t="shared" si="9"/>
        <v>46521</v>
      </c>
      <c r="E75" s="47">
        <f t="shared" si="11"/>
        <v>46523</v>
      </c>
      <c r="F75" s="48" t="s">
        <v>108</v>
      </c>
      <c r="G75" s="49">
        <v>1</v>
      </c>
      <c r="H75" s="49">
        <v>4</v>
      </c>
      <c r="I75" s="48"/>
    </row>
    <row r="76" spans="1:10" x14ac:dyDescent="0.7">
      <c r="A76" s="44" t="s">
        <v>1019</v>
      </c>
      <c r="B76" s="44" t="s">
        <v>328</v>
      </c>
      <c r="C76" s="47">
        <f t="shared" si="12"/>
        <v>46524</v>
      </c>
      <c r="D76" s="47">
        <f t="shared" si="9"/>
        <v>46528</v>
      </c>
      <c r="E76" s="47">
        <f t="shared" si="11"/>
        <v>46530</v>
      </c>
      <c r="F76" s="48" t="s">
        <v>108</v>
      </c>
      <c r="G76" s="49">
        <v>1</v>
      </c>
      <c r="H76" s="49">
        <v>4</v>
      </c>
      <c r="I76" s="48"/>
    </row>
    <row r="77" spans="1:10" x14ac:dyDescent="0.7">
      <c r="A77" s="44" t="s">
        <v>1020</v>
      </c>
      <c r="B77" s="44" t="s">
        <v>328</v>
      </c>
      <c r="C77" s="47">
        <f t="shared" si="12"/>
        <v>46531</v>
      </c>
      <c r="D77" s="47">
        <f t="shared" si="9"/>
        <v>46535</v>
      </c>
      <c r="E77" s="47">
        <f t="shared" si="11"/>
        <v>46537</v>
      </c>
      <c r="F77" s="48" t="s">
        <v>108</v>
      </c>
      <c r="G77" s="49">
        <v>1</v>
      </c>
      <c r="H77" s="49">
        <v>4</v>
      </c>
      <c r="I77" s="48"/>
    </row>
    <row r="78" spans="1:10" x14ac:dyDescent="0.7">
      <c r="A78" s="44" t="s">
        <v>1021</v>
      </c>
      <c r="B78" s="44" t="s">
        <v>286</v>
      </c>
      <c r="C78" s="47">
        <f t="shared" si="12"/>
        <v>46538</v>
      </c>
      <c r="D78" s="47">
        <f t="shared" si="9"/>
        <v>46542</v>
      </c>
      <c r="E78" s="47">
        <f t="shared" si="11"/>
        <v>46544</v>
      </c>
      <c r="F78" s="48" t="s">
        <v>992</v>
      </c>
      <c r="G78" s="49">
        <v>1</v>
      </c>
      <c r="H78" s="49">
        <v>4</v>
      </c>
      <c r="I78" s="48"/>
    </row>
    <row r="79" spans="1:10" x14ac:dyDescent="0.7">
      <c r="A79" s="44" t="s">
        <v>1022</v>
      </c>
      <c r="B79" s="44" t="s">
        <v>286</v>
      </c>
      <c r="C79" s="47">
        <f t="shared" si="12"/>
        <v>46545</v>
      </c>
      <c r="D79" s="47">
        <f t="shared" si="9"/>
        <v>46549</v>
      </c>
      <c r="E79" s="47">
        <f t="shared" si="11"/>
        <v>46551</v>
      </c>
      <c r="F79" s="48" t="s">
        <v>992</v>
      </c>
      <c r="G79" s="49">
        <v>1</v>
      </c>
      <c r="H79" s="49">
        <v>4</v>
      </c>
      <c r="I79" s="48"/>
    </row>
    <row r="80" spans="1:10" x14ac:dyDescent="0.7">
      <c r="A80" s="44" t="s">
        <v>1023</v>
      </c>
      <c r="B80" s="44" t="s">
        <v>286</v>
      </c>
      <c r="C80" s="47">
        <f t="shared" si="12"/>
        <v>46552</v>
      </c>
      <c r="D80" s="47">
        <f t="shared" si="9"/>
        <v>46556</v>
      </c>
      <c r="E80" s="47">
        <f t="shared" si="11"/>
        <v>46558</v>
      </c>
      <c r="F80" s="48" t="s">
        <v>992</v>
      </c>
      <c r="G80" s="49">
        <v>1</v>
      </c>
      <c r="H80" s="49">
        <v>4</v>
      </c>
      <c r="I80" s="48"/>
    </row>
    <row r="81" spans="1:9" x14ac:dyDescent="0.7">
      <c r="A81" s="44" t="s">
        <v>780</v>
      </c>
      <c r="B81" s="44" t="s">
        <v>286</v>
      </c>
      <c r="C81" s="47">
        <f t="shared" si="12"/>
        <v>46559</v>
      </c>
      <c r="D81" s="47">
        <f t="shared" si="9"/>
        <v>46563</v>
      </c>
      <c r="E81" s="47">
        <f t="shared" si="11"/>
        <v>46565</v>
      </c>
      <c r="F81" s="48" t="s">
        <v>992</v>
      </c>
      <c r="G81" s="49">
        <v>1</v>
      </c>
      <c r="H81" s="49">
        <v>4</v>
      </c>
      <c r="I81" s="48"/>
    </row>
    <row r="82" spans="1:9" x14ac:dyDescent="0.7">
      <c r="A82" s="44" t="s">
        <v>1024</v>
      </c>
      <c r="B82" s="44" t="s">
        <v>288</v>
      </c>
      <c r="C82" s="47">
        <f t="shared" si="12"/>
        <v>46566</v>
      </c>
      <c r="D82" s="47">
        <f t="shared" si="9"/>
        <v>46570</v>
      </c>
      <c r="E82" s="47">
        <f t="shared" si="11"/>
        <v>46572</v>
      </c>
      <c r="F82" s="48" t="s">
        <v>994</v>
      </c>
      <c r="G82" s="49">
        <v>1</v>
      </c>
      <c r="H82" s="49">
        <v>5</v>
      </c>
      <c r="I82" s="48"/>
    </row>
    <row r="83" spans="1:9" x14ac:dyDescent="0.7">
      <c r="A83" s="44" t="s">
        <v>1025</v>
      </c>
      <c r="B83" s="44" t="s">
        <v>288</v>
      </c>
      <c r="C83" s="47">
        <f t="shared" si="12"/>
        <v>46573</v>
      </c>
      <c r="D83" s="47">
        <f t="shared" si="9"/>
        <v>46577</v>
      </c>
      <c r="E83" s="47">
        <f t="shared" si="11"/>
        <v>46579</v>
      </c>
      <c r="F83" s="48" t="s">
        <v>994</v>
      </c>
      <c r="G83" s="49">
        <v>1</v>
      </c>
      <c r="H83" s="49">
        <v>5</v>
      </c>
      <c r="I83" s="48"/>
    </row>
    <row r="84" spans="1:9" x14ac:dyDescent="0.7">
      <c r="A84" s="44" t="s">
        <v>1026</v>
      </c>
      <c r="B84" s="44" t="s">
        <v>288</v>
      </c>
      <c r="C84" s="47">
        <f t="shared" si="12"/>
        <v>46580</v>
      </c>
      <c r="D84" s="47">
        <f t="shared" si="9"/>
        <v>46584</v>
      </c>
      <c r="E84" s="47">
        <f t="shared" si="11"/>
        <v>46586</v>
      </c>
      <c r="F84" s="48" t="s">
        <v>994</v>
      </c>
      <c r="G84" s="49">
        <v>1</v>
      </c>
      <c r="H84" s="49">
        <v>5</v>
      </c>
      <c r="I84" s="48"/>
    </row>
    <row r="85" spans="1:9" x14ac:dyDescent="0.7">
      <c r="A85" s="44" t="s">
        <v>1027</v>
      </c>
      <c r="B85" s="44" t="s">
        <v>288</v>
      </c>
      <c r="C85" s="47">
        <f t="shared" si="12"/>
        <v>46587</v>
      </c>
      <c r="D85" s="47">
        <f t="shared" si="9"/>
        <v>46591</v>
      </c>
      <c r="E85" s="47">
        <f t="shared" si="11"/>
        <v>46593</v>
      </c>
      <c r="F85" s="48" t="s">
        <v>994</v>
      </c>
      <c r="G85" s="49">
        <v>1</v>
      </c>
      <c r="H85" s="49">
        <v>5</v>
      </c>
      <c r="I85" s="48"/>
    </row>
    <row r="86" spans="1:9" x14ac:dyDescent="0.7">
      <c r="A86" s="44" t="s">
        <v>1028</v>
      </c>
      <c r="B86" s="44" t="s">
        <v>288</v>
      </c>
      <c r="C86" s="47">
        <f t="shared" si="12"/>
        <v>46594</v>
      </c>
      <c r="D86" s="47">
        <f t="shared" si="9"/>
        <v>46598</v>
      </c>
      <c r="E86" s="47">
        <f t="shared" si="11"/>
        <v>46600</v>
      </c>
      <c r="F86" s="48" t="s">
        <v>994</v>
      </c>
      <c r="G86" s="49">
        <v>1</v>
      </c>
      <c r="H86" s="49">
        <v>5</v>
      </c>
      <c r="I86" s="48"/>
    </row>
    <row r="87" spans="1:9" x14ac:dyDescent="0.7">
      <c r="A87" s="44" t="s">
        <v>1029</v>
      </c>
      <c r="B87" s="44" t="s">
        <v>289</v>
      </c>
      <c r="C87" s="47">
        <f t="shared" si="12"/>
        <v>46601</v>
      </c>
      <c r="D87" s="47">
        <f t="shared" si="9"/>
        <v>46605</v>
      </c>
      <c r="E87" s="47">
        <f t="shared" si="11"/>
        <v>46607</v>
      </c>
      <c r="F87" s="48" t="s">
        <v>996</v>
      </c>
      <c r="G87" s="49">
        <v>1</v>
      </c>
      <c r="H87" s="49">
        <v>4</v>
      </c>
      <c r="I87" s="48"/>
    </row>
    <row r="88" spans="1:9" x14ac:dyDescent="0.7">
      <c r="A88" s="44" t="s">
        <v>1030</v>
      </c>
      <c r="B88" s="44" t="s">
        <v>289</v>
      </c>
      <c r="C88" s="47">
        <f t="shared" si="12"/>
        <v>46608</v>
      </c>
      <c r="D88" s="47">
        <f t="shared" si="9"/>
        <v>46612</v>
      </c>
      <c r="E88" s="47">
        <f t="shared" si="11"/>
        <v>46614</v>
      </c>
      <c r="F88" s="48" t="s">
        <v>996</v>
      </c>
      <c r="G88" s="49">
        <v>1</v>
      </c>
      <c r="H88" s="49">
        <v>4</v>
      </c>
      <c r="I88" s="48"/>
    </row>
    <row r="89" spans="1:9" x14ac:dyDescent="0.7">
      <c r="A89" s="44" t="s">
        <v>1031</v>
      </c>
      <c r="B89" s="44" t="s">
        <v>289</v>
      </c>
      <c r="C89" s="47">
        <f t="shared" si="12"/>
        <v>46615</v>
      </c>
      <c r="D89" s="47">
        <f t="shared" si="9"/>
        <v>46619</v>
      </c>
      <c r="E89" s="47">
        <f t="shared" si="11"/>
        <v>46621</v>
      </c>
      <c r="F89" s="48" t="s">
        <v>996</v>
      </c>
      <c r="G89" s="49">
        <v>1</v>
      </c>
      <c r="H89" s="49">
        <v>4</v>
      </c>
      <c r="I89" s="48"/>
    </row>
    <row r="90" spans="1:9" x14ac:dyDescent="0.7">
      <c r="A90" s="44" t="s">
        <v>1032</v>
      </c>
      <c r="B90" s="44" t="s">
        <v>289</v>
      </c>
      <c r="C90" s="47">
        <f t="shared" si="12"/>
        <v>46622</v>
      </c>
      <c r="D90" s="47">
        <f t="shared" si="9"/>
        <v>46626</v>
      </c>
      <c r="E90" s="47">
        <f t="shared" si="11"/>
        <v>46628</v>
      </c>
      <c r="F90" s="48" t="s">
        <v>996</v>
      </c>
      <c r="G90" s="49">
        <v>1</v>
      </c>
      <c r="H90" s="49">
        <v>4</v>
      </c>
      <c r="I90" s="48"/>
    </row>
    <row r="91" spans="1:9" x14ac:dyDescent="0.7">
      <c r="A91" s="44" t="s">
        <v>1033</v>
      </c>
      <c r="B91" s="44" t="s">
        <v>370</v>
      </c>
      <c r="C91" s="47">
        <f t="shared" si="12"/>
        <v>46629</v>
      </c>
      <c r="D91" s="47">
        <f t="shared" si="9"/>
        <v>46633</v>
      </c>
      <c r="E91" s="47">
        <f t="shared" si="11"/>
        <v>46635</v>
      </c>
      <c r="F91" s="48" t="s">
        <v>999</v>
      </c>
      <c r="G91" s="49">
        <v>0.66666666666666663</v>
      </c>
      <c r="H91" s="49">
        <v>3.6666666666666665</v>
      </c>
      <c r="I91" s="48" t="s">
        <v>1000</v>
      </c>
    </row>
    <row r="92" spans="1:9" x14ac:dyDescent="0.7">
      <c r="A92" s="44" t="s">
        <v>1034</v>
      </c>
      <c r="B92" s="44" t="s">
        <v>370</v>
      </c>
      <c r="C92" s="47">
        <f t="shared" si="12"/>
        <v>46636</v>
      </c>
      <c r="D92" s="47">
        <f t="shared" si="9"/>
        <v>46640</v>
      </c>
      <c r="E92" s="47">
        <f t="shared" si="11"/>
        <v>46642</v>
      </c>
      <c r="F92" s="48" t="s">
        <v>999</v>
      </c>
      <c r="G92" s="49">
        <v>1</v>
      </c>
      <c r="H92" s="49">
        <v>3.6666666666666665</v>
      </c>
      <c r="I92" s="48"/>
    </row>
    <row r="93" spans="1:9" x14ac:dyDescent="0.7">
      <c r="A93" s="44" t="s">
        <v>1035</v>
      </c>
      <c r="B93" s="44" t="s">
        <v>370</v>
      </c>
      <c r="C93" s="47">
        <f t="shared" si="12"/>
        <v>46643</v>
      </c>
      <c r="D93" s="47">
        <f t="shared" si="9"/>
        <v>46647</v>
      </c>
      <c r="E93" s="47">
        <f t="shared" si="11"/>
        <v>46649</v>
      </c>
      <c r="F93" s="48" t="s">
        <v>999</v>
      </c>
      <c r="G93" s="49">
        <v>1</v>
      </c>
      <c r="H93" s="49">
        <v>3.6666666666666665</v>
      </c>
      <c r="I93" s="48"/>
    </row>
    <row r="94" spans="1:9" x14ac:dyDescent="0.7">
      <c r="A94" s="44" t="s">
        <v>1036</v>
      </c>
      <c r="B94" s="44" t="s">
        <v>370</v>
      </c>
      <c r="C94" s="47">
        <f t="shared" si="12"/>
        <v>46650</v>
      </c>
      <c r="D94" s="47">
        <f t="shared" si="9"/>
        <v>46654</v>
      </c>
      <c r="E94" s="47">
        <f t="shared" si="11"/>
        <v>46656</v>
      </c>
      <c r="F94" s="48" t="s">
        <v>999</v>
      </c>
      <c r="G94" s="49">
        <v>1</v>
      </c>
      <c r="H94" s="49">
        <v>3.6666666666666665</v>
      </c>
      <c r="I94" s="48"/>
    </row>
    <row r="95" spans="1:9" x14ac:dyDescent="0.7">
      <c r="A95" s="44" t="s">
        <v>1037</v>
      </c>
      <c r="B95" s="44" t="s">
        <v>341</v>
      </c>
      <c r="C95" s="47">
        <f t="shared" si="12"/>
        <v>46657</v>
      </c>
      <c r="D95" s="47">
        <f t="shared" si="9"/>
        <v>46661</v>
      </c>
      <c r="E95" s="47">
        <f t="shared" si="11"/>
        <v>46663</v>
      </c>
      <c r="F95" s="48" t="s">
        <v>1001</v>
      </c>
      <c r="G95" s="49">
        <v>1</v>
      </c>
      <c r="H95" s="49">
        <v>5</v>
      </c>
      <c r="I95" s="48"/>
    </row>
    <row r="96" spans="1:9" x14ac:dyDescent="0.7">
      <c r="A96" s="44" t="s">
        <v>1038</v>
      </c>
      <c r="B96" s="44" t="s">
        <v>341</v>
      </c>
      <c r="C96" s="47">
        <f t="shared" si="12"/>
        <v>46664</v>
      </c>
      <c r="D96" s="47">
        <f t="shared" si="9"/>
        <v>46668</v>
      </c>
      <c r="E96" s="47">
        <f t="shared" si="11"/>
        <v>46670</v>
      </c>
      <c r="F96" s="48" t="s">
        <v>1001</v>
      </c>
      <c r="G96" s="49">
        <v>1</v>
      </c>
      <c r="H96" s="49">
        <v>5</v>
      </c>
      <c r="I96" s="48"/>
    </row>
    <row r="97" spans="1:9" x14ac:dyDescent="0.7">
      <c r="A97" s="44" t="s">
        <v>1039</v>
      </c>
      <c r="B97" s="44" t="s">
        <v>341</v>
      </c>
      <c r="C97" s="47">
        <f t="shared" si="12"/>
        <v>46671</v>
      </c>
      <c r="D97" s="47">
        <f t="shared" si="9"/>
        <v>46675</v>
      </c>
      <c r="E97" s="47">
        <f t="shared" si="11"/>
        <v>46677</v>
      </c>
      <c r="F97" s="48" t="s">
        <v>1001</v>
      </c>
      <c r="G97" s="49">
        <v>1</v>
      </c>
      <c r="H97" s="49">
        <v>5</v>
      </c>
      <c r="I97" s="48"/>
    </row>
    <row r="98" spans="1:9" x14ac:dyDescent="0.7">
      <c r="A98" s="44" t="s">
        <v>1040</v>
      </c>
      <c r="B98" s="44" t="s">
        <v>341</v>
      </c>
      <c r="C98" s="47">
        <f t="shared" si="12"/>
        <v>46678</v>
      </c>
      <c r="D98" s="47">
        <f t="shared" si="9"/>
        <v>46682</v>
      </c>
      <c r="E98" s="47">
        <f t="shared" si="11"/>
        <v>46684</v>
      </c>
      <c r="F98" s="48" t="s">
        <v>1001</v>
      </c>
      <c r="G98" s="49">
        <v>1</v>
      </c>
      <c r="H98" s="49">
        <v>5</v>
      </c>
      <c r="I98" s="48"/>
    </row>
    <row r="99" spans="1:9" x14ac:dyDescent="0.7">
      <c r="A99" s="44" t="s">
        <v>1041</v>
      </c>
      <c r="B99" s="44" t="s">
        <v>341</v>
      </c>
      <c r="C99" s="47">
        <f t="shared" si="12"/>
        <v>46685</v>
      </c>
      <c r="D99" s="47">
        <f t="shared" si="9"/>
        <v>46689</v>
      </c>
      <c r="E99" s="47">
        <f t="shared" si="11"/>
        <v>46691</v>
      </c>
      <c r="F99" s="48" t="s">
        <v>1001</v>
      </c>
      <c r="G99" s="49">
        <v>1</v>
      </c>
      <c r="H99" s="49">
        <v>5</v>
      </c>
      <c r="I99" s="48"/>
    </row>
    <row r="100" spans="1:9" x14ac:dyDescent="0.7">
      <c r="A100" s="44" t="s">
        <v>1042</v>
      </c>
      <c r="B100" s="44" t="s">
        <v>355</v>
      </c>
      <c r="C100" s="47">
        <f t="shared" si="12"/>
        <v>46692</v>
      </c>
      <c r="D100" s="47">
        <f t="shared" si="9"/>
        <v>46696</v>
      </c>
      <c r="E100" s="47">
        <f t="shared" si="11"/>
        <v>46698</v>
      </c>
      <c r="F100" s="48" t="s">
        <v>1002</v>
      </c>
      <c r="G100" s="49">
        <v>1</v>
      </c>
      <c r="H100" s="49">
        <v>3.8333333333333335</v>
      </c>
      <c r="I100" s="48"/>
    </row>
    <row r="101" spans="1:9" x14ac:dyDescent="0.7">
      <c r="A101" s="44" t="s">
        <v>1043</v>
      </c>
      <c r="B101" s="44" t="s">
        <v>355</v>
      </c>
      <c r="C101" s="47">
        <f t="shared" si="12"/>
        <v>46699</v>
      </c>
      <c r="D101" s="47">
        <f t="shared" si="9"/>
        <v>46703</v>
      </c>
      <c r="E101" s="47">
        <f t="shared" si="11"/>
        <v>46705</v>
      </c>
      <c r="F101" s="48" t="s">
        <v>1002</v>
      </c>
      <c r="G101" s="49">
        <v>1</v>
      </c>
      <c r="H101" s="49">
        <v>3.8333333333333335</v>
      </c>
      <c r="I101" s="48"/>
    </row>
    <row r="102" spans="1:9" x14ac:dyDescent="0.7">
      <c r="A102" s="44" t="s">
        <v>1044</v>
      </c>
      <c r="B102" s="44" t="s">
        <v>355</v>
      </c>
      <c r="C102" s="47">
        <f t="shared" si="12"/>
        <v>46706</v>
      </c>
      <c r="D102" s="47">
        <f t="shared" si="9"/>
        <v>46710</v>
      </c>
      <c r="E102" s="47">
        <f t="shared" si="11"/>
        <v>46712</v>
      </c>
      <c r="F102" s="48" t="s">
        <v>1002</v>
      </c>
      <c r="G102" s="49">
        <v>1</v>
      </c>
      <c r="H102" s="49">
        <v>3.8333333333333335</v>
      </c>
      <c r="I102" s="48"/>
    </row>
    <row r="103" spans="1:9" x14ac:dyDescent="0.7">
      <c r="A103" s="44" t="s">
        <v>1045</v>
      </c>
      <c r="B103" s="44" t="s">
        <v>355</v>
      </c>
      <c r="C103" s="47">
        <f t="shared" si="12"/>
        <v>46713</v>
      </c>
      <c r="D103" s="47">
        <f t="shared" ref="D103:D107" si="13">E103-2</f>
        <v>46717</v>
      </c>
      <c r="E103" s="47">
        <f t="shared" si="11"/>
        <v>46719</v>
      </c>
      <c r="F103" s="48" t="s">
        <v>1002</v>
      </c>
      <c r="G103" s="49">
        <v>0.83333333333333337</v>
      </c>
      <c r="H103" s="49">
        <v>3.8333333333333335</v>
      </c>
      <c r="I103" s="48" t="s">
        <v>1046</v>
      </c>
    </row>
    <row r="104" spans="1:9" x14ac:dyDescent="0.7">
      <c r="A104" s="44" t="s">
        <v>1047</v>
      </c>
      <c r="B104" s="44" t="s">
        <v>356</v>
      </c>
      <c r="C104" s="47">
        <f t="shared" si="12"/>
        <v>46720</v>
      </c>
      <c r="D104" s="47">
        <f t="shared" si="13"/>
        <v>46724</v>
      </c>
      <c r="E104" s="47">
        <f t="shared" si="11"/>
        <v>46726</v>
      </c>
      <c r="F104" s="48" t="s">
        <v>1004</v>
      </c>
      <c r="G104" s="49">
        <v>1</v>
      </c>
      <c r="H104" s="49">
        <v>4</v>
      </c>
      <c r="I104" s="48"/>
    </row>
    <row r="105" spans="1:9" x14ac:dyDescent="0.7">
      <c r="A105" s="44" t="s">
        <v>1048</v>
      </c>
      <c r="B105" s="44" t="s">
        <v>356</v>
      </c>
      <c r="C105" s="47">
        <f t="shared" si="12"/>
        <v>46727</v>
      </c>
      <c r="D105" s="47">
        <f t="shared" si="13"/>
        <v>46731</v>
      </c>
      <c r="E105" s="47">
        <f t="shared" si="11"/>
        <v>46733</v>
      </c>
      <c r="F105" s="48" t="s">
        <v>1004</v>
      </c>
      <c r="G105" s="49">
        <v>1</v>
      </c>
      <c r="H105" s="49">
        <v>4</v>
      </c>
      <c r="I105" s="48"/>
    </row>
    <row r="106" spans="1:9" x14ac:dyDescent="0.7">
      <c r="A106" s="44" t="s">
        <v>1049</v>
      </c>
      <c r="B106" s="44" t="s">
        <v>356</v>
      </c>
      <c r="C106" s="47">
        <f t="shared" si="12"/>
        <v>46734</v>
      </c>
      <c r="D106" s="47">
        <f t="shared" si="13"/>
        <v>46738</v>
      </c>
      <c r="E106" s="47">
        <f t="shared" si="11"/>
        <v>46740</v>
      </c>
      <c r="F106" s="48" t="s">
        <v>1004</v>
      </c>
      <c r="G106" s="49">
        <v>1</v>
      </c>
      <c r="H106" s="49">
        <v>4</v>
      </c>
      <c r="I106" s="48"/>
    </row>
    <row r="107" spans="1:9" x14ac:dyDescent="0.7">
      <c r="A107" s="44" t="s">
        <v>1050</v>
      </c>
      <c r="B107" s="44" t="s">
        <v>356</v>
      </c>
      <c r="C107" s="47">
        <f t="shared" si="12"/>
        <v>46741</v>
      </c>
      <c r="D107" s="47">
        <f t="shared" si="13"/>
        <v>46745</v>
      </c>
      <c r="E107" s="47">
        <f t="shared" si="11"/>
        <v>46747</v>
      </c>
      <c r="F107" s="48" t="s">
        <v>1004</v>
      </c>
      <c r="G107" s="49">
        <v>1</v>
      </c>
      <c r="H107" s="49">
        <v>4</v>
      </c>
      <c r="I107" s="48"/>
    </row>
  </sheetData>
  <autoFilter ref="A2:H55" xr:uid="{97091D96-AFB9-4565-BD23-350B5BE34F85}"/>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19CD6-5D6B-43F0-B47F-00CAAC710CE3}">
  <dimension ref="A1:L8"/>
  <sheetViews>
    <sheetView workbookViewId="0">
      <selection activeCell="F9" sqref="F9"/>
    </sheetView>
  </sheetViews>
  <sheetFormatPr defaultRowHeight="14.5" x14ac:dyDescent="0.35"/>
  <cols>
    <col min="2" max="2" width="14.36328125" customWidth="1"/>
    <col min="6" max="6" width="10.81640625" customWidth="1"/>
    <col min="7" max="7" width="9.08984375" bestFit="1" customWidth="1"/>
    <col min="8" max="8" width="15.81640625" bestFit="1" customWidth="1"/>
    <col min="9" max="9" width="12.1796875" customWidth="1"/>
    <col min="10" max="10" width="36.54296875" bestFit="1" customWidth="1"/>
    <col min="14" max="14" width="14.08984375" customWidth="1"/>
    <col min="15" max="15" width="19.453125" customWidth="1"/>
  </cols>
  <sheetData>
    <row r="1" spans="1:12" x14ac:dyDescent="0.35">
      <c r="B1" s="12"/>
      <c r="C1" s="12" t="s">
        <v>1574</v>
      </c>
      <c r="D1" s="12" t="s">
        <v>1575</v>
      </c>
      <c r="E1" s="12" t="s">
        <v>1576</v>
      </c>
      <c r="F1" s="12" t="s">
        <v>1588</v>
      </c>
      <c r="G1" s="12" t="s">
        <v>1580</v>
      </c>
      <c r="H1" s="12" t="s">
        <v>1581</v>
      </c>
      <c r="I1" s="12" t="s">
        <v>1582</v>
      </c>
      <c r="L1" s="12"/>
    </row>
    <row r="2" spans="1:12" x14ac:dyDescent="0.35">
      <c r="C2" s="12">
        <v>23</v>
      </c>
      <c r="D2" s="12">
        <v>27</v>
      </c>
      <c r="E2" s="267">
        <f>SUM(E3:E5)</f>
        <v>71</v>
      </c>
    </row>
    <row r="3" spans="1:12" x14ac:dyDescent="0.35">
      <c r="A3" t="s">
        <v>1583</v>
      </c>
      <c r="B3" t="s">
        <v>1577</v>
      </c>
      <c r="D3">
        <v>15</v>
      </c>
      <c r="E3">
        <v>24</v>
      </c>
      <c r="F3" t="s">
        <v>1007</v>
      </c>
      <c r="G3" s="253">
        <f>VLOOKUP(F3,'2026 Calendar'!A:E,5,0)</f>
        <v>46418</v>
      </c>
      <c r="H3">
        <v>50</v>
      </c>
      <c r="I3" s="253">
        <f>H3+G3</f>
        <v>46468</v>
      </c>
      <c r="J3" t="s">
        <v>1589</v>
      </c>
    </row>
    <row r="4" spans="1:12" x14ac:dyDescent="0.35">
      <c r="A4" t="s">
        <v>1583</v>
      </c>
      <c r="B4" t="s">
        <v>1578</v>
      </c>
      <c r="E4">
        <v>26</v>
      </c>
      <c r="F4" t="s">
        <v>781</v>
      </c>
      <c r="G4" s="253">
        <f>VLOOKUP(F4,'2026 Calendar'!A:E,5,0)</f>
        <v>46453</v>
      </c>
      <c r="H4">
        <v>50</v>
      </c>
      <c r="I4" s="253">
        <f t="shared" ref="I4:I5" si="0">H4+G4</f>
        <v>46503</v>
      </c>
    </row>
    <row r="5" spans="1:12" x14ac:dyDescent="0.35">
      <c r="A5" t="s">
        <v>1583</v>
      </c>
      <c r="B5" t="s">
        <v>1579</v>
      </c>
      <c r="E5" s="241">
        <v>21</v>
      </c>
      <c r="F5" t="s">
        <v>1011</v>
      </c>
      <c r="G5" s="253">
        <f>VLOOKUP(F5,'2026 Calendar'!A:E,5,0)</f>
        <v>46467</v>
      </c>
      <c r="H5">
        <v>50</v>
      </c>
      <c r="I5" s="253">
        <f t="shared" si="0"/>
        <v>46517</v>
      </c>
    </row>
    <row r="7" spans="1:12" x14ac:dyDescent="0.35">
      <c r="A7" t="s">
        <v>1584</v>
      </c>
      <c r="E7">
        <v>19</v>
      </c>
      <c r="F7" t="s">
        <v>1585</v>
      </c>
    </row>
    <row r="8" spans="1:12" x14ac:dyDescent="0.35">
      <c r="A8" s="267" t="s">
        <v>1586</v>
      </c>
      <c r="E8" s="267">
        <v>72</v>
      </c>
      <c r="F8" s="267" t="s">
        <v>1587</v>
      </c>
    </row>
  </sheetData>
  <phoneticPr fontId="50"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A4422-886A-410A-8B5D-0CBA4D903806}">
  <dimension ref="A1:F54"/>
  <sheetViews>
    <sheetView zoomScale="80" zoomScaleNormal="80" workbookViewId="0">
      <pane xSplit="3" ySplit="1" topLeftCell="D2" activePane="bottomRight" state="frozen"/>
      <selection pane="topRight" activeCell="D1" sqref="D1"/>
      <selection pane="bottomLeft" activeCell="A2" sqref="A2"/>
      <selection pane="bottomRight" activeCell="C9" sqref="C9"/>
    </sheetView>
  </sheetViews>
  <sheetFormatPr defaultRowHeight="14.5" x14ac:dyDescent="0.35"/>
  <cols>
    <col min="1" max="1" width="15.453125" customWidth="1"/>
    <col min="2" max="2" width="41.81640625" bestFit="1" customWidth="1"/>
    <col min="3" max="3" width="50.453125" bestFit="1" customWidth="1"/>
    <col min="4" max="4" width="11.08984375" bestFit="1" customWidth="1"/>
    <col min="5" max="5" width="18" bestFit="1" customWidth="1"/>
    <col min="6" max="6" width="17.6328125" bestFit="1" customWidth="1"/>
    <col min="7" max="23" width="18" bestFit="1" customWidth="1"/>
    <col min="24" max="24" width="11" bestFit="1" customWidth="1"/>
  </cols>
  <sheetData>
    <row r="1" spans="1:6" x14ac:dyDescent="0.35">
      <c r="A1" s="9" t="s">
        <v>218</v>
      </c>
      <c r="B1" t="s">
        <v>1051</v>
      </c>
    </row>
    <row r="3" spans="1:6" x14ac:dyDescent="0.35">
      <c r="A3" s="9" t="s">
        <v>211</v>
      </c>
      <c r="B3" s="9" t="s">
        <v>213</v>
      </c>
      <c r="C3" s="9" t="s">
        <v>216</v>
      </c>
      <c r="D3" s="9" t="s">
        <v>225</v>
      </c>
      <c r="E3" s="9" t="s">
        <v>236</v>
      </c>
      <c r="F3" s="9" t="s">
        <v>235</v>
      </c>
    </row>
    <row r="4" spans="1:6" x14ac:dyDescent="0.35">
      <c r="A4" t="s">
        <v>323</v>
      </c>
      <c r="B4" t="s">
        <v>376</v>
      </c>
      <c r="C4" t="s">
        <v>729</v>
      </c>
      <c r="D4" t="s">
        <v>147</v>
      </c>
      <c r="E4" t="s">
        <v>483</v>
      </c>
      <c r="F4" t="s">
        <v>330</v>
      </c>
    </row>
    <row r="5" spans="1:6" x14ac:dyDescent="0.35">
      <c r="A5" t="s">
        <v>323</v>
      </c>
      <c r="B5" t="s">
        <v>427</v>
      </c>
      <c r="C5" t="s">
        <v>758</v>
      </c>
      <c r="D5" t="s">
        <v>51</v>
      </c>
      <c r="E5" t="s">
        <v>483</v>
      </c>
      <c r="F5" t="s">
        <v>297</v>
      </c>
    </row>
    <row r="6" spans="1:6" x14ac:dyDescent="0.35">
      <c r="A6" t="s">
        <v>323</v>
      </c>
      <c r="B6" t="s">
        <v>427</v>
      </c>
      <c r="C6" t="s">
        <v>762</v>
      </c>
      <c r="D6" t="s">
        <v>51</v>
      </c>
      <c r="E6" t="s">
        <v>721</v>
      </c>
      <c r="F6" t="s">
        <v>315</v>
      </c>
    </row>
    <row r="7" spans="1:6" x14ac:dyDescent="0.35">
      <c r="A7" t="s">
        <v>323</v>
      </c>
      <c r="B7" t="s">
        <v>427</v>
      </c>
      <c r="C7" t="s">
        <v>733</v>
      </c>
      <c r="D7" t="s">
        <v>51</v>
      </c>
      <c r="E7" t="s">
        <v>721</v>
      </c>
      <c r="F7" t="s">
        <v>315</v>
      </c>
    </row>
    <row r="8" spans="1:6" x14ac:dyDescent="0.35">
      <c r="A8" t="s">
        <v>323</v>
      </c>
      <c r="B8" t="s">
        <v>427</v>
      </c>
      <c r="C8" t="s">
        <v>765</v>
      </c>
      <c r="D8" t="s">
        <v>51</v>
      </c>
      <c r="E8" t="s">
        <v>721</v>
      </c>
      <c r="F8" t="s">
        <v>315</v>
      </c>
    </row>
    <row r="9" spans="1:6" x14ac:dyDescent="0.35">
      <c r="A9" t="s">
        <v>323</v>
      </c>
      <c r="B9" t="s">
        <v>427</v>
      </c>
      <c r="C9" t="s">
        <v>797</v>
      </c>
      <c r="D9" t="s">
        <v>51</v>
      </c>
      <c r="E9" t="s">
        <v>721</v>
      </c>
      <c r="F9" t="s">
        <v>315</v>
      </c>
    </row>
    <row r="10" spans="1:6" x14ac:dyDescent="0.35">
      <c r="A10" t="s">
        <v>323</v>
      </c>
      <c r="B10" t="s">
        <v>176</v>
      </c>
      <c r="C10" t="s">
        <v>727</v>
      </c>
      <c r="D10" t="s">
        <v>51</v>
      </c>
      <c r="E10" t="s">
        <v>483</v>
      </c>
      <c r="F10" t="s">
        <v>282</v>
      </c>
    </row>
    <row r="11" spans="1:6" x14ac:dyDescent="0.35">
      <c r="A11" t="s">
        <v>323</v>
      </c>
      <c r="B11" t="s">
        <v>176</v>
      </c>
      <c r="C11" t="s">
        <v>730</v>
      </c>
      <c r="D11" t="s">
        <v>51</v>
      </c>
      <c r="E11" t="s">
        <v>483</v>
      </c>
      <c r="F11" t="s">
        <v>282</v>
      </c>
    </row>
    <row r="12" spans="1:6" x14ac:dyDescent="0.35">
      <c r="A12" t="s">
        <v>323</v>
      </c>
      <c r="B12" t="s">
        <v>176</v>
      </c>
      <c r="C12" t="s">
        <v>735</v>
      </c>
      <c r="D12" t="s">
        <v>51</v>
      </c>
      <c r="E12" t="s">
        <v>483</v>
      </c>
      <c r="F12" t="s">
        <v>311</v>
      </c>
    </row>
    <row r="13" spans="1:6" x14ac:dyDescent="0.35">
      <c r="A13" s="255" t="s">
        <v>786</v>
      </c>
      <c r="B13" s="255"/>
      <c r="C13" s="255"/>
      <c r="D13" s="255"/>
      <c r="E13" s="255"/>
      <c r="F13" s="255"/>
    </row>
    <row r="14" spans="1:6" x14ac:dyDescent="0.35">
      <c r="A14" t="s">
        <v>268</v>
      </c>
      <c r="B14" t="s">
        <v>373</v>
      </c>
      <c r="C14" t="s">
        <v>728</v>
      </c>
      <c r="D14" t="s">
        <v>132</v>
      </c>
      <c r="E14" t="s">
        <v>721</v>
      </c>
      <c r="F14" t="s">
        <v>336</v>
      </c>
    </row>
    <row r="15" spans="1:6" x14ac:dyDescent="0.35">
      <c r="A15" t="s">
        <v>268</v>
      </c>
      <c r="B15" t="s">
        <v>376</v>
      </c>
      <c r="C15" t="s">
        <v>729</v>
      </c>
      <c r="D15" t="s">
        <v>147</v>
      </c>
      <c r="E15" t="s">
        <v>721</v>
      </c>
      <c r="F15" t="s">
        <v>286</v>
      </c>
    </row>
    <row r="16" spans="1:6" x14ac:dyDescent="0.35">
      <c r="A16" t="s">
        <v>268</v>
      </c>
      <c r="B16" t="s">
        <v>427</v>
      </c>
      <c r="C16" t="s">
        <v>788</v>
      </c>
      <c r="D16" t="s">
        <v>51</v>
      </c>
      <c r="E16" t="s">
        <v>149</v>
      </c>
      <c r="F16" t="s">
        <v>149</v>
      </c>
    </row>
    <row r="17" spans="1:6" x14ac:dyDescent="0.35">
      <c r="A17" t="s">
        <v>268</v>
      </c>
      <c r="B17" t="s">
        <v>427</v>
      </c>
      <c r="C17" t="s">
        <v>732</v>
      </c>
      <c r="D17" t="s">
        <v>51</v>
      </c>
      <c r="E17" t="s">
        <v>721</v>
      </c>
      <c r="F17" t="s">
        <v>315</v>
      </c>
    </row>
    <row r="18" spans="1:6" x14ac:dyDescent="0.35">
      <c r="A18" t="s">
        <v>268</v>
      </c>
      <c r="B18" t="s">
        <v>427</v>
      </c>
      <c r="C18" t="s">
        <v>733</v>
      </c>
      <c r="D18" t="s">
        <v>51</v>
      </c>
      <c r="E18" t="s">
        <v>721</v>
      </c>
      <c r="F18" t="s">
        <v>328</v>
      </c>
    </row>
    <row r="19" spans="1:6" x14ac:dyDescent="0.35">
      <c r="A19" t="s">
        <v>268</v>
      </c>
      <c r="B19" t="s">
        <v>427</v>
      </c>
      <c r="C19" t="s">
        <v>733</v>
      </c>
      <c r="D19" t="s">
        <v>51</v>
      </c>
      <c r="E19" t="s">
        <v>721</v>
      </c>
      <c r="F19" t="s">
        <v>286</v>
      </c>
    </row>
    <row r="20" spans="1:6" x14ac:dyDescent="0.35">
      <c r="A20" t="s">
        <v>268</v>
      </c>
      <c r="B20" t="s">
        <v>427</v>
      </c>
      <c r="C20" t="s">
        <v>733</v>
      </c>
      <c r="D20" t="s">
        <v>51</v>
      </c>
      <c r="E20" t="s">
        <v>721</v>
      </c>
      <c r="F20" t="s">
        <v>288</v>
      </c>
    </row>
    <row r="21" spans="1:6" x14ac:dyDescent="0.35">
      <c r="A21" t="s">
        <v>268</v>
      </c>
      <c r="B21" t="s">
        <v>427</v>
      </c>
      <c r="C21" t="s">
        <v>1599</v>
      </c>
      <c r="D21" t="s">
        <v>51</v>
      </c>
      <c r="E21" t="s">
        <v>721</v>
      </c>
      <c r="F21" t="s">
        <v>345</v>
      </c>
    </row>
    <row r="22" spans="1:6" x14ac:dyDescent="0.35">
      <c r="A22" t="s">
        <v>268</v>
      </c>
      <c r="B22" t="s">
        <v>427</v>
      </c>
      <c r="C22" t="s">
        <v>1602</v>
      </c>
      <c r="D22" t="s">
        <v>51</v>
      </c>
      <c r="E22" t="s">
        <v>721</v>
      </c>
      <c r="F22" t="s">
        <v>345</v>
      </c>
    </row>
    <row r="23" spans="1:6" x14ac:dyDescent="0.35">
      <c r="A23" t="s">
        <v>268</v>
      </c>
      <c r="B23" t="s">
        <v>366</v>
      </c>
      <c r="C23" t="s">
        <v>724</v>
      </c>
      <c r="D23" t="s">
        <v>152</v>
      </c>
      <c r="E23" t="s">
        <v>721</v>
      </c>
      <c r="F23" t="s">
        <v>328</v>
      </c>
    </row>
    <row r="24" spans="1:6" x14ac:dyDescent="0.35">
      <c r="A24" t="s">
        <v>268</v>
      </c>
      <c r="B24" t="s">
        <v>366</v>
      </c>
      <c r="C24" t="s">
        <v>724</v>
      </c>
      <c r="D24" t="s">
        <v>152</v>
      </c>
      <c r="E24" t="s">
        <v>721</v>
      </c>
      <c r="F24" t="s">
        <v>286</v>
      </c>
    </row>
    <row r="25" spans="1:6" x14ac:dyDescent="0.35">
      <c r="A25" t="s">
        <v>268</v>
      </c>
      <c r="B25" t="s">
        <v>98</v>
      </c>
      <c r="C25" t="s">
        <v>725</v>
      </c>
      <c r="D25" t="s">
        <v>51</v>
      </c>
      <c r="E25" t="s">
        <v>721</v>
      </c>
      <c r="F25" t="s">
        <v>328</v>
      </c>
    </row>
    <row r="26" spans="1:6" x14ac:dyDescent="0.35">
      <c r="A26" t="s">
        <v>268</v>
      </c>
      <c r="B26" t="s">
        <v>98</v>
      </c>
      <c r="C26" t="s">
        <v>725</v>
      </c>
      <c r="D26" t="s">
        <v>51</v>
      </c>
      <c r="E26" t="s">
        <v>721</v>
      </c>
      <c r="F26" t="s">
        <v>286</v>
      </c>
    </row>
    <row r="27" spans="1:6" x14ac:dyDescent="0.35">
      <c r="A27" t="s">
        <v>268</v>
      </c>
      <c r="B27" t="s">
        <v>98</v>
      </c>
      <c r="C27" t="s">
        <v>725</v>
      </c>
      <c r="D27" t="s">
        <v>51</v>
      </c>
      <c r="E27" t="s">
        <v>721</v>
      </c>
      <c r="F27" t="s">
        <v>288</v>
      </c>
    </row>
    <row r="28" spans="1:6" x14ac:dyDescent="0.35">
      <c r="A28" t="s">
        <v>268</v>
      </c>
      <c r="B28" t="s">
        <v>98</v>
      </c>
      <c r="C28" t="s">
        <v>531</v>
      </c>
      <c r="D28" t="s">
        <v>51</v>
      </c>
      <c r="E28" t="s">
        <v>483</v>
      </c>
      <c r="F28" t="s">
        <v>311</v>
      </c>
    </row>
    <row r="29" spans="1:6" x14ac:dyDescent="0.35">
      <c r="A29" t="s">
        <v>268</v>
      </c>
      <c r="B29" t="s">
        <v>98</v>
      </c>
      <c r="C29" t="s">
        <v>794</v>
      </c>
      <c r="D29" t="s">
        <v>51</v>
      </c>
      <c r="E29" t="s">
        <v>721</v>
      </c>
      <c r="F29" t="s">
        <v>286</v>
      </c>
    </row>
    <row r="30" spans="1:6" x14ac:dyDescent="0.35">
      <c r="A30" t="s">
        <v>268</v>
      </c>
      <c r="B30" t="s">
        <v>98</v>
      </c>
      <c r="C30" t="s">
        <v>794</v>
      </c>
      <c r="D30" t="s">
        <v>51</v>
      </c>
      <c r="E30" t="s">
        <v>721</v>
      </c>
      <c r="F30" t="s">
        <v>288</v>
      </c>
    </row>
    <row r="31" spans="1:6" x14ac:dyDescent="0.35">
      <c r="A31" t="s">
        <v>268</v>
      </c>
      <c r="B31" t="s">
        <v>98</v>
      </c>
      <c r="C31" t="s">
        <v>794</v>
      </c>
      <c r="D31" t="s">
        <v>51</v>
      </c>
      <c r="E31" t="s">
        <v>721</v>
      </c>
      <c r="F31" t="s">
        <v>289</v>
      </c>
    </row>
    <row r="32" spans="1:6" x14ac:dyDescent="0.35">
      <c r="A32" t="s">
        <v>268</v>
      </c>
      <c r="B32" t="s">
        <v>98</v>
      </c>
      <c r="C32" t="s">
        <v>794</v>
      </c>
      <c r="D32" t="s">
        <v>51</v>
      </c>
      <c r="E32" t="s">
        <v>721</v>
      </c>
      <c r="F32" t="s">
        <v>370</v>
      </c>
    </row>
    <row r="33" spans="1:6" x14ac:dyDescent="0.35">
      <c r="A33" t="s">
        <v>268</v>
      </c>
      <c r="B33" t="s">
        <v>98</v>
      </c>
      <c r="C33" t="s">
        <v>794</v>
      </c>
      <c r="D33" t="s">
        <v>51</v>
      </c>
      <c r="E33" t="s">
        <v>721</v>
      </c>
      <c r="F33" t="s">
        <v>341</v>
      </c>
    </row>
    <row r="34" spans="1:6" x14ac:dyDescent="0.35">
      <c r="A34" t="s">
        <v>268</v>
      </c>
      <c r="B34" t="s">
        <v>98</v>
      </c>
      <c r="C34" t="s">
        <v>529</v>
      </c>
      <c r="D34" t="s">
        <v>51</v>
      </c>
      <c r="E34" t="s">
        <v>483</v>
      </c>
      <c r="F34" t="s">
        <v>330</v>
      </c>
    </row>
    <row r="35" spans="1:6" x14ac:dyDescent="0.35">
      <c r="A35" t="s">
        <v>268</v>
      </c>
      <c r="B35" t="s">
        <v>417</v>
      </c>
      <c r="C35" t="s">
        <v>532</v>
      </c>
      <c r="D35" t="s">
        <v>51</v>
      </c>
      <c r="E35" t="s">
        <v>483</v>
      </c>
      <c r="F35" t="s">
        <v>303</v>
      </c>
    </row>
    <row r="36" spans="1:6" x14ac:dyDescent="0.35">
      <c r="A36" t="s">
        <v>268</v>
      </c>
      <c r="B36" t="s">
        <v>143</v>
      </c>
      <c r="C36" t="s">
        <v>535</v>
      </c>
      <c r="D36" t="s">
        <v>51</v>
      </c>
      <c r="E36" t="s">
        <v>483</v>
      </c>
      <c r="F36" t="s">
        <v>303</v>
      </c>
    </row>
    <row r="37" spans="1:6" x14ac:dyDescent="0.35">
      <c r="A37" t="s">
        <v>268</v>
      </c>
      <c r="B37" t="s">
        <v>122</v>
      </c>
      <c r="C37" t="s">
        <v>525</v>
      </c>
      <c r="D37" t="s">
        <v>51</v>
      </c>
      <c r="E37" t="s">
        <v>483</v>
      </c>
      <c r="F37" t="s">
        <v>311</v>
      </c>
    </row>
    <row r="38" spans="1:6" x14ac:dyDescent="0.35">
      <c r="A38" t="s">
        <v>268</v>
      </c>
      <c r="B38" t="s">
        <v>122</v>
      </c>
      <c r="C38" t="s">
        <v>525</v>
      </c>
      <c r="D38" t="s">
        <v>51</v>
      </c>
      <c r="E38" t="s">
        <v>483</v>
      </c>
      <c r="F38" t="s">
        <v>330</v>
      </c>
    </row>
    <row r="39" spans="1:6" x14ac:dyDescent="0.35">
      <c r="A39" t="s">
        <v>268</v>
      </c>
      <c r="B39" t="s">
        <v>122</v>
      </c>
      <c r="C39" t="s">
        <v>533</v>
      </c>
      <c r="D39" t="s">
        <v>51</v>
      </c>
      <c r="E39" t="s">
        <v>483</v>
      </c>
      <c r="F39" t="s">
        <v>303</v>
      </c>
    </row>
    <row r="40" spans="1:6" x14ac:dyDescent="0.35">
      <c r="A40" t="s">
        <v>268</v>
      </c>
      <c r="B40" t="s">
        <v>122</v>
      </c>
      <c r="C40" t="s">
        <v>1598</v>
      </c>
      <c r="D40" t="s">
        <v>51</v>
      </c>
      <c r="E40" t="s">
        <v>483</v>
      </c>
      <c r="F40" t="s">
        <v>330</v>
      </c>
    </row>
    <row r="41" spans="1:6" x14ac:dyDescent="0.35">
      <c r="A41" t="s">
        <v>268</v>
      </c>
      <c r="B41" t="s">
        <v>82</v>
      </c>
      <c r="C41" t="s">
        <v>723</v>
      </c>
      <c r="D41" t="s">
        <v>275</v>
      </c>
      <c r="E41" t="s">
        <v>721</v>
      </c>
      <c r="F41" t="s">
        <v>341</v>
      </c>
    </row>
    <row r="42" spans="1:6" x14ac:dyDescent="0.35">
      <c r="A42" t="s">
        <v>268</v>
      </c>
      <c r="B42" t="s">
        <v>82</v>
      </c>
      <c r="C42" t="s">
        <v>723</v>
      </c>
      <c r="D42" t="s">
        <v>275</v>
      </c>
      <c r="E42" t="s">
        <v>721</v>
      </c>
      <c r="F42" t="s">
        <v>355</v>
      </c>
    </row>
    <row r="43" spans="1:6" x14ac:dyDescent="0.35">
      <c r="A43" t="s">
        <v>268</v>
      </c>
      <c r="B43" t="s">
        <v>82</v>
      </c>
      <c r="C43" t="s">
        <v>723</v>
      </c>
      <c r="D43" t="s">
        <v>275</v>
      </c>
      <c r="E43" t="s">
        <v>721</v>
      </c>
      <c r="F43" t="s">
        <v>356</v>
      </c>
    </row>
    <row r="44" spans="1:6" x14ac:dyDescent="0.35">
      <c r="A44" t="s">
        <v>268</v>
      </c>
      <c r="B44" t="s">
        <v>82</v>
      </c>
      <c r="C44" t="s">
        <v>722</v>
      </c>
      <c r="D44" t="s">
        <v>96</v>
      </c>
      <c r="E44" t="s">
        <v>721</v>
      </c>
      <c r="F44" t="s">
        <v>341</v>
      </c>
    </row>
    <row r="45" spans="1:6" x14ac:dyDescent="0.35">
      <c r="A45" t="s">
        <v>268</v>
      </c>
      <c r="B45" t="s">
        <v>82</v>
      </c>
      <c r="C45" t="s">
        <v>726</v>
      </c>
      <c r="D45" t="s">
        <v>51</v>
      </c>
      <c r="E45" t="s">
        <v>721</v>
      </c>
      <c r="F45" t="s">
        <v>370</v>
      </c>
    </row>
    <row r="46" spans="1:6" x14ac:dyDescent="0.35">
      <c r="A46" t="s">
        <v>268</v>
      </c>
      <c r="B46" t="s">
        <v>82</v>
      </c>
      <c r="C46" t="s">
        <v>726</v>
      </c>
      <c r="D46" t="s">
        <v>51</v>
      </c>
      <c r="E46" t="s">
        <v>721</v>
      </c>
      <c r="F46" t="s">
        <v>341</v>
      </c>
    </row>
    <row r="47" spans="1:6" x14ac:dyDescent="0.35">
      <c r="A47" t="s">
        <v>268</v>
      </c>
      <c r="B47" t="s">
        <v>82</v>
      </c>
      <c r="C47" t="s">
        <v>534</v>
      </c>
      <c r="D47" t="s">
        <v>51</v>
      </c>
      <c r="E47" t="s">
        <v>483</v>
      </c>
      <c r="F47" t="s">
        <v>311</v>
      </c>
    </row>
    <row r="48" spans="1:6" x14ac:dyDescent="0.35">
      <c r="A48" t="s">
        <v>268</v>
      </c>
      <c r="B48" t="s">
        <v>176</v>
      </c>
      <c r="C48" t="s">
        <v>727</v>
      </c>
      <c r="D48" t="s">
        <v>51</v>
      </c>
      <c r="E48" t="s">
        <v>721</v>
      </c>
      <c r="F48" t="s">
        <v>345</v>
      </c>
    </row>
    <row r="49" spans="1:6" x14ac:dyDescent="0.35">
      <c r="A49" t="s">
        <v>268</v>
      </c>
      <c r="B49" t="s">
        <v>176</v>
      </c>
      <c r="C49" t="s">
        <v>730</v>
      </c>
      <c r="D49" t="s">
        <v>51</v>
      </c>
      <c r="E49" t="s">
        <v>721</v>
      </c>
      <c r="F49" t="s">
        <v>336</v>
      </c>
    </row>
    <row r="50" spans="1:6" x14ac:dyDescent="0.35">
      <c r="A50" t="s">
        <v>268</v>
      </c>
      <c r="B50" t="s">
        <v>176</v>
      </c>
      <c r="C50" t="s">
        <v>735</v>
      </c>
      <c r="D50" t="s">
        <v>51</v>
      </c>
      <c r="E50" t="s">
        <v>721</v>
      </c>
      <c r="F50" t="s">
        <v>336</v>
      </c>
    </row>
    <row r="51" spans="1:6" x14ac:dyDescent="0.35">
      <c r="A51" t="s">
        <v>268</v>
      </c>
      <c r="B51" t="s">
        <v>196</v>
      </c>
      <c r="C51" t="s">
        <v>795</v>
      </c>
      <c r="D51" t="s">
        <v>382</v>
      </c>
      <c r="E51" t="s">
        <v>721</v>
      </c>
      <c r="F51" t="s">
        <v>288</v>
      </c>
    </row>
    <row r="52" spans="1:6" x14ac:dyDescent="0.35">
      <c r="A52" t="s">
        <v>268</v>
      </c>
      <c r="B52" t="s">
        <v>196</v>
      </c>
      <c r="C52" t="s">
        <v>795</v>
      </c>
      <c r="D52" t="s">
        <v>382</v>
      </c>
      <c r="E52" t="s">
        <v>721</v>
      </c>
      <c r="F52" t="s">
        <v>289</v>
      </c>
    </row>
    <row r="53" spans="1:6" x14ac:dyDescent="0.35">
      <c r="A53" s="255" t="s">
        <v>787</v>
      </c>
      <c r="B53" s="255"/>
      <c r="C53" s="255"/>
      <c r="D53" s="255"/>
      <c r="E53" s="255"/>
      <c r="F53" s="255"/>
    </row>
    <row r="54" spans="1:6" x14ac:dyDescent="0.35">
      <c r="A54" t="s">
        <v>484</v>
      </c>
    </row>
  </sheetData>
  <conditionalFormatting sqref="D1:D1048576">
    <cfRule type="cellIs" dxfId="66" priority="1" operator="equal">
      <formula>"Us"</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B29E7-1B63-4E29-B0D4-FD82B269A644}">
  <sheetPr>
    <tabColor rgb="FFFF0066"/>
  </sheetPr>
  <dimension ref="A1:H227"/>
  <sheetViews>
    <sheetView zoomScale="80" zoomScaleNormal="80" workbookViewId="0">
      <pane ySplit="3" topLeftCell="A205" activePane="bottomLeft" state="frozen"/>
      <selection pane="bottomLeft" activeCell="D158" sqref="D158"/>
    </sheetView>
  </sheetViews>
  <sheetFormatPr defaultRowHeight="14.5" outlineLevelRow="1" x14ac:dyDescent="0.35"/>
  <cols>
    <col min="1" max="1" width="74.453125" customWidth="1"/>
    <col min="2" max="2" width="46.453125" customWidth="1"/>
    <col min="3" max="3" width="32.453125" bestFit="1" customWidth="1"/>
    <col min="4" max="4" width="34.54296875" bestFit="1" customWidth="1"/>
    <col min="5" max="5" width="39.453125" bestFit="1" customWidth="1"/>
    <col min="6" max="6" width="41.54296875" bestFit="1" customWidth="1"/>
    <col min="7" max="7" width="32.453125" bestFit="1" customWidth="1"/>
    <col min="8" max="8" width="39" bestFit="1" customWidth="1"/>
  </cols>
  <sheetData>
    <row r="1" spans="1:8" ht="30" customHeight="1" x14ac:dyDescent="0.5">
      <c r="A1" s="328" t="s">
        <v>1052</v>
      </c>
      <c r="B1" s="328"/>
      <c r="C1" s="328"/>
      <c r="D1" s="328"/>
      <c r="E1" s="328"/>
      <c r="F1" s="328"/>
      <c r="G1" s="328"/>
      <c r="H1" s="328"/>
    </row>
    <row r="2" spans="1:8" hidden="1" outlineLevel="1" x14ac:dyDescent="0.35">
      <c r="A2" s="21"/>
      <c r="B2" s="21"/>
      <c r="C2" s="21"/>
      <c r="D2" s="21"/>
      <c r="E2" s="21"/>
      <c r="F2" s="21"/>
      <c r="G2" s="21"/>
      <c r="H2" s="21"/>
    </row>
    <row r="3" spans="1:8" ht="25.4" hidden="1" customHeight="1" outlineLevel="1" x14ac:dyDescent="0.35">
      <c r="A3" s="226" t="s">
        <v>1053</v>
      </c>
      <c r="B3" s="226" t="s">
        <v>1054</v>
      </c>
      <c r="C3" s="226" t="s">
        <v>1055</v>
      </c>
      <c r="D3" s="226" t="s">
        <v>898</v>
      </c>
      <c r="E3" s="226" t="s">
        <v>1056</v>
      </c>
      <c r="F3" s="226" t="s">
        <v>1057</v>
      </c>
      <c r="G3" s="226" t="s">
        <v>1058</v>
      </c>
      <c r="H3" s="226" t="s">
        <v>1059</v>
      </c>
    </row>
    <row r="4" spans="1:8" hidden="1" outlineLevel="1" x14ac:dyDescent="0.35">
      <c r="A4" s="227">
        <v>1</v>
      </c>
      <c r="B4" s="227">
        <v>1</v>
      </c>
      <c r="C4" s="227" t="s">
        <v>1060</v>
      </c>
      <c r="D4" s="227" t="s">
        <v>1061</v>
      </c>
      <c r="E4" s="227" t="s">
        <v>1060</v>
      </c>
      <c r="F4" s="227" t="s">
        <v>1060</v>
      </c>
      <c r="G4" s="227"/>
      <c r="H4" s="227" t="s">
        <v>1062</v>
      </c>
    </row>
    <row r="5" spans="1:8" hidden="1" outlineLevel="1" x14ac:dyDescent="0.35">
      <c r="A5" s="228">
        <v>2</v>
      </c>
      <c r="B5" s="228">
        <v>1.1000000000000001</v>
      </c>
      <c r="C5" s="228" t="s">
        <v>1063</v>
      </c>
      <c r="D5" s="228" t="s">
        <v>1064</v>
      </c>
      <c r="E5" s="228" t="s">
        <v>1065</v>
      </c>
      <c r="F5" s="228" t="s">
        <v>1063</v>
      </c>
      <c r="G5" s="228"/>
      <c r="H5" s="228" t="s">
        <v>1066</v>
      </c>
    </row>
    <row r="6" spans="1:8" hidden="1" outlineLevel="1" x14ac:dyDescent="0.35">
      <c r="A6" s="228">
        <v>2</v>
      </c>
      <c r="B6" s="228">
        <v>1.2</v>
      </c>
      <c r="C6" s="228" t="s">
        <v>1067</v>
      </c>
      <c r="D6" s="228" t="s">
        <v>1068</v>
      </c>
      <c r="E6" s="228" t="s">
        <v>1065</v>
      </c>
      <c r="F6" s="228" t="s">
        <v>1067</v>
      </c>
      <c r="G6" s="228"/>
      <c r="H6" s="228" t="s">
        <v>1069</v>
      </c>
    </row>
    <row r="7" spans="1:8" hidden="1" outlineLevel="1" x14ac:dyDescent="0.35">
      <c r="A7" s="228">
        <v>2</v>
      </c>
      <c r="B7" s="228">
        <v>1.3</v>
      </c>
      <c r="C7" s="228" t="s">
        <v>1070</v>
      </c>
      <c r="D7" s="228" t="s">
        <v>1071</v>
      </c>
      <c r="E7" s="228" t="s">
        <v>1065</v>
      </c>
      <c r="F7" s="228" t="s">
        <v>1070</v>
      </c>
      <c r="G7" s="228"/>
      <c r="H7" s="228" t="s">
        <v>1072</v>
      </c>
    </row>
    <row r="8" spans="1:8" hidden="1" outlineLevel="1" x14ac:dyDescent="0.35">
      <c r="A8" s="228">
        <v>2</v>
      </c>
      <c r="B8" s="228">
        <v>1.4</v>
      </c>
      <c r="C8" s="228" t="s">
        <v>1073</v>
      </c>
      <c r="D8" s="228" t="s">
        <v>1074</v>
      </c>
      <c r="E8" s="228" t="s">
        <v>1075</v>
      </c>
      <c r="F8" s="228" t="s">
        <v>1076</v>
      </c>
      <c r="G8" s="228" t="s">
        <v>1077</v>
      </c>
      <c r="H8" s="228" t="s">
        <v>1078</v>
      </c>
    </row>
    <row r="9" spans="1:8" hidden="1" outlineLevel="1" x14ac:dyDescent="0.35">
      <c r="A9" s="228">
        <v>2</v>
      </c>
      <c r="B9" s="228">
        <v>1.5</v>
      </c>
      <c r="C9" s="228" t="s">
        <v>1079</v>
      </c>
      <c r="D9" s="228" t="s">
        <v>1080</v>
      </c>
      <c r="E9" s="228" t="s">
        <v>1081</v>
      </c>
      <c r="F9" s="228" t="s">
        <v>1082</v>
      </c>
      <c r="G9" s="228"/>
      <c r="H9" s="228" t="s">
        <v>1083</v>
      </c>
    </row>
    <row r="10" spans="1:8" hidden="1" outlineLevel="1" x14ac:dyDescent="0.35">
      <c r="A10" s="228">
        <v>2</v>
      </c>
      <c r="B10" s="228">
        <v>1.6</v>
      </c>
      <c r="C10" s="228" t="s">
        <v>1084</v>
      </c>
      <c r="D10" s="228" t="s">
        <v>1085</v>
      </c>
      <c r="E10" s="228" t="s">
        <v>1065</v>
      </c>
      <c r="F10" s="228" t="s">
        <v>1084</v>
      </c>
      <c r="G10" s="228"/>
      <c r="H10" s="228" t="s">
        <v>1086</v>
      </c>
    </row>
    <row r="11" spans="1:8" hidden="1" outlineLevel="1" x14ac:dyDescent="0.35">
      <c r="A11" s="228">
        <v>2</v>
      </c>
      <c r="B11" s="228">
        <v>1.7</v>
      </c>
      <c r="C11" s="228" t="s">
        <v>1087</v>
      </c>
      <c r="D11" s="228" t="s">
        <v>1088</v>
      </c>
      <c r="E11" s="228" t="s">
        <v>1089</v>
      </c>
      <c r="F11" s="228" t="s">
        <v>1090</v>
      </c>
      <c r="G11" s="228"/>
      <c r="H11" s="228" t="s">
        <v>1091</v>
      </c>
    </row>
    <row r="12" spans="1:8" hidden="1" outlineLevel="1" x14ac:dyDescent="0.35">
      <c r="A12" s="228">
        <v>3</v>
      </c>
      <c r="B12" s="228" t="s">
        <v>1092</v>
      </c>
      <c r="C12" s="228" t="s">
        <v>59</v>
      </c>
      <c r="D12" s="228" t="s">
        <v>1093</v>
      </c>
      <c r="E12" s="228" t="s">
        <v>59</v>
      </c>
      <c r="F12" s="228" t="s">
        <v>59</v>
      </c>
      <c r="G12" s="228"/>
      <c r="H12" s="228" t="s">
        <v>1094</v>
      </c>
    </row>
    <row r="13" spans="1:8" hidden="1" outlineLevel="1" x14ac:dyDescent="0.35">
      <c r="A13" s="228">
        <v>3</v>
      </c>
      <c r="B13" s="228" t="s">
        <v>1095</v>
      </c>
      <c r="C13" s="228" t="s">
        <v>46</v>
      </c>
      <c r="D13" s="228" t="s">
        <v>1096</v>
      </c>
      <c r="E13" s="228" t="s">
        <v>46</v>
      </c>
      <c r="F13" s="228" t="s">
        <v>46</v>
      </c>
      <c r="G13" s="228"/>
      <c r="H13" s="228" t="s">
        <v>1097</v>
      </c>
    </row>
    <row r="14" spans="1:8" hidden="1" outlineLevel="1" x14ac:dyDescent="0.35">
      <c r="A14" s="229">
        <v>4</v>
      </c>
      <c r="B14" s="229" t="s">
        <v>1098</v>
      </c>
      <c r="C14" s="229" t="s">
        <v>1099</v>
      </c>
      <c r="D14" s="229" t="s">
        <v>1100</v>
      </c>
      <c r="E14" s="229" t="s">
        <v>1101</v>
      </c>
      <c r="F14" s="229" t="s">
        <v>1102</v>
      </c>
      <c r="G14" s="229"/>
      <c r="H14" s="229" t="s">
        <v>1103</v>
      </c>
    </row>
    <row r="15" spans="1:8" hidden="1" outlineLevel="1" x14ac:dyDescent="0.35">
      <c r="A15" s="229">
        <v>5</v>
      </c>
      <c r="B15" s="229" t="s">
        <v>1104</v>
      </c>
      <c r="C15" s="229" t="s">
        <v>1105</v>
      </c>
      <c r="D15" s="229" t="s">
        <v>1106</v>
      </c>
      <c r="E15" s="229" t="s">
        <v>1105</v>
      </c>
      <c r="F15" s="229" t="s">
        <v>1105</v>
      </c>
      <c r="G15" s="229"/>
      <c r="H15" s="229" t="s">
        <v>1107</v>
      </c>
    </row>
    <row r="16" spans="1:8" hidden="1" outlineLevel="1" x14ac:dyDescent="0.35">
      <c r="A16" s="230">
        <v>5</v>
      </c>
      <c r="B16" s="230" t="s">
        <v>1108</v>
      </c>
      <c r="C16" s="230" t="s">
        <v>1109</v>
      </c>
      <c r="D16" s="230" t="s">
        <v>1110</v>
      </c>
      <c r="E16" s="230" t="s">
        <v>1109</v>
      </c>
      <c r="F16" s="230" t="s">
        <v>1109</v>
      </c>
      <c r="G16" s="230"/>
      <c r="H16" s="230" t="s">
        <v>1111</v>
      </c>
    </row>
    <row r="17" spans="1:8" hidden="1" outlineLevel="1" x14ac:dyDescent="0.35">
      <c r="A17" s="231">
        <v>6</v>
      </c>
      <c r="B17" s="231" t="s">
        <v>1112</v>
      </c>
      <c r="C17" s="231" t="s">
        <v>1113</v>
      </c>
      <c r="D17" s="231" t="s">
        <v>1114</v>
      </c>
      <c r="E17" s="231" t="s">
        <v>1113</v>
      </c>
      <c r="F17" s="231" t="s">
        <v>1113</v>
      </c>
      <c r="G17" s="231"/>
      <c r="H17" s="231" t="s">
        <v>1115</v>
      </c>
    </row>
    <row r="18" spans="1:8" hidden="1" outlineLevel="1" x14ac:dyDescent="0.35">
      <c r="A18" s="231">
        <v>6</v>
      </c>
      <c r="B18" s="231" t="s">
        <v>1116</v>
      </c>
      <c r="C18" s="231" t="s">
        <v>1117</v>
      </c>
      <c r="D18" s="231" t="s">
        <v>1118</v>
      </c>
      <c r="E18" s="231" t="s">
        <v>1117</v>
      </c>
      <c r="F18" s="231" t="s">
        <v>1117</v>
      </c>
      <c r="G18" s="231" t="s">
        <v>1119</v>
      </c>
      <c r="H18" s="231" t="s">
        <v>1120</v>
      </c>
    </row>
    <row r="19" spans="1:8" hidden="1" outlineLevel="1" x14ac:dyDescent="0.35">
      <c r="A19" s="231">
        <v>6</v>
      </c>
      <c r="B19" s="231" t="s">
        <v>1121</v>
      </c>
      <c r="C19" s="231" t="s">
        <v>1122</v>
      </c>
      <c r="D19" s="231" t="s">
        <v>1123</v>
      </c>
      <c r="E19" s="231" t="s">
        <v>1122</v>
      </c>
      <c r="F19" s="231" t="s">
        <v>1122</v>
      </c>
      <c r="G19" s="231" t="s">
        <v>1119</v>
      </c>
      <c r="H19" s="231" t="s">
        <v>1120</v>
      </c>
    </row>
    <row r="20" spans="1:8" hidden="1" outlineLevel="1" x14ac:dyDescent="0.35">
      <c r="A20" s="231">
        <v>6</v>
      </c>
      <c r="B20" s="231" t="s">
        <v>1124</v>
      </c>
      <c r="C20" s="231" t="s">
        <v>1125</v>
      </c>
      <c r="D20" s="231" t="s">
        <v>1126</v>
      </c>
      <c r="E20" s="231" t="s">
        <v>1125</v>
      </c>
      <c r="F20" s="231" t="s">
        <v>1125</v>
      </c>
      <c r="G20" s="231" t="s">
        <v>1127</v>
      </c>
      <c r="H20" s="231" t="s">
        <v>1128</v>
      </c>
    </row>
    <row r="21" spans="1:8" hidden="1" outlineLevel="1" x14ac:dyDescent="0.35">
      <c r="A21" s="231">
        <v>6</v>
      </c>
      <c r="B21" s="231" t="s">
        <v>1129</v>
      </c>
      <c r="C21" s="231" t="s">
        <v>1130</v>
      </c>
      <c r="D21" s="231" t="s">
        <v>1131</v>
      </c>
      <c r="E21" s="231" t="s">
        <v>1130</v>
      </c>
      <c r="F21" s="231" t="s">
        <v>1130</v>
      </c>
      <c r="G21" s="231" t="s">
        <v>1127</v>
      </c>
      <c r="H21" s="231" t="s">
        <v>1132</v>
      </c>
    </row>
    <row r="22" spans="1:8" hidden="1" outlineLevel="1" x14ac:dyDescent="0.35">
      <c r="A22" s="231">
        <v>6</v>
      </c>
      <c r="B22" s="231" t="s">
        <v>1133</v>
      </c>
      <c r="C22" s="231" t="s">
        <v>1134</v>
      </c>
      <c r="D22" s="231" t="s">
        <v>1135</v>
      </c>
      <c r="E22" s="231" t="s">
        <v>1134</v>
      </c>
      <c r="F22" s="231" t="s">
        <v>1134</v>
      </c>
      <c r="G22" s="231" t="s">
        <v>1136</v>
      </c>
      <c r="H22" s="231" t="s">
        <v>1137</v>
      </c>
    </row>
    <row r="23" spans="1:8" hidden="1" outlineLevel="1" x14ac:dyDescent="0.35">
      <c r="A23" s="231">
        <v>6</v>
      </c>
      <c r="B23" s="231" t="s">
        <v>1138</v>
      </c>
      <c r="C23" s="231" t="s">
        <v>1139</v>
      </c>
      <c r="D23" s="231" t="s">
        <v>1140</v>
      </c>
      <c r="E23" s="231" t="s">
        <v>1139</v>
      </c>
      <c r="F23" s="231" t="s">
        <v>1139</v>
      </c>
      <c r="G23" s="231"/>
      <c r="H23" s="231" t="s">
        <v>1141</v>
      </c>
    </row>
    <row r="24" spans="1:8" hidden="1" outlineLevel="1" x14ac:dyDescent="0.35">
      <c r="A24" s="231">
        <v>6</v>
      </c>
      <c r="B24" s="231" t="s">
        <v>1142</v>
      </c>
      <c r="C24" s="231" t="s">
        <v>1143</v>
      </c>
      <c r="D24" s="231" t="s">
        <v>1144</v>
      </c>
      <c r="E24" s="231" t="s">
        <v>1143</v>
      </c>
      <c r="F24" s="231" t="s">
        <v>1143</v>
      </c>
      <c r="G24" s="231" t="s">
        <v>1127</v>
      </c>
      <c r="H24" s="231" t="s">
        <v>1145</v>
      </c>
    </row>
    <row r="25" spans="1:8" hidden="1" outlineLevel="1" x14ac:dyDescent="0.35">
      <c r="A25" s="231">
        <v>6</v>
      </c>
      <c r="B25" s="231" t="s">
        <v>1146</v>
      </c>
      <c r="C25" s="231" t="s">
        <v>1147</v>
      </c>
      <c r="D25" s="231" t="s">
        <v>1148</v>
      </c>
      <c r="E25" s="231" t="s">
        <v>1147</v>
      </c>
      <c r="F25" s="231" t="s">
        <v>1147</v>
      </c>
      <c r="G25" s="231" t="s">
        <v>1127</v>
      </c>
      <c r="H25" s="231" t="s">
        <v>1149</v>
      </c>
    </row>
    <row r="26" spans="1:8" ht="25.4" hidden="1" customHeight="1" outlineLevel="1" x14ac:dyDescent="0.35">
      <c r="A26" s="231">
        <v>6</v>
      </c>
      <c r="B26" s="231" t="s">
        <v>1150</v>
      </c>
      <c r="C26" s="231" t="s">
        <v>1151</v>
      </c>
      <c r="D26" s="231" t="s">
        <v>1152</v>
      </c>
      <c r="E26" s="231" t="s">
        <v>1151</v>
      </c>
      <c r="F26" s="231" t="s">
        <v>1151</v>
      </c>
      <c r="G26" s="231"/>
      <c r="H26" s="231" t="s">
        <v>1153</v>
      </c>
    </row>
    <row r="27" spans="1:8" hidden="1" outlineLevel="1" x14ac:dyDescent="0.35">
      <c r="A27" s="231">
        <v>6</v>
      </c>
      <c r="B27" s="231" t="s">
        <v>1154</v>
      </c>
      <c r="C27" s="231" t="s">
        <v>1155</v>
      </c>
      <c r="D27" s="231" t="s">
        <v>1156</v>
      </c>
      <c r="E27" s="231" t="s">
        <v>1155</v>
      </c>
      <c r="F27" s="231" t="s">
        <v>1155</v>
      </c>
      <c r="G27" s="231"/>
      <c r="H27" s="231" t="s">
        <v>1157</v>
      </c>
    </row>
    <row r="28" spans="1:8" hidden="1" outlineLevel="1" x14ac:dyDescent="0.35">
      <c r="A28" s="331" t="s">
        <v>1158</v>
      </c>
      <c r="B28" s="327"/>
      <c r="C28" s="327"/>
      <c r="D28" s="327"/>
      <c r="E28" s="327"/>
      <c r="F28" s="327"/>
      <c r="G28" s="327"/>
      <c r="H28" s="327"/>
    </row>
    <row r="29" spans="1:8" hidden="1" outlineLevel="1" x14ac:dyDescent="0.35">
      <c r="A29" s="243" t="s">
        <v>1159</v>
      </c>
      <c r="B29" s="243" t="s">
        <v>1160</v>
      </c>
      <c r="C29" s="243" t="s">
        <v>1161</v>
      </c>
      <c r="D29" s="243"/>
      <c r="E29" s="243"/>
      <c r="F29" s="243"/>
      <c r="G29" s="243"/>
      <c r="H29" s="243"/>
    </row>
    <row r="30" spans="1:8" hidden="1" outlineLevel="1" x14ac:dyDescent="0.35">
      <c r="A30" s="242" t="s">
        <v>1105</v>
      </c>
      <c r="B30" t="s">
        <v>1162</v>
      </c>
      <c r="C30" t="s">
        <v>1163</v>
      </c>
    </row>
    <row r="31" spans="1:8" hidden="1" outlineLevel="1" x14ac:dyDescent="0.35">
      <c r="A31" s="242" t="s">
        <v>1109</v>
      </c>
      <c r="B31" t="s">
        <v>1164</v>
      </c>
      <c r="C31" t="s">
        <v>1165</v>
      </c>
    </row>
    <row r="32" spans="1:8" hidden="1" outlineLevel="1" x14ac:dyDescent="0.35"/>
    <row r="33" spans="1:8" hidden="1" outlineLevel="1" x14ac:dyDescent="0.35">
      <c r="A33" s="332" t="s">
        <v>1166</v>
      </c>
      <c r="B33" s="327"/>
      <c r="C33" s="327"/>
      <c r="D33" s="327"/>
      <c r="E33" s="327"/>
      <c r="F33" s="327"/>
      <c r="G33" s="327"/>
      <c r="H33" s="327"/>
    </row>
    <row r="34" spans="1:8" hidden="1" outlineLevel="1" x14ac:dyDescent="0.35">
      <c r="A34" s="244" t="s">
        <v>1053</v>
      </c>
      <c r="B34" s="244" t="s">
        <v>1054</v>
      </c>
      <c r="C34" s="244" t="s">
        <v>1055</v>
      </c>
      <c r="D34" s="244" t="s">
        <v>898</v>
      </c>
      <c r="E34" s="244" t="s">
        <v>1056</v>
      </c>
      <c r="F34" s="244" t="s">
        <v>1057</v>
      </c>
      <c r="G34" s="244" t="s">
        <v>1058</v>
      </c>
      <c r="H34" s="244" t="s">
        <v>1059</v>
      </c>
    </row>
    <row r="35" spans="1:8" hidden="1" outlineLevel="1" x14ac:dyDescent="0.35">
      <c r="A35" s="242">
        <v>6</v>
      </c>
      <c r="B35" t="s">
        <v>1167</v>
      </c>
      <c r="C35" t="s">
        <v>1113</v>
      </c>
      <c r="D35" t="s">
        <v>1114</v>
      </c>
      <c r="E35" t="s">
        <v>1113</v>
      </c>
      <c r="F35" t="s">
        <v>1113</v>
      </c>
      <c r="H35" t="s">
        <v>1115</v>
      </c>
    </row>
    <row r="36" spans="1:8" hidden="1" outlineLevel="1" x14ac:dyDescent="0.35">
      <c r="A36" s="242">
        <v>6</v>
      </c>
      <c r="B36" t="s">
        <v>1168</v>
      </c>
      <c r="C36" t="s">
        <v>1117</v>
      </c>
      <c r="D36" t="s">
        <v>1118</v>
      </c>
      <c r="E36" t="s">
        <v>1117</v>
      </c>
      <c r="F36" t="s">
        <v>1117</v>
      </c>
      <c r="G36" t="s">
        <v>1119</v>
      </c>
      <c r="H36" t="s">
        <v>1120</v>
      </c>
    </row>
    <row r="37" spans="1:8" hidden="1" outlineLevel="1" x14ac:dyDescent="0.35">
      <c r="A37" s="242">
        <v>6</v>
      </c>
      <c r="B37" t="s">
        <v>1169</v>
      </c>
      <c r="C37" t="s">
        <v>1122</v>
      </c>
      <c r="D37" t="s">
        <v>1123</v>
      </c>
      <c r="E37" t="s">
        <v>1122</v>
      </c>
      <c r="F37" t="s">
        <v>1122</v>
      </c>
      <c r="G37" t="s">
        <v>1119</v>
      </c>
      <c r="H37" t="s">
        <v>1120</v>
      </c>
    </row>
    <row r="38" spans="1:8" hidden="1" outlineLevel="1" x14ac:dyDescent="0.35">
      <c r="A38" s="242">
        <v>6</v>
      </c>
      <c r="B38" t="s">
        <v>1170</v>
      </c>
      <c r="C38" t="s">
        <v>1125</v>
      </c>
      <c r="D38" t="s">
        <v>1126</v>
      </c>
      <c r="E38" t="s">
        <v>1125</v>
      </c>
      <c r="F38" t="s">
        <v>1125</v>
      </c>
      <c r="G38" t="s">
        <v>1127</v>
      </c>
      <c r="H38" t="s">
        <v>1128</v>
      </c>
    </row>
    <row r="39" spans="1:8" hidden="1" outlineLevel="1" x14ac:dyDescent="0.35">
      <c r="A39" s="242">
        <v>6</v>
      </c>
      <c r="B39" t="s">
        <v>1171</v>
      </c>
      <c r="C39" t="s">
        <v>1130</v>
      </c>
      <c r="D39" t="s">
        <v>1131</v>
      </c>
      <c r="E39" t="s">
        <v>1130</v>
      </c>
      <c r="F39" t="s">
        <v>1130</v>
      </c>
      <c r="G39" t="s">
        <v>1127</v>
      </c>
      <c r="H39" t="s">
        <v>1132</v>
      </c>
    </row>
    <row r="40" spans="1:8" hidden="1" outlineLevel="1" x14ac:dyDescent="0.35">
      <c r="A40" s="242">
        <v>6</v>
      </c>
      <c r="B40" t="s">
        <v>1172</v>
      </c>
      <c r="C40" t="s">
        <v>1134</v>
      </c>
      <c r="D40" t="s">
        <v>1135</v>
      </c>
      <c r="E40" t="s">
        <v>1134</v>
      </c>
      <c r="F40" t="s">
        <v>1134</v>
      </c>
      <c r="G40" t="s">
        <v>1136</v>
      </c>
      <c r="H40" t="s">
        <v>1137</v>
      </c>
    </row>
    <row r="41" spans="1:8" hidden="1" outlineLevel="1" x14ac:dyDescent="0.35">
      <c r="A41" s="242">
        <v>6</v>
      </c>
      <c r="B41" t="s">
        <v>1173</v>
      </c>
      <c r="C41" t="s">
        <v>1139</v>
      </c>
      <c r="D41" t="s">
        <v>1140</v>
      </c>
      <c r="E41" t="s">
        <v>1139</v>
      </c>
      <c r="F41" t="s">
        <v>1139</v>
      </c>
      <c r="H41" t="s">
        <v>1141</v>
      </c>
    </row>
    <row r="42" spans="1:8" hidden="1" outlineLevel="1" x14ac:dyDescent="0.35">
      <c r="A42" s="242">
        <v>6</v>
      </c>
      <c r="B42" t="s">
        <v>1174</v>
      </c>
      <c r="C42" t="s">
        <v>1143</v>
      </c>
      <c r="D42" t="s">
        <v>1144</v>
      </c>
      <c r="E42" t="s">
        <v>1143</v>
      </c>
      <c r="F42" t="s">
        <v>1143</v>
      </c>
      <c r="G42" t="s">
        <v>1127</v>
      </c>
      <c r="H42" t="s">
        <v>1145</v>
      </c>
    </row>
    <row r="43" spans="1:8" hidden="1" outlineLevel="1" x14ac:dyDescent="0.35">
      <c r="A43" s="171">
        <v>6</v>
      </c>
      <c r="B43" s="211" t="s">
        <v>1175</v>
      </c>
      <c r="C43" s="211" t="s">
        <v>1176</v>
      </c>
      <c r="D43" s="211" t="s">
        <v>1177</v>
      </c>
      <c r="E43" s="211" t="s">
        <v>1176</v>
      </c>
      <c r="F43" s="211" t="s">
        <v>1176</v>
      </c>
      <c r="G43" s="211"/>
      <c r="H43" s="211" t="s">
        <v>1178</v>
      </c>
    </row>
    <row r="44" spans="1:8" hidden="1" outlineLevel="1" x14ac:dyDescent="0.35">
      <c r="A44">
        <v>6</v>
      </c>
      <c r="B44" t="s">
        <v>1179</v>
      </c>
      <c r="C44" t="s">
        <v>1180</v>
      </c>
      <c r="D44" t="s">
        <v>1148</v>
      </c>
      <c r="E44" t="s">
        <v>1180</v>
      </c>
      <c r="F44" t="s">
        <v>1180</v>
      </c>
      <c r="G44" t="s">
        <v>1127</v>
      </c>
      <c r="H44" t="s">
        <v>1149</v>
      </c>
    </row>
    <row r="45" spans="1:8" ht="18.5" hidden="1" outlineLevel="1" x14ac:dyDescent="0.45">
      <c r="A45" s="329">
        <v>6</v>
      </c>
      <c r="B45" s="329"/>
      <c r="C45" s="329"/>
      <c r="D45" s="329"/>
      <c r="E45" s="329"/>
      <c r="F45" s="329"/>
      <c r="G45" s="329"/>
      <c r="H45" s="329"/>
    </row>
    <row r="46" spans="1:8" ht="15.65" hidden="1" customHeight="1" outlineLevel="1" x14ac:dyDescent="0.4">
      <c r="A46" s="326">
        <v>6</v>
      </c>
      <c r="B46" s="326"/>
      <c r="C46" s="326"/>
      <c r="D46" s="326"/>
      <c r="E46" s="326"/>
      <c r="F46" s="326"/>
      <c r="G46" s="326"/>
      <c r="H46" s="326"/>
    </row>
    <row r="47" spans="1:8" hidden="1" outlineLevel="1" x14ac:dyDescent="0.35"/>
    <row r="48" spans="1:8" hidden="1" outlineLevel="1" x14ac:dyDescent="0.35">
      <c r="A48" s="237" t="s">
        <v>1181</v>
      </c>
      <c r="B48" s="237" t="s">
        <v>1182</v>
      </c>
      <c r="C48" s="237" t="s">
        <v>898</v>
      </c>
      <c r="D48" s="237" t="s">
        <v>1183</v>
      </c>
      <c r="E48" s="237" t="s">
        <v>1057</v>
      </c>
      <c r="F48" s="237" t="s">
        <v>1184</v>
      </c>
      <c r="G48" s="237"/>
      <c r="H48" s="237"/>
    </row>
    <row r="49" spans="1:6" hidden="1" outlineLevel="1" x14ac:dyDescent="0.35">
      <c r="A49" t="s">
        <v>1185</v>
      </c>
      <c r="B49" t="s">
        <v>1186</v>
      </c>
      <c r="C49" t="s">
        <v>1187</v>
      </c>
      <c r="D49" t="s">
        <v>1188</v>
      </c>
      <c r="E49" t="s">
        <v>1185</v>
      </c>
      <c r="F49" t="s">
        <v>1189</v>
      </c>
    </row>
    <row r="50" spans="1:6" hidden="1" outlineLevel="1" x14ac:dyDescent="0.35">
      <c r="A50" t="s">
        <v>1190</v>
      </c>
      <c r="B50" t="s">
        <v>1191</v>
      </c>
      <c r="C50" t="s">
        <v>1192</v>
      </c>
      <c r="D50" t="s">
        <v>1193</v>
      </c>
      <c r="E50" t="s">
        <v>1191</v>
      </c>
    </row>
    <row r="51" spans="1:6" hidden="1" outlineLevel="1" x14ac:dyDescent="0.35">
      <c r="A51" t="s">
        <v>1194</v>
      </c>
      <c r="B51" t="s">
        <v>1195</v>
      </c>
      <c r="C51" t="s">
        <v>1196</v>
      </c>
      <c r="E51" t="s">
        <v>1197</v>
      </c>
      <c r="F51" t="s">
        <v>1198</v>
      </c>
    </row>
    <row r="52" spans="1:6" hidden="1" outlineLevel="1" x14ac:dyDescent="0.35">
      <c r="A52" t="s">
        <v>1199</v>
      </c>
      <c r="B52" t="s">
        <v>1200</v>
      </c>
      <c r="C52" t="s">
        <v>1201</v>
      </c>
      <c r="D52" t="s">
        <v>1188</v>
      </c>
      <c r="E52" t="s">
        <v>1199</v>
      </c>
    </row>
    <row r="53" spans="1:6" hidden="1" outlineLevel="1" x14ac:dyDescent="0.35">
      <c r="A53" t="s">
        <v>1190</v>
      </c>
      <c r="B53" t="s">
        <v>1191</v>
      </c>
      <c r="C53" t="s">
        <v>1202</v>
      </c>
      <c r="D53" t="s">
        <v>1193</v>
      </c>
      <c r="E53" t="s">
        <v>1191</v>
      </c>
    </row>
    <row r="54" spans="1:6" hidden="1" outlineLevel="1" x14ac:dyDescent="0.35">
      <c r="A54" t="s">
        <v>1194</v>
      </c>
      <c r="B54" t="s">
        <v>1195</v>
      </c>
      <c r="C54" t="s">
        <v>1203</v>
      </c>
      <c r="D54" t="s">
        <v>1204</v>
      </c>
      <c r="E54" t="s">
        <v>1205</v>
      </c>
    </row>
    <row r="55" spans="1:6" hidden="1" outlineLevel="1" x14ac:dyDescent="0.35">
      <c r="A55" t="s">
        <v>1206</v>
      </c>
      <c r="B55" t="s">
        <v>1207</v>
      </c>
      <c r="C55" t="s">
        <v>1208</v>
      </c>
      <c r="D55" t="s">
        <v>1188</v>
      </c>
      <c r="E55" t="s">
        <v>1206</v>
      </c>
    </row>
    <row r="56" spans="1:6" hidden="1" outlineLevel="1" x14ac:dyDescent="0.35">
      <c r="A56" t="s">
        <v>1190</v>
      </c>
      <c r="B56" t="s">
        <v>1191</v>
      </c>
      <c r="C56" t="s">
        <v>1209</v>
      </c>
      <c r="D56" t="s">
        <v>1193</v>
      </c>
      <c r="E56" t="s">
        <v>1191</v>
      </c>
    </row>
    <row r="57" spans="1:6" hidden="1" outlineLevel="1" x14ac:dyDescent="0.35">
      <c r="A57" t="s">
        <v>1194</v>
      </c>
      <c r="B57" t="s">
        <v>1195</v>
      </c>
      <c r="C57" t="s">
        <v>1210</v>
      </c>
      <c r="E57" t="s">
        <v>1211</v>
      </c>
      <c r="F57" t="s">
        <v>1212</v>
      </c>
    </row>
    <row r="58" spans="1:6" hidden="1" outlineLevel="1" x14ac:dyDescent="0.35">
      <c r="A58" t="s">
        <v>1213</v>
      </c>
      <c r="B58" t="s">
        <v>1214</v>
      </c>
      <c r="C58" t="s">
        <v>1215</v>
      </c>
      <c r="D58" t="s">
        <v>1216</v>
      </c>
      <c r="E58" t="s">
        <v>1213</v>
      </c>
    </row>
    <row r="59" spans="1:6" hidden="1" outlineLevel="1" x14ac:dyDescent="0.35">
      <c r="A59" t="s">
        <v>1217</v>
      </c>
      <c r="B59" t="s">
        <v>1218</v>
      </c>
      <c r="C59" t="s">
        <v>1219</v>
      </c>
      <c r="D59" t="s">
        <v>1220</v>
      </c>
      <c r="E59" t="s">
        <v>1218</v>
      </c>
      <c r="F59" t="s">
        <v>1221</v>
      </c>
    </row>
    <row r="60" spans="1:6" ht="25.4" hidden="1" customHeight="1" outlineLevel="1" x14ac:dyDescent="0.35">
      <c r="A60" t="s">
        <v>1190</v>
      </c>
      <c r="B60" t="s">
        <v>1191</v>
      </c>
      <c r="C60" t="s">
        <v>1222</v>
      </c>
      <c r="D60" t="s">
        <v>1193</v>
      </c>
      <c r="E60" t="s">
        <v>1191</v>
      </c>
    </row>
    <row r="61" spans="1:6" hidden="1" outlineLevel="1" x14ac:dyDescent="0.35">
      <c r="A61" t="s">
        <v>1194</v>
      </c>
      <c r="B61" t="s">
        <v>1195</v>
      </c>
      <c r="C61" t="s">
        <v>1223</v>
      </c>
      <c r="E61" t="s">
        <v>1224</v>
      </c>
      <c r="F61" t="s">
        <v>1221</v>
      </c>
    </row>
    <row r="62" spans="1:6" hidden="1" outlineLevel="1" x14ac:dyDescent="0.35">
      <c r="A62" s="245" t="s">
        <v>1225</v>
      </c>
    </row>
    <row r="63" spans="1:6" hidden="1" outlineLevel="1" x14ac:dyDescent="0.35">
      <c r="A63" t="s">
        <v>1226</v>
      </c>
    </row>
    <row r="64" spans="1:6" hidden="1" outlineLevel="1" x14ac:dyDescent="0.35">
      <c r="A64" t="s">
        <v>1227</v>
      </c>
    </row>
    <row r="65" spans="1:8" hidden="1" outlineLevel="1" x14ac:dyDescent="0.35">
      <c r="A65" t="s">
        <v>1228</v>
      </c>
    </row>
    <row r="66" spans="1:8" hidden="1" outlineLevel="1" x14ac:dyDescent="0.35">
      <c r="A66" t="s">
        <v>1229</v>
      </c>
    </row>
    <row r="67" spans="1:8" hidden="1" outlineLevel="1" x14ac:dyDescent="0.35">
      <c r="A67" t="s">
        <v>1230</v>
      </c>
    </row>
    <row r="68" spans="1:8" hidden="1" outlineLevel="1" x14ac:dyDescent="0.35"/>
    <row r="69" spans="1:8" ht="15.65" hidden="1" customHeight="1" outlineLevel="1" x14ac:dyDescent="0.4">
      <c r="A69" s="326" t="s">
        <v>1231</v>
      </c>
      <c r="B69" s="326"/>
      <c r="C69" s="326"/>
      <c r="D69" s="326"/>
      <c r="E69" s="326"/>
      <c r="F69" s="326"/>
      <c r="G69" s="326"/>
      <c r="H69" s="326"/>
    </row>
    <row r="70" spans="1:8" hidden="1" outlineLevel="1" x14ac:dyDescent="0.35"/>
    <row r="71" spans="1:8" hidden="1" outlineLevel="1" x14ac:dyDescent="0.35">
      <c r="A71" s="237" t="s">
        <v>1181</v>
      </c>
      <c r="B71" s="237" t="s">
        <v>1182</v>
      </c>
      <c r="C71" s="237" t="s">
        <v>898</v>
      </c>
      <c r="D71" s="237" t="s">
        <v>1183</v>
      </c>
      <c r="E71" s="237" t="s">
        <v>1057</v>
      </c>
      <c r="F71" s="237" t="s">
        <v>1184</v>
      </c>
      <c r="G71" s="237"/>
      <c r="H71" s="237"/>
    </row>
    <row r="72" spans="1:8" hidden="1" outlineLevel="1" x14ac:dyDescent="0.35">
      <c r="A72" t="s">
        <v>1185</v>
      </c>
      <c r="B72" t="s">
        <v>1186</v>
      </c>
      <c r="C72" t="s">
        <v>1232</v>
      </c>
      <c r="D72" t="s">
        <v>1188</v>
      </c>
      <c r="E72" t="s">
        <v>1185</v>
      </c>
      <c r="F72" t="s">
        <v>1233</v>
      </c>
    </row>
    <row r="73" spans="1:8" hidden="1" outlineLevel="1" x14ac:dyDescent="0.35">
      <c r="A73" t="s">
        <v>1190</v>
      </c>
      <c r="B73" t="s">
        <v>1191</v>
      </c>
      <c r="C73" t="s">
        <v>1192</v>
      </c>
      <c r="D73" t="s">
        <v>1193</v>
      </c>
      <c r="E73" t="s">
        <v>1191</v>
      </c>
    </row>
    <row r="74" spans="1:8" hidden="1" outlineLevel="1" x14ac:dyDescent="0.35">
      <c r="A74" t="s">
        <v>1194</v>
      </c>
      <c r="B74" t="s">
        <v>1195</v>
      </c>
      <c r="C74" t="s">
        <v>1234</v>
      </c>
      <c r="E74" t="s">
        <v>1197</v>
      </c>
    </row>
    <row r="75" spans="1:8" hidden="1" outlineLevel="1" x14ac:dyDescent="0.35">
      <c r="A75" t="s">
        <v>1199</v>
      </c>
      <c r="B75" t="s">
        <v>1200</v>
      </c>
      <c r="C75" t="s">
        <v>1235</v>
      </c>
      <c r="D75" t="s">
        <v>1188</v>
      </c>
      <c r="E75" t="s">
        <v>1199</v>
      </c>
    </row>
    <row r="76" spans="1:8" hidden="1" outlineLevel="1" x14ac:dyDescent="0.35">
      <c r="A76" t="s">
        <v>1190</v>
      </c>
      <c r="B76" t="s">
        <v>1191</v>
      </c>
      <c r="C76" t="s">
        <v>1236</v>
      </c>
      <c r="D76" t="s">
        <v>1193</v>
      </c>
      <c r="E76" t="s">
        <v>1191</v>
      </c>
    </row>
    <row r="77" spans="1:8" hidden="1" outlineLevel="1" x14ac:dyDescent="0.35">
      <c r="A77" t="s">
        <v>1194</v>
      </c>
      <c r="B77" t="s">
        <v>1195</v>
      </c>
      <c r="C77" t="s">
        <v>1237</v>
      </c>
      <c r="D77" t="s">
        <v>1204</v>
      </c>
      <c r="E77" t="s">
        <v>1211</v>
      </c>
    </row>
    <row r="78" spans="1:8" hidden="1" outlineLevel="1" x14ac:dyDescent="0.35">
      <c r="A78" t="s">
        <v>1206</v>
      </c>
      <c r="B78" t="s">
        <v>1207</v>
      </c>
      <c r="C78" t="s">
        <v>1238</v>
      </c>
      <c r="D78" t="s">
        <v>1188</v>
      </c>
      <c r="E78" t="s">
        <v>1206</v>
      </c>
    </row>
    <row r="79" spans="1:8" hidden="1" outlineLevel="1" x14ac:dyDescent="0.35">
      <c r="A79" t="s">
        <v>1190</v>
      </c>
      <c r="B79" t="s">
        <v>1191</v>
      </c>
      <c r="C79" t="s">
        <v>1239</v>
      </c>
      <c r="D79" t="s">
        <v>1193</v>
      </c>
      <c r="E79" t="s">
        <v>1191</v>
      </c>
      <c r="F79" t="s">
        <v>1212</v>
      </c>
    </row>
    <row r="80" spans="1:8" hidden="1" outlineLevel="1" x14ac:dyDescent="0.35">
      <c r="A80" t="s">
        <v>1213</v>
      </c>
      <c r="B80" t="s">
        <v>1214</v>
      </c>
      <c r="C80" t="s">
        <v>1240</v>
      </c>
      <c r="D80" t="s">
        <v>1241</v>
      </c>
      <c r="E80" t="s">
        <v>1213</v>
      </c>
    </row>
    <row r="81" spans="1:8" hidden="1" outlineLevel="1" x14ac:dyDescent="0.35">
      <c r="A81" t="s">
        <v>1217</v>
      </c>
      <c r="B81" t="s">
        <v>1218</v>
      </c>
      <c r="C81" t="s">
        <v>1242</v>
      </c>
      <c r="D81" t="s">
        <v>1243</v>
      </c>
      <c r="E81" t="s">
        <v>1218</v>
      </c>
      <c r="F81" t="s">
        <v>1244</v>
      </c>
    </row>
    <row r="82" spans="1:8" hidden="1" outlineLevel="1" x14ac:dyDescent="0.35">
      <c r="A82" t="s">
        <v>1190</v>
      </c>
      <c r="B82" t="s">
        <v>1191</v>
      </c>
      <c r="C82" t="s">
        <v>1245</v>
      </c>
      <c r="D82" t="s">
        <v>1193</v>
      </c>
      <c r="E82" t="s">
        <v>1191</v>
      </c>
    </row>
    <row r="83" spans="1:8" hidden="1" outlineLevel="1" x14ac:dyDescent="0.35">
      <c r="A83" t="s">
        <v>1194</v>
      </c>
      <c r="B83" t="s">
        <v>1195</v>
      </c>
      <c r="C83" t="s">
        <v>1246</v>
      </c>
      <c r="E83" t="s">
        <v>1247</v>
      </c>
    </row>
    <row r="84" spans="1:8" ht="16" hidden="1" outlineLevel="1" x14ac:dyDescent="0.4">
      <c r="A84" s="326" t="s">
        <v>1248</v>
      </c>
      <c r="B84" s="327"/>
      <c r="C84" s="327"/>
      <c r="D84" s="327"/>
      <c r="E84" s="327"/>
      <c r="F84" s="327"/>
      <c r="G84" s="327"/>
      <c r="H84" s="327"/>
    </row>
    <row r="85" spans="1:8" hidden="1" outlineLevel="1" x14ac:dyDescent="0.35"/>
    <row r="86" spans="1:8" hidden="1" outlineLevel="1" x14ac:dyDescent="0.35">
      <c r="A86" s="237" t="s">
        <v>1181</v>
      </c>
      <c r="B86" s="237" t="s">
        <v>1054</v>
      </c>
      <c r="C86" s="237" t="s">
        <v>898</v>
      </c>
      <c r="D86" s="237" t="s">
        <v>1249</v>
      </c>
      <c r="E86" s="237" t="s">
        <v>1184</v>
      </c>
      <c r="F86" s="237" t="s">
        <v>1057</v>
      </c>
      <c r="G86" s="237"/>
      <c r="H86" s="237"/>
    </row>
    <row r="87" spans="1:8" hidden="1" outlineLevel="1" x14ac:dyDescent="0.35">
      <c r="A87" t="s">
        <v>1250</v>
      </c>
      <c r="B87" t="s">
        <v>1251</v>
      </c>
      <c r="C87" t="s">
        <v>1252</v>
      </c>
      <c r="D87" t="s">
        <v>1253</v>
      </c>
      <c r="E87" t="s">
        <v>1254</v>
      </c>
      <c r="F87" t="s">
        <v>1255</v>
      </c>
    </row>
    <row r="88" spans="1:8" hidden="1" outlineLevel="1" x14ac:dyDescent="0.35">
      <c r="A88" t="s">
        <v>1256</v>
      </c>
      <c r="B88" t="s">
        <v>1257</v>
      </c>
      <c r="C88" t="s">
        <v>1258</v>
      </c>
      <c r="D88" t="s">
        <v>1259</v>
      </c>
      <c r="E88" t="s">
        <v>1260</v>
      </c>
      <c r="F88" t="s">
        <v>1261</v>
      </c>
    </row>
    <row r="89" spans="1:8" hidden="1" outlineLevel="1" x14ac:dyDescent="0.35">
      <c r="A89" t="s">
        <v>1262</v>
      </c>
      <c r="B89" t="s">
        <v>1263</v>
      </c>
      <c r="C89" t="s">
        <v>1264</v>
      </c>
      <c r="D89" t="s">
        <v>1265</v>
      </c>
      <c r="E89" t="s">
        <v>1266</v>
      </c>
      <c r="F89" t="s">
        <v>1267</v>
      </c>
    </row>
    <row r="90" spans="1:8" hidden="1" outlineLevel="1" x14ac:dyDescent="0.35"/>
    <row r="91" spans="1:8" hidden="1" outlineLevel="1" x14ac:dyDescent="0.35"/>
    <row r="92" spans="1:8" hidden="1" outlineLevel="1" x14ac:dyDescent="0.35">
      <c r="A92" s="12" t="s">
        <v>1268</v>
      </c>
    </row>
    <row r="93" spans="1:8" hidden="1" outlineLevel="1" x14ac:dyDescent="0.35">
      <c r="A93" t="s">
        <v>1269</v>
      </c>
    </row>
    <row r="94" spans="1:8" hidden="1" outlineLevel="1" x14ac:dyDescent="0.35">
      <c r="A94" t="s">
        <v>1270</v>
      </c>
    </row>
    <row r="95" spans="1:8" hidden="1" outlineLevel="1" x14ac:dyDescent="0.35">
      <c r="A95" s="232" t="s">
        <v>1271</v>
      </c>
      <c r="B95" s="232"/>
      <c r="C95" s="234"/>
      <c r="D95" s="232"/>
      <c r="E95" s="232"/>
      <c r="F95" s="232"/>
      <c r="G95" s="232"/>
      <c r="H95" s="232"/>
    </row>
    <row r="96" spans="1:8" hidden="1" outlineLevel="1" x14ac:dyDescent="0.35">
      <c r="A96" s="232" t="s">
        <v>1272</v>
      </c>
      <c r="B96" s="232"/>
      <c r="C96" s="234"/>
      <c r="D96" s="232"/>
      <c r="E96" s="232"/>
      <c r="F96" s="232"/>
      <c r="G96" s="232"/>
      <c r="H96" s="232"/>
    </row>
    <row r="97" spans="1:8" ht="15.5" hidden="1" outlineLevel="1" x14ac:dyDescent="0.35">
      <c r="A97" s="330" t="s">
        <v>1273</v>
      </c>
      <c r="B97" s="330"/>
      <c r="C97" s="330"/>
      <c r="D97" s="330"/>
      <c r="E97" s="330"/>
      <c r="F97" s="330"/>
      <c r="G97" s="330"/>
      <c r="H97" s="330"/>
    </row>
    <row r="98" spans="1:8" hidden="1" outlineLevel="1" x14ac:dyDescent="0.35">
      <c r="A98" s="232"/>
      <c r="B98" s="232"/>
      <c r="C98" s="234"/>
      <c r="D98" s="232"/>
      <c r="E98" s="232"/>
      <c r="F98" s="232"/>
      <c r="G98" s="232"/>
      <c r="H98" s="232"/>
    </row>
    <row r="99" spans="1:8" ht="15.5" hidden="1" outlineLevel="1" x14ac:dyDescent="0.35">
      <c r="A99" s="324" t="s">
        <v>1274</v>
      </c>
      <c r="B99" s="325"/>
      <c r="C99" s="325"/>
      <c r="D99" s="325"/>
      <c r="E99" s="325"/>
      <c r="F99" s="325"/>
      <c r="G99" s="325"/>
      <c r="H99" s="325"/>
    </row>
    <row r="100" spans="1:8" hidden="1" outlineLevel="1" x14ac:dyDescent="0.35">
      <c r="A100" s="232" t="s">
        <v>1275</v>
      </c>
      <c r="B100" s="232"/>
      <c r="C100" s="234"/>
      <c r="D100" s="232"/>
      <c r="E100" s="232"/>
      <c r="F100" s="232"/>
      <c r="G100" s="232"/>
      <c r="H100" s="232"/>
    </row>
    <row r="101" spans="1:8" hidden="1" outlineLevel="1" x14ac:dyDescent="0.35">
      <c r="A101" s="239" t="s">
        <v>1181</v>
      </c>
      <c r="B101" s="239" t="s">
        <v>1054</v>
      </c>
      <c r="C101" s="240" t="s">
        <v>898</v>
      </c>
      <c r="D101" s="239" t="s">
        <v>1249</v>
      </c>
      <c r="E101" s="239" t="s">
        <v>1184</v>
      </c>
      <c r="F101" s="239" t="s">
        <v>1057</v>
      </c>
      <c r="G101" s="239"/>
      <c r="H101" s="239"/>
    </row>
    <row r="102" spans="1:8" hidden="1" outlineLevel="1" x14ac:dyDescent="0.35">
      <c r="A102" s="232" t="s">
        <v>1276</v>
      </c>
      <c r="B102" s="232" t="s">
        <v>1277</v>
      </c>
      <c r="C102" s="234" t="s">
        <v>1278</v>
      </c>
      <c r="D102" s="232" t="s">
        <v>1279</v>
      </c>
      <c r="E102" s="232" t="s">
        <v>1280</v>
      </c>
      <c r="F102" s="232" t="s">
        <v>1281</v>
      </c>
      <c r="G102" s="232"/>
      <c r="H102" s="232"/>
    </row>
    <row r="103" spans="1:8" hidden="1" outlineLevel="1" x14ac:dyDescent="0.35">
      <c r="A103" s="232" t="s">
        <v>1282</v>
      </c>
      <c r="B103" s="232" t="s">
        <v>1283</v>
      </c>
      <c r="C103" s="234" t="s">
        <v>1284</v>
      </c>
      <c r="D103" s="232" t="s">
        <v>1285</v>
      </c>
      <c r="E103" s="232" t="s">
        <v>1286</v>
      </c>
      <c r="F103" s="232" t="s">
        <v>1287</v>
      </c>
      <c r="G103" s="232"/>
      <c r="H103" s="232"/>
    </row>
    <row r="104" spans="1:8" hidden="1" outlineLevel="1" x14ac:dyDescent="0.35">
      <c r="A104" s="233" t="s">
        <v>1288</v>
      </c>
      <c r="B104" s="233" t="s">
        <v>1289</v>
      </c>
      <c r="C104" s="235" t="s">
        <v>1290</v>
      </c>
      <c r="D104" s="233" t="s">
        <v>1291</v>
      </c>
      <c r="E104" s="233" t="s">
        <v>1292</v>
      </c>
      <c r="F104" s="233" t="s">
        <v>1293</v>
      </c>
      <c r="G104" s="233"/>
      <c r="H104" s="233"/>
    </row>
    <row r="105" spans="1:8" hidden="1" outlineLevel="1" x14ac:dyDescent="0.35">
      <c r="A105" s="238" t="s">
        <v>1294</v>
      </c>
      <c r="B105" s="232"/>
      <c r="C105" s="234"/>
      <c r="D105" s="232"/>
      <c r="E105" s="232"/>
      <c r="F105" s="232"/>
      <c r="G105" s="232"/>
      <c r="H105" s="232"/>
    </row>
    <row r="106" spans="1:8" hidden="1" outlineLevel="1" x14ac:dyDescent="0.35">
      <c r="A106" s="232" t="s">
        <v>1295</v>
      </c>
      <c r="B106" s="232"/>
      <c r="C106" s="234"/>
      <c r="D106" s="232"/>
      <c r="E106" s="232"/>
      <c r="F106" s="232"/>
      <c r="G106" s="232"/>
      <c r="H106" s="232"/>
    </row>
    <row r="107" spans="1:8" hidden="1" outlineLevel="1" x14ac:dyDescent="0.35">
      <c r="A107" t="s">
        <v>1296</v>
      </c>
    </row>
    <row r="108" spans="1:8" hidden="1" outlineLevel="1" x14ac:dyDescent="0.35">
      <c r="A108" t="s">
        <v>1297</v>
      </c>
    </row>
    <row r="109" spans="1:8" hidden="1" outlineLevel="1" x14ac:dyDescent="0.35">
      <c r="A109" t="s">
        <v>1298</v>
      </c>
    </row>
    <row r="110" spans="1:8" hidden="1" outlineLevel="1" x14ac:dyDescent="0.35">
      <c r="A110" t="s">
        <v>1299</v>
      </c>
    </row>
    <row r="111" spans="1:8" hidden="1" outlineLevel="1" x14ac:dyDescent="0.35">
      <c r="A111" t="s">
        <v>1300</v>
      </c>
    </row>
    <row r="112" spans="1:8" ht="16" hidden="1" outlineLevel="1" x14ac:dyDescent="0.4">
      <c r="A112" s="236" t="s">
        <v>1301</v>
      </c>
    </row>
    <row r="113" spans="1:8" hidden="1" outlineLevel="1" x14ac:dyDescent="0.35">
      <c r="A113" t="s">
        <v>1302</v>
      </c>
    </row>
    <row r="114" spans="1:8" hidden="1" outlineLevel="1" x14ac:dyDescent="0.35">
      <c r="A114" s="237" t="s">
        <v>1303</v>
      </c>
      <c r="B114" s="237" t="s">
        <v>1054</v>
      </c>
      <c r="C114" s="237" t="s">
        <v>1182</v>
      </c>
      <c r="D114" s="237" t="s">
        <v>898</v>
      </c>
      <c r="E114" s="237" t="s">
        <v>1304</v>
      </c>
      <c r="F114" s="237" t="s">
        <v>1305</v>
      </c>
      <c r="G114" s="237" t="s">
        <v>1059</v>
      </c>
      <c r="H114" s="237"/>
    </row>
    <row r="115" spans="1:8" ht="43.5" hidden="1" outlineLevel="1" x14ac:dyDescent="0.35">
      <c r="A115" t="s">
        <v>1306</v>
      </c>
      <c r="B115" t="s">
        <v>1306</v>
      </c>
      <c r="C115" s="21" t="s">
        <v>1307</v>
      </c>
      <c r="D115" t="s">
        <v>1118</v>
      </c>
      <c r="E115" t="s">
        <v>1308</v>
      </c>
      <c r="F115" t="s">
        <v>1309</v>
      </c>
      <c r="G115" t="s">
        <v>1310</v>
      </c>
    </row>
    <row r="116" spans="1:8" ht="43.5" hidden="1" outlineLevel="1" x14ac:dyDescent="0.35">
      <c r="A116" t="s">
        <v>541</v>
      </c>
      <c r="B116" t="s">
        <v>541</v>
      </c>
      <c r="C116" s="21" t="s">
        <v>1311</v>
      </c>
      <c r="D116" t="s">
        <v>1312</v>
      </c>
      <c r="E116" t="s">
        <v>1313</v>
      </c>
      <c r="F116" t="s">
        <v>1314</v>
      </c>
      <c r="G116" t="s">
        <v>1310</v>
      </c>
    </row>
    <row r="117" spans="1:8" hidden="1" outlineLevel="1" x14ac:dyDescent="0.35">
      <c r="A117" t="s">
        <v>1315</v>
      </c>
      <c r="B117" t="s">
        <v>1316</v>
      </c>
      <c r="C117" t="s">
        <v>1317</v>
      </c>
      <c r="D117" t="s">
        <v>1318</v>
      </c>
      <c r="E117" t="s">
        <v>1319</v>
      </c>
      <c r="F117" t="s">
        <v>1320</v>
      </c>
      <c r="G117" t="s">
        <v>1321</v>
      </c>
    </row>
    <row r="118" spans="1:8" hidden="1" outlineLevel="1" x14ac:dyDescent="0.35">
      <c r="A118" t="s">
        <v>1322</v>
      </c>
      <c r="B118" t="s">
        <v>1323</v>
      </c>
      <c r="C118" t="s">
        <v>1324</v>
      </c>
      <c r="D118" t="s">
        <v>1325</v>
      </c>
      <c r="E118" t="s">
        <v>1326</v>
      </c>
      <c r="F118" t="s">
        <v>1327</v>
      </c>
      <c r="G118" t="s">
        <v>1321</v>
      </c>
    </row>
    <row r="119" spans="1:8" hidden="1" outlineLevel="1" x14ac:dyDescent="0.35">
      <c r="A119" t="s">
        <v>1328</v>
      </c>
      <c r="B119" t="s">
        <v>544</v>
      </c>
      <c r="C119" t="s">
        <v>1329</v>
      </c>
      <c r="D119" t="s">
        <v>1330</v>
      </c>
      <c r="E119" t="s">
        <v>1331</v>
      </c>
      <c r="F119" t="s">
        <v>1332</v>
      </c>
      <c r="G119" t="s">
        <v>1333</v>
      </c>
    </row>
    <row r="120" spans="1:8" hidden="1" outlineLevel="1" x14ac:dyDescent="0.35">
      <c r="A120" t="s">
        <v>1334</v>
      </c>
      <c r="B120" t="s">
        <v>1335</v>
      </c>
      <c r="C120" t="s">
        <v>1336</v>
      </c>
      <c r="D120" t="s">
        <v>1334</v>
      </c>
      <c r="E120" t="s">
        <v>1337</v>
      </c>
      <c r="F120" t="s">
        <v>1338</v>
      </c>
      <c r="G120" t="s">
        <v>1339</v>
      </c>
    </row>
    <row r="121" spans="1:8" hidden="1" outlineLevel="1" x14ac:dyDescent="0.35">
      <c r="A121" t="s">
        <v>1340</v>
      </c>
      <c r="B121" t="s">
        <v>1257</v>
      </c>
      <c r="C121" t="s">
        <v>1341</v>
      </c>
      <c r="D121" t="s">
        <v>1342</v>
      </c>
      <c r="E121" t="s">
        <v>1261</v>
      </c>
      <c r="F121" t="s">
        <v>1343</v>
      </c>
      <c r="G121" t="s">
        <v>1344</v>
      </c>
    </row>
    <row r="122" spans="1:8" hidden="1" outlineLevel="1" x14ac:dyDescent="0.35">
      <c r="A122" t="s">
        <v>1345</v>
      </c>
      <c r="B122" t="s">
        <v>1346</v>
      </c>
      <c r="C122" t="s">
        <v>1347</v>
      </c>
      <c r="D122" t="s">
        <v>1348</v>
      </c>
      <c r="E122" t="s">
        <v>1267</v>
      </c>
      <c r="F122" t="s">
        <v>1349</v>
      </c>
      <c r="G122" t="s">
        <v>1350</v>
      </c>
    </row>
    <row r="123" spans="1:8" hidden="1" outlineLevel="1" x14ac:dyDescent="0.35">
      <c r="A123" t="s">
        <v>1351</v>
      </c>
      <c r="B123" t="s">
        <v>1277</v>
      </c>
      <c r="C123" t="s">
        <v>1352</v>
      </c>
      <c r="D123" t="s">
        <v>1353</v>
      </c>
      <c r="E123" t="s">
        <v>1281</v>
      </c>
      <c r="F123" t="s">
        <v>1354</v>
      </c>
      <c r="G123" t="s">
        <v>1355</v>
      </c>
    </row>
    <row r="124" spans="1:8" hidden="1" outlineLevel="1" x14ac:dyDescent="0.35">
      <c r="A124" t="s">
        <v>1283</v>
      </c>
      <c r="B124" t="s">
        <v>1283</v>
      </c>
      <c r="C124" t="s">
        <v>1356</v>
      </c>
      <c r="D124" t="s">
        <v>1357</v>
      </c>
      <c r="E124" t="s">
        <v>1287</v>
      </c>
      <c r="F124" t="s">
        <v>1358</v>
      </c>
      <c r="G124" t="s">
        <v>1359</v>
      </c>
    </row>
    <row r="125" spans="1:8" hidden="1" outlineLevel="1" x14ac:dyDescent="0.35">
      <c r="A125" t="s">
        <v>1360</v>
      </c>
      <c r="B125" t="s">
        <v>1361</v>
      </c>
      <c r="C125" t="s">
        <v>1362</v>
      </c>
      <c r="D125" t="s">
        <v>1363</v>
      </c>
      <c r="E125" t="s">
        <v>1364</v>
      </c>
      <c r="F125" t="s">
        <v>1365</v>
      </c>
      <c r="G125" t="s">
        <v>1366</v>
      </c>
    </row>
    <row r="126" spans="1:8" hidden="1" outlineLevel="1" x14ac:dyDescent="0.35">
      <c r="A126" t="s">
        <v>1367</v>
      </c>
      <c r="B126" t="s">
        <v>1368</v>
      </c>
      <c r="C126" t="s">
        <v>1369</v>
      </c>
      <c r="D126" t="s">
        <v>1370</v>
      </c>
      <c r="E126" t="s">
        <v>1371</v>
      </c>
      <c r="F126" t="s">
        <v>1372</v>
      </c>
      <c r="G126" t="s">
        <v>1373</v>
      </c>
    </row>
    <row r="127" spans="1:8" ht="16" hidden="1" outlineLevel="1" x14ac:dyDescent="0.4">
      <c r="A127" s="236" t="s">
        <v>1374</v>
      </c>
    </row>
    <row r="128" spans="1:8" hidden="1" outlineLevel="1" x14ac:dyDescent="0.35">
      <c r="A128" t="s">
        <v>1375</v>
      </c>
    </row>
    <row r="129" spans="1:8" hidden="1" outlineLevel="1" x14ac:dyDescent="0.35">
      <c r="A129" s="237" t="s">
        <v>1376</v>
      </c>
      <c r="B129" s="237" t="s">
        <v>1249</v>
      </c>
      <c r="C129" s="237" t="s">
        <v>1182</v>
      </c>
      <c r="D129" s="237" t="s">
        <v>1377</v>
      </c>
      <c r="E129" s="237" t="s">
        <v>1378</v>
      </c>
      <c r="F129" s="237" t="s">
        <v>1059</v>
      </c>
      <c r="G129" s="237"/>
      <c r="H129" s="237"/>
    </row>
    <row r="130" spans="1:8" hidden="1" outlineLevel="1" x14ac:dyDescent="0.35">
      <c r="A130" t="s">
        <v>1379</v>
      </c>
      <c r="B130" t="s">
        <v>1380</v>
      </c>
      <c r="C130" t="s">
        <v>1381</v>
      </c>
      <c r="D130" t="s">
        <v>1382</v>
      </c>
      <c r="E130" t="s">
        <v>1383</v>
      </c>
      <c r="F130" t="s">
        <v>1384</v>
      </c>
    </row>
    <row r="131" spans="1:8" hidden="1" outlineLevel="1" x14ac:dyDescent="0.35">
      <c r="A131" t="s">
        <v>1385</v>
      </c>
      <c r="B131" t="s">
        <v>1386</v>
      </c>
      <c r="C131" t="s">
        <v>1387</v>
      </c>
      <c r="D131" t="s">
        <v>1388</v>
      </c>
      <c r="E131" t="s">
        <v>1389</v>
      </c>
      <c r="F131" t="s">
        <v>1390</v>
      </c>
    </row>
    <row r="132" spans="1:8" hidden="1" outlineLevel="1" x14ac:dyDescent="0.35">
      <c r="A132" t="s">
        <v>1391</v>
      </c>
      <c r="B132" t="s">
        <v>1392</v>
      </c>
      <c r="C132" t="s">
        <v>1393</v>
      </c>
      <c r="D132" t="s">
        <v>1394</v>
      </c>
      <c r="E132" t="s">
        <v>1320</v>
      </c>
      <c r="F132" t="s">
        <v>1395</v>
      </c>
    </row>
    <row r="133" spans="1:8" hidden="1" outlineLevel="1" x14ac:dyDescent="0.35">
      <c r="A133" t="s">
        <v>1396</v>
      </c>
      <c r="B133" t="s">
        <v>1397</v>
      </c>
      <c r="C133" t="s">
        <v>1398</v>
      </c>
      <c r="D133" t="s">
        <v>1399</v>
      </c>
      <c r="E133" t="s">
        <v>1400</v>
      </c>
      <c r="F133" t="s">
        <v>1401</v>
      </c>
    </row>
    <row r="134" spans="1:8" hidden="1" outlineLevel="1" x14ac:dyDescent="0.35">
      <c r="A134" t="s">
        <v>1402</v>
      </c>
      <c r="B134" t="s">
        <v>1403</v>
      </c>
      <c r="C134" t="s">
        <v>1404</v>
      </c>
      <c r="D134" t="s">
        <v>1405</v>
      </c>
      <c r="E134" t="s">
        <v>1406</v>
      </c>
      <c r="F134" t="s">
        <v>1407</v>
      </c>
    </row>
    <row r="135" spans="1:8" ht="43.5" hidden="1" outlineLevel="1" x14ac:dyDescent="0.35">
      <c r="A135" t="s">
        <v>1408</v>
      </c>
      <c r="B135" t="s">
        <v>1409</v>
      </c>
      <c r="C135" t="s">
        <v>1410</v>
      </c>
      <c r="D135" t="s">
        <v>1411</v>
      </c>
      <c r="E135" s="21" t="s">
        <v>1412</v>
      </c>
      <c r="F135" t="s">
        <v>1413</v>
      </c>
    </row>
    <row r="136" spans="1:8" hidden="1" outlineLevel="1" x14ac:dyDescent="0.35"/>
    <row r="137" spans="1:8" ht="16" collapsed="1" x14ac:dyDescent="0.4">
      <c r="A137" s="326" t="s">
        <v>1414</v>
      </c>
      <c r="B137" s="327"/>
      <c r="C137" s="327"/>
      <c r="D137" s="327"/>
      <c r="E137" s="327"/>
      <c r="F137" s="327"/>
      <c r="G137" s="327"/>
      <c r="H137" s="327"/>
    </row>
    <row r="139" spans="1:8" x14ac:dyDescent="0.35">
      <c r="A139" t="s">
        <v>1415</v>
      </c>
    </row>
    <row r="140" spans="1:8" x14ac:dyDescent="0.35">
      <c r="A140" t="s">
        <v>1416</v>
      </c>
    </row>
    <row r="141" spans="1:8" x14ac:dyDescent="0.35">
      <c r="A141" t="s">
        <v>1417</v>
      </c>
    </row>
    <row r="142" spans="1:8" x14ac:dyDescent="0.35">
      <c r="A142" t="s">
        <v>1418</v>
      </c>
    </row>
    <row r="143" spans="1:8" x14ac:dyDescent="0.35">
      <c r="A143" t="s">
        <v>1419</v>
      </c>
    </row>
    <row r="144" spans="1:8" x14ac:dyDescent="0.35">
      <c r="A144" t="s">
        <v>1420</v>
      </c>
    </row>
    <row r="145" spans="1:3" x14ac:dyDescent="0.35">
      <c r="A145" t="s">
        <v>1421</v>
      </c>
      <c r="B145" t="s">
        <v>1422</v>
      </c>
    </row>
    <row r="146" spans="1:3" x14ac:dyDescent="0.35">
      <c r="A146" t="s">
        <v>1423</v>
      </c>
    </row>
    <row r="147" spans="1:3" x14ac:dyDescent="0.35">
      <c r="A147" t="s">
        <v>1424</v>
      </c>
    </row>
    <row r="148" spans="1:3" x14ac:dyDescent="0.35">
      <c r="A148" s="211" t="s">
        <v>1425</v>
      </c>
      <c r="B148" t="s">
        <v>1426</v>
      </c>
    </row>
    <row r="149" spans="1:3" x14ac:dyDescent="0.35">
      <c r="A149" s="241" t="s">
        <v>1427</v>
      </c>
      <c r="B149" t="s">
        <v>1428</v>
      </c>
    </row>
    <row r="150" spans="1:3" x14ac:dyDescent="0.35">
      <c r="A150" s="247" t="s">
        <v>1429</v>
      </c>
      <c r="B150" s="247" t="s">
        <v>1364</v>
      </c>
      <c r="C150" s="247" t="s">
        <v>1430</v>
      </c>
    </row>
    <row r="151" spans="1:3" x14ac:dyDescent="0.35">
      <c r="A151" t="s">
        <v>1431</v>
      </c>
    </row>
    <row r="152" spans="1:3" x14ac:dyDescent="0.35">
      <c r="A152" t="s">
        <v>1432</v>
      </c>
    </row>
    <row r="153" spans="1:3" x14ac:dyDescent="0.35">
      <c r="A153" t="s">
        <v>1433</v>
      </c>
    </row>
    <row r="154" spans="1:3" x14ac:dyDescent="0.35">
      <c r="A154" t="s">
        <v>1434</v>
      </c>
    </row>
    <row r="155" spans="1:3" x14ac:dyDescent="0.35">
      <c r="A155" t="s">
        <v>1435</v>
      </c>
    </row>
    <row r="156" spans="1:3" x14ac:dyDescent="0.35">
      <c r="A156" t="s">
        <v>1436</v>
      </c>
    </row>
    <row r="157" spans="1:3" x14ac:dyDescent="0.35">
      <c r="A157" t="s">
        <v>1437</v>
      </c>
    </row>
    <row r="158" spans="1:3" x14ac:dyDescent="0.35">
      <c r="A158" s="211" t="s">
        <v>1438</v>
      </c>
      <c r="B158" s="211" t="s">
        <v>1439</v>
      </c>
      <c r="C158" s="211"/>
    </row>
    <row r="159" spans="1:3" x14ac:dyDescent="0.35">
      <c r="A159" t="s">
        <v>1440</v>
      </c>
    </row>
    <row r="160" spans="1:3" x14ac:dyDescent="0.35">
      <c r="A160" t="s">
        <v>1441</v>
      </c>
    </row>
    <row r="161" spans="1:2" x14ac:dyDescent="0.35">
      <c r="A161" t="s">
        <v>1442</v>
      </c>
      <c r="B161" t="s">
        <v>1443</v>
      </c>
    </row>
    <row r="162" spans="1:2" x14ac:dyDescent="0.35">
      <c r="A162" s="222" t="s">
        <v>1444</v>
      </c>
      <c r="B162" t="s">
        <v>1445</v>
      </c>
    </row>
    <row r="163" spans="1:2" x14ac:dyDescent="0.35">
      <c r="A163" t="s">
        <v>1429</v>
      </c>
      <c r="B163" t="s">
        <v>1446</v>
      </c>
    </row>
    <row r="164" spans="1:2" x14ac:dyDescent="0.35">
      <c r="A164" t="s">
        <v>1447</v>
      </c>
    </row>
    <row r="165" spans="1:2" x14ac:dyDescent="0.35">
      <c r="A165" t="s">
        <v>1431</v>
      </c>
    </row>
    <row r="166" spans="1:2" x14ac:dyDescent="0.35">
      <c r="A166" s="246" t="s">
        <v>1448</v>
      </c>
    </row>
    <row r="167" spans="1:2" x14ac:dyDescent="0.35">
      <c r="A167" s="246" t="s">
        <v>1449</v>
      </c>
    </row>
    <row r="168" spans="1:2" x14ac:dyDescent="0.35">
      <c r="A168" s="245" t="s">
        <v>1450</v>
      </c>
    </row>
    <row r="169" spans="1:2" x14ac:dyDescent="0.35">
      <c r="A169" t="s">
        <v>1432</v>
      </c>
    </row>
    <row r="170" spans="1:2" x14ac:dyDescent="0.35">
      <c r="A170" s="246" t="s">
        <v>1448</v>
      </c>
    </row>
    <row r="171" spans="1:2" x14ac:dyDescent="0.35">
      <c r="A171" s="246" t="s">
        <v>1451</v>
      </c>
    </row>
    <row r="172" spans="1:2" x14ac:dyDescent="0.35">
      <c r="A172" s="245" t="s">
        <v>1452</v>
      </c>
    </row>
    <row r="173" spans="1:2" x14ac:dyDescent="0.35">
      <c r="A173" t="s">
        <v>1433</v>
      </c>
    </row>
    <row r="174" spans="1:2" x14ac:dyDescent="0.35">
      <c r="A174" t="s">
        <v>1453</v>
      </c>
    </row>
    <row r="175" spans="1:2" x14ac:dyDescent="0.35">
      <c r="A175" t="s">
        <v>1454</v>
      </c>
    </row>
    <row r="176" spans="1:2" x14ac:dyDescent="0.35">
      <c r="A176" t="s">
        <v>1455</v>
      </c>
    </row>
    <row r="177" spans="1:2" x14ac:dyDescent="0.35">
      <c r="A177" s="245" t="s">
        <v>1456</v>
      </c>
      <c r="B177" t="s">
        <v>1457</v>
      </c>
    </row>
    <row r="178" spans="1:2" x14ac:dyDescent="0.35">
      <c r="A178" t="s">
        <v>1458</v>
      </c>
    </row>
    <row r="179" spans="1:2" x14ac:dyDescent="0.35">
      <c r="A179" t="s">
        <v>1459</v>
      </c>
    </row>
    <row r="180" spans="1:2" x14ac:dyDescent="0.35">
      <c r="A180" t="s">
        <v>1460</v>
      </c>
      <c r="B180" t="s">
        <v>1461</v>
      </c>
    </row>
    <row r="181" spans="1:2" x14ac:dyDescent="0.35">
      <c r="A181" t="s">
        <v>1462</v>
      </c>
    </row>
    <row r="182" spans="1:2" x14ac:dyDescent="0.35">
      <c r="A182" t="s">
        <v>1463</v>
      </c>
    </row>
    <row r="183" spans="1:2" x14ac:dyDescent="0.35">
      <c r="A183" t="s">
        <v>1460</v>
      </c>
    </row>
    <row r="184" spans="1:2" x14ac:dyDescent="0.35">
      <c r="A184" t="s">
        <v>1464</v>
      </c>
      <c r="B184" t="s">
        <v>1465</v>
      </c>
    </row>
    <row r="185" spans="1:2" x14ac:dyDescent="0.35">
      <c r="A185" t="s">
        <v>1466</v>
      </c>
    </row>
    <row r="186" spans="1:2" x14ac:dyDescent="0.35">
      <c r="A186" t="s">
        <v>1467</v>
      </c>
    </row>
    <row r="187" spans="1:2" x14ac:dyDescent="0.35">
      <c r="A187" t="s">
        <v>1460</v>
      </c>
      <c r="B187" t="s">
        <v>1468</v>
      </c>
    </row>
    <row r="188" spans="1:2" x14ac:dyDescent="0.35">
      <c r="A188" t="s">
        <v>1434</v>
      </c>
    </row>
    <row r="189" spans="1:2" x14ac:dyDescent="0.35">
      <c r="A189" t="s">
        <v>1469</v>
      </c>
    </row>
    <row r="190" spans="1:2" x14ac:dyDescent="0.35">
      <c r="A190" s="245" t="s">
        <v>1470</v>
      </c>
    </row>
    <row r="191" spans="1:2" x14ac:dyDescent="0.35">
      <c r="A191" t="s">
        <v>1454</v>
      </c>
    </row>
    <row r="192" spans="1:2" x14ac:dyDescent="0.35">
      <c r="A192" t="s">
        <v>1460</v>
      </c>
    </row>
    <row r="193" spans="1:2" x14ac:dyDescent="0.35">
      <c r="A193" t="s">
        <v>1458</v>
      </c>
    </row>
    <row r="194" spans="1:2" x14ac:dyDescent="0.35">
      <c r="A194" t="s">
        <v>1463</v>
      </c>
      <c r="B194" t="s">
        <v>1471</v>
      </c>
    </row>
    <row r="195" spans="1:2" x14ac:dyDescent="0.35">
      <c r="A195" t="s">
        <v>1460</v>
      </c>
    </row>
    <row r="196" spans="1:2" x14ac:dyDescent="0.35">
      <c r="A196" t="s">
        <v>1462</v>
      </c>
    </row>
    <row r="197" spans="1:2" x14ac:dyDescent="0.35">
      <c r="A197" t="s">
        <v>1463</v>
      </c>
    </row>
    <row r="198" spans="1:2" x14ac:dyDescent="0.35">
      <c r="A198" t="s">
        <v>1460</v>
      </c>
    </row>
    <row r="199" spans="1:2" x14ac:dyDescent="0.35">
      <c r="A199" t="s">
        <v>1464</v>
      </c>
      <c r="B199" t="s">
        <v>1472</v>
      </c>
    </row>
    <row r="200" spans="1:2" x14ac:dyDescent="0.35">
      <c r="A200" s="245" t="s">
        <v>1466</v>
      </c>
    </row>
    <row r="201" spans="1:2" x14ac:dyDescent="0.35">
      <c r="A201" t="s">
        <v>1473</v>
      </c>
    </row>
    <row r="202" spans="1:2" x14ac:dyDescent="0.35">
      <c r="A202" t="s">
        <v>1460</v>
      </c>
    </row>
    <row r="203" spans="1:2" x14ac:dyDescent="0.35">
      <c r="A203" t="s">
        <v>1435</v>
      </c>
    </row>
    <row r="204" spans="1:2" x14ac:dyDescent="0.35">
      <c r="A204" t="s">
        <v>1436</v>
      </c>
    </row>
    <row r="205" spans="1:2" x14ac:dyDescent="0.35">
      <c r="A205" t="s">
        <v>1474</v>
      </c>
    </row>
    <row r="206" spans="1:2" x14ac:dyDescent="0.35">
      <c r="A206" t="s">
        <v>1475</v>
      </c>
      <c r="B206" t="s">
        <v>1476</v>
      </c>
    </row>
    <row r="207" spans="1:2" x14ac:dyDescent="0.35">
      <c r="A207" t="s">
        <v>1437</v>
      </c>
    </row>
    <row r="208" spans="1:2" x14ac:dyDescent="0.35">
      <c r="A208" t="s">
        <v>1477</v>
      </c>
    </row>
    <row r="209" spans="1:2" x14ac:dyDescent="0.35">
      <c r="A209" t="s">
        <v>1478</v>
      </c>
    </row>
    <row r="210" spans="1:2" x14ac:dyDescent="0.35">
      <c r="A210" t="s">
        <v>1479</v>
      </c>
    </row>
    <row r="211" spans="1:2" x14ac:dyDescent="0.35">
      <c r="A211" t="s">
        <v>1480</v>
      </c>
    </row>
    <row r="212" spans="1:2" x14ac:dyDescent="0.35">
      <c r="A212" t="s">
        <v>1481</v>
      </c>
    </row>
    <row r="213" spans="1:2" x14ac:dyDescent="0.35">
      <c r="A213" t="s">
        <v>1482</v>
      </c>
      <c r="B213" t="s">
        <v>1476</v>
      </c>
    </row>
    <row r="214" spans="1:2" x14ac:dyDescent="0.35">
      <c r="A214" t="s">
        <v>1483</v>
      </c>
    </row>
    <row r="215" spans="1:2" x14ac:dyDescent="0.35">
      <c r="A215" t="s">
        <v>1484</v>
      </c>
    </row>
    <row r="216" spans="1:2" x14ac:dyDescent="0.35">
      <c r="A216" t="s">
        <v>1485</v>
      </c>
    </row>
    <row r="217" spans="1:2" x14ac:dyDescent="0.35">
      <c r="A217" t="s">
        <v>1486</v>
      </c>
    </row>
    <row r="218" spans="1:2" x14ac:dyDescent="0.35">
      <c r="A218" t="s">
        <v>1487</v>
      </c>
    </row>
    <row r="219" spans="1:2" x14ac:dyDescent="0.35">
      <c r="A219" t="s">
        <v>1488</v>
      </c>
    </row>
    <row r="220" spans="1:2" x14ac:dyDescent="0.35">
      <c r="A220" t="s">
        <v>1489</v>
      </c>
    </row>
    <row r="221" spans="1:2" x14ac:dyDescent="0.35">
      <c r="A221" s="211" t="s">
        <v>1438</v>
      </c>
    </row>
    <row r="222" spans="1:2" x14ac:dyDescent="0.35">
      <c r="A222" t="s">
        <v>1490</v>
      </c>
    </row>
    <row r="223" spans="1:2" x14ac:dyDescent="0.35">
      <c r="A223" t="s">
        <v>1491</v>
      </c>
      <c r="B223" t="s">
        <v>1443</v>
      </c>
    </row>
    <row r="224" spans="1:2" x14ac:dyDescent="0.35">
      <c r="A224" t="s">
        <v>1492</v>
      </c>
      <c r="B224" t="s">
        <v>1493</v>
      </c>
    </row>
    <row r="225" spans="1:1" x14ac:dyDescent="0.35">
      <c r="A225" s="211" t="s">
        <v>1494</v>
      </c>
    </row>
    <row r="226" spans="1:1" x14ac:dyDescent="0.35">
      <c r="A226" t="s">
        <v>1495</v>
      </c>
    </row>
    <row r="227" spans="1:1" x14ac:dyDescent="0.35">
      <c r="A227" t="s">
        <v>1496</v>
      </c>
    </row>
  </sheetData>
  <mergeCells count="10">
    <mergeCell ref="A99:H99"/>
    <mergeCell ref="A137:H137"/>
    <mergeCell ref="A1:H1"/>
    <mergeCell ref="A45:H45"/>
    <mergeCell ref="A46:H46"/>
    <mergeCell ref="A97:H97"/>
    <mergeCell ref="A69:H69"/>
    <mergeCell ref="A84:H84"/>
    <mergeCell ref="A28:H28"/>
    <mergeCell ref="A33:H33"/>
  </mergeCells>
  <phoneticPr fontId="50"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F4C7A-6CF5-43EF-9608-184A2E0A78B1}">
  <dimension ref="A1:I17"/>
  <sheetViews>
    <sheetView zoomScale="80" zoomScaleNormal="80" workbookViewId="0">
      <pane xSplit="5" ySplit="1" topLeftCell="F2" activePane="bottomRight" state="frozen"/>
      <selection pane="topRight" activeCell="E32" sqref="E32"/>
      <selection pane="bottomLeft" activeCell="E32" sqref="E32"/>
      <selection pane="bottomRight" activeCell="H18" sqref="H18"/>
    </sheetView>
  </sheetViews>
  <sheetFormatPr defaultRowHeight="14.5" x14ac:dyDescent="0.35"/>
  <cols>
    <col min="1" max="2" width="13.54296875" bestFit="1" customWidth="1"/>
    <col min="3" max="3" width="20.54296875" customWidth="1"/>
    <col min="4" max="4" width="26.54296875" bestFit="1" customWidth="1"/>
    <col min="5" max="7" width="25.453125" customWidth="1"/>
    <col min="8" max="8" width="13.54296875" bestFit="1" customWidth="1"/>
  </cols>
  <sheetData>
    <row r="1" spans="1:9" ht="37" x14ac:dyDescent="0.35">
      <c r="A1" s="116" t="s">
        <v>1497</v>
      </c>
      <c r="B1" s="116" t="s">
        <v>218</v>
      </c>
      <c r="C1" s="116" t="s">
        <v>1498</v>
      </c>
      <c r="D1" s="117" t="s">
        <v>1499</v>
      </c>
      <c r="E1" s="174" t="s">
        <v>211</v>
      </c>
      <c r="F1" s="174" t="s">
        <v>220</v>
      </c>
      <c r="G1" s="175" t="s">
        <v>1500</v>
      </c>
      <c r="H1" s="175" t="s">
        <v>7</v>
      </c>
      <c r="I1" s="175" t="s">
        <v>481</v>
      </c>
    </row>
    <row r="2" spans="1:9" ht="72.5" x14ac:dyDescent="0.35">
      <c r="A2" t="s">
        <v>53</v>
      </c>
      <c r="B2" t="s">
        <v>309</v>
      </c>
      <c r="C2" t="s">
        <v>1501</v>
      </c>
      <c r="D2" s="21" t="s">
        <v>1502</v>
      </c>
      <c r="E2" s="21" t="s">
        <v>323</v>
      </c>
      <c r="F2" t="s">
        <v>285</v>
      </c>
      <c r="G2" t="s">
        <v>342</v>
      </c>
      <c r="H2" t="s">
        <v>298</v>
      </c>
      <c r="I2">
        <v>2026</v>
      </c>
    </row>
    <row r="3" spans="1:9" x14ac:dyDescent="0.35">
      <c r="A3" t="s">
        <v>64</v>
      </c>
      <c r="B3" t="s">
        <v>284</v>
      </c>
      <c r="C3" t="s">
        <v>45</v>
      </c>
      <c r="E3" t="s">
        <v>268</v>
      </c>
      <c r="F3" t="s">
        <v>317</v>
      </c>
      <c r="G3" t="s">
        <v>304</v>
      </c>
      <c r="H3" t="s">
        <v>340</v>
      </c>
      <c r="I3">
        <v>2027</v>
      </c>
    </row>
    <row r="4" spans="1:9" x14ac:dyDescent="0.35">
      <c r="A4" t="s">
        <v>73</v>
      </c>
      <c r="B4" t="s">
        <v>272</v>
      </c>
      <c r="C4" t="s">
        <v>396</v>
      </c>
      <c r="E4" t="s">
        <v>1503</v>
      </c>
      <c r="F4" t="s">
        <v>372</v>
      </c>
      <c r="G4" t="s">
        <v>318</v>
      </c>
      <c r="H4" t="s">
        <v>164</v>
      </c>
      <c r="I4">
        <v>2028</v>
      </c>
    </row>
    <row r="5" spans="1:9" x14ac:dyDescent="0.35">
      <c r="A5" t="s">
        <v>292</v>
      </c>
      <c r="B5" t="s">
        <v>300</v>
      </c>
      <c r="C5" t="s">
        <v>137</v>
      </c>
      <c r="F5" t="s">
        <v>301</v>
      </c>
      <c r="G5" t="s">
        <v>56</v>
      </c>
      <c r="H5" t="s">
        <v>290</v>
      </c>
    </row>
    <row r="6" spans="1:9" x14ac:dyDescent="0.35">
      <c r="B6" t="s">
        <v>316</v>
      </c>
      <c r="C6" t="s">
        <v>133</v>
      </c>
      <c r="F6" t="s">
        <v>333</v>
      </c>
      <c r="G6" t="s">
        <v>73</v>
      </c>
      <c r="H6" t="s">
        <v>306</v>
      </c>
    </row>
    <row r="7" spans="1:9" x14ac:dyDescent="0.35">
      <c r="B7" t="s">
        <v>477</v>
      </c>
      <c r="F7" t="s">
        <v>364</v>
      </c>
      <c r="G7" t="s">
        <v>331</v>
      </c>
      <c r="H7" t="s">
        <v>329</v>
      </c>
    </row>
    <row r="8" spans="1:9" x14ac:dyDescent="0.35">
      <c r="B8" t="s">
        <v>135</v>
      </c>
      <c r="F8" t="s">
        <v>310</v>
      </c>
      <c r="G8" t="s">
        <v>359</v>
      </c>
      <c r="H8" t="s">
        <v>149</v>
      </c>
    </row>
    <row r="9" spans="1:9" x14ac:dyDescent="0.35">
      <c r="B9" t="s">
        <v>396</v>
      </c>
      <c r="F9" t="s">
        <v>274</v>
      </c>
      <c r="H9" t="s">
        <v>319</v>
      </c>
    </row>
    <row r="10" spans="1:9" x14ac:dyDescent="0.35">
      <c r="B10" t="s">
        <v>389</v>
      </c>
      <c r="H10" t="s">
        <v>1504</v>
      </c>
    </row>
    <row r="11" spans="1:9" x14ac:dyDescent="0.35">
      <c r="B11" t="s">
        <v>133</v>
      </c>
      <c r="H11" t="s">
        <v>272</v>
      </c>
    </row>
    <row r="12" spans="1:9" x14ac:dyDescent="0.35">
      <c r="H12" t="s">
        <v>324</v>
      </c>
    </row>
    <row r="13" spans="1:9" x14ac:dyDescent="0.35">
      <c r="H13" t="s">
        <v>308</v>
      </c>
    </row>
    <row r="14" spans="1:9" x14ac:dyDescent="0.35">
      <c r="H14" t="s">
        <v>269</v>
      </c>
    </row>
    <row r="15" spans="1:9" x14ac:dyDescent="0.35">
      <c r="H15" t="s">
        <v>424</v>
      </c>
    </row>
    <row r="16" spans="1:9" x14ac:dyDescent="0.35">
      <c r="H16" t="s">
        <v>375</v>
      </c>
    </row>
    <row r="17" spans="8:8" x14ac:dyDescent="0.35">
      <c r="H17" t="s">
        <v>414</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C80A636-C60C-4AAD-8A99-03824EC90D55}">
          <x14:formula1>
            <xm:f>'STAGE DEFINITION'!$A:$A</xm:f>
          </x14:formula1>
          <xm:sqref>G15</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5E0A4-C819-4940-AA53-8F62317A2EAA}">
  <dimension ref="A1:B22"/>
  <sheetViews>
    <sheetView workbookViewId="0">
      <selection activeCell="F2" sqref="F2"/>
    </sheetView>
  </sheetViews>
  <sheetFormatPr defaultRowHeight="14.5" x14ac:dyDescent="0.35"/>
  <cols>
    <col min="1" max="1" width="35.90625" customWidth="1"/>
    <col min="2" max="2" width="16.54296875" customWidth="1"/>
  </cols>
  <sheetData>
    <row r="1" spans="1:2" ht="17" thickBot="1" x14ac:dyDescent="0.4">
      <c r="A1" s="256" t="s">
        <v>216</v>
      </c>
      <c r="B1" s="256" t="s">
        <v>212</v>
      </c>
    </row>
    <row r="2" spans="1:2" ht="17" thickBot="1" x14ac:dyDescent="0.4">
      <c r="A2" s="257" t="s">
        <v>106</v>
      </c>
      <c r="B2" s="258" t="s">
        <v>270</v>
      </c>
    </row>
    <row r="3" spans="1:2" ht="17" thickBot="1" x14ac:dyDescent="0.4">
      <c r="A3" s="257" t="s">
        <v>106</v>
      </c>
      <c r="B3" s="258" t="s">
        <v>270</v>
      </c>
    </row>
    <row r="4" spans="1:2" ht="17" thickBot="1" x14ac:dyDescent="0.4">
      <c r="A4" s="257" t="s">
        <v>106</v>
      </c>
      <c r="B4" s="258" t="s">
        <v>270</v>
      </c>
    </row>
    <row r="5" spans="1:2" ht="17" thickBot="1" x14ac:dyDescent="0.4">
      <c r="A5" s="257" t="s">
        <v>106</v>
      </c>
      <c r="B5" s="258" t="s">
        <v>270</v>
      </c>
    </row>
    <row r="6" spans="1:2" ht="17" thickBot="1" x14ac:dyDescent="0.4">
      <c r="A6" s="257" t="s">
        <v>106</v>
      </c>
      <c r="B6" s="258" t="s">
        <v>270</v>
      </c>
    </row>
    <row r="7" spans="1:2" ht="17" thickBot="1" x14ac:dyDescent="0.4">
      <c r="A7" s="257" t="s">
        <v>103</v>
      </c>
      <c r="B7" s="258" t="s">
        <v>270</v>
      </c>
    </row>
    <row r="8" spans="1:2" ht="17" thickBot="1" x14ac:dyDescent="0.4">
      <c r="A8" s="257" t="s">
        <v>299</v>
      </c>
      <c r="B8" s="258" t="s">
        <v>270</v>
      </c>
    </row>
    <row r="9" spans="1:2" ht="17" thickBot="1" x14ac:dyDescent="0.4">
      <c r="A9" s="257" t="s">
        <v>307</v>
      </c>
      <c r="B9" s="258" t="s">
        <v>270</v>
      </c>
    </row>
    <row r="10" spans="1:2" ht="17" thickBot="1" x14ac:dyDescent="0.4">
      <c r="A10" s="257" t="s">
        <v>320</v>
      </c>
      <c r="B10" s="258" t="s">
        <v>270</v>
      </c>
    </row>
    <row r="11" spans="1:2" ht="17" thickBot="1" x14ac:dyDescent="0.4">
      <c r="A11" s="257" t="s">
        <v>184</v>
      </c>
      <c r="B11" s="258" t="s">
        <v>270</v>
      </c>
    </row>
    <row r="12" spans="1:2" ht="17" thickBot="1" x14ac:dyDescent="0.4">
      <c r="A12" s="257" t="s">
        <v>337</v>
      </c>
      <c r="B12" s="258" t="s">
        <v>270</v>
      </c>
    </row>
    <row r="13" spans="1:2" ht="17" thickBot="1" x14ac:dyDescent="0.4">
      <c r="A13" s="257" t="s">
        <v>103</v>
      </c>
      <c r="B13" s="258" t="s">
        <v>270</v>
      </c>
    </row>
    <row r="14" spans="1:2" ht="17" thickBot="1" x14ac:dyDescent="0.4">
      <c r="A14" s="257" t="s">
        <v>384</v>
      </c>
      <c r="B14" s="258" t="s">
        <v>312</v>
      </c>
    </row>
    <row r="15" spans="1:2" ht="17" thickBot="1" x14ac:dyDescent="0.4">
      <c r="A15" s="257" t="s">
        <v>401</v>
      </c>
      <c r="B15" s="258" t="s">
        <v>270</v>
      </c>
    </row>
    <row r="16" spans="1:2" ht="17" thickBot="1" x14ac:dyDescent="0.4">
      <c r="A16" s="257" t="s">
        <v>1505</v>
      </c>
      <c r="B16" s="258" t="s">
        <v>312</v>
      </c>
    </row>
    <row r="17" spans="1:2" ht="17" thickBot="1" x14ac:dyDescent="0.4">
      <c r="A17" s="257" t="s">
        <v>434</v>
      </c>
      <c r="B17" s="258" t="s">
        <v>312</v>
      </c>
    </row>
    <row r="18" spans="1:2" ht="17" thickBot="1" x14ac:dyDescent="0.4">
      <c r="A18" s="257" t="s">
        <v>435</v>
      </c>
      <c r="B18" s="258" t="s">
        <v>405</v>
      </c>
    </row>
    <row r="19" spans="1:2" ht="17" thickBot="1" x14ac:dyDescent="0.4">
      <c r="A19" s="257" t="s">
        <v>441</v>
      </c>
      <c r="B19" s="258" t="s">
        <v>312</v>
      </c>
    </row>
    <row r="20" spans="1:2" ht="17" thickBot="1" x14ac:dyDescent="0.4">
      <c r="A20" s="257" t="s">
        <v>441</v>
      </c>
      <c r="B20" s="258" t="s">
        <v>312</v>
      </c>
    </row>
    <row r="21" spans="1:2" ht="17" thickBot="1" x14ac:dyDescent="0.4">
      <c r="A21" s="257" t="s">
        <v>443</v>
      </c>
      <c r="B21" s="258" t="s">
        <v>312</v>
      </c>
    </row>
    <row r="22" spans="1:2" ht="17" thickBot="1" x14ac:dyDescent="0.4">
      <c r="A22" s="257" t="s">
        <v>445</v>
      </c>
      <c r="B22" s="258" t="s">
        <v>312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E4BD-E286-4504-9929-10EFF4D73227}">
  <dimension ref="A1:F16"/>
  <sheetViews>
    <sheetView workbookViewId="0">
      <selection activeCell="I2" sqref="I2"/>
    </sheetView>
  </sheetViews>
  <sheetFormatPr defaultRowHeight="14.5" x14ac:dyDescent="0.35"/>
  <cols>
    <col min="1" max="1" width="10.54296875" bestFit="1" customWidth="1"/>
    <col min="2" max="2" width="48.453125" bestFit="1" customWidth="1"/>
    <col min="4" max="4" width="12.453125" customWidth="1"/>
    <col min="5" max="5" width="11" bestFit="1" customWidth="1"/>
  </cols>
  <sheetData>
    <row r="1" spans="1:6" x14ac:dyDescent="0.35">
      <c r="A1" t="s">
        <v>1105</v>
      </c>
      <c r="B1" t="s">
        <v>1506</v>
      </c>
      <c r="C1" t="s">
        <v>1507</v>
      </c>
      <c r="E1" t="s">
        <v>959</v>
      </c>
    </row>
    <row r="2" spans="1:6" x14ac:dyDescent="0.35">
      <c r="A2" t="s">
        <v>1105</v>
      </c>
      <c r="B2" t="s">
        <v>1508</v>
      </c>
      <c r="C2">
        <v>1</v>
      </c>
      <c r="F2" t="s">
        <v>1509</v>
      </c>
    </row>
    <row r="3" spans="1:6" x14ac:dyDescent="0.35">
      <c r="A3" t="s">
        <v>1105</v>
      </c>
      <c r="B3" t="s">
        <v>1510</v>
      </c>
      <c r="C3">
        <v>2</v>
      </c>
      <c r="F3" t="s">
        <v>1509</v>
      </c>
    </row>
    <row r="4" spans="1:6" x14ac:dyDescent="0.35">
      <c r="A4" t="s">
        <v>1105</v>
      </c>
      <c r="B4" t="s">
        <v>1511</v>
      </c>
      <c r="C4">
        <v>1</v>
      </c>
      <c r="F4" t="s">
        <v>1509</v>
      </c>
    </row>
    <row r="5" spans="1:6" x14ac:dyDescent="0.35">
      <c r="A5" t="s">
        <v>1105</v>
      </c>
      <c r="B5" t="s">
        <v>1512</v>
      </c>
      <c r="C5">
        <v>1</v>
      </c>
      <c r="F5" t="s">
        <v>1509</v>
      </c>
    </row>
    <row r="6" spans="1:6" x14ac:dyDescent="0.35">
      <c r="A6" t="s">
        <v>1105</v>
      </c>
      <c r="B6" t="s">
        <v>1513</v>
      </c>
      <c r="C6">
        <v>2</v>
      </c>
      <c r="F6" t="s">
        <v>1509</v>
      </c>
    </row>
    <row r="7" spans="1:6" x14ac:dyDescent="0.35">
      <c r="A7" t="s">
        <v>1105</v>
      </c>
      <c r="B7" t="s">
        <v>1514</v>
      </c>
      <c r="C7">
        <v>1</v>
      </c>
      <c r="F7" t="s">
        <v>1509</v>
      </c>
    </row>
    <row r="8" spans="1:6" x14ac:dyDescent="0.35">
      <c r="A8" t="s">
        <v>1105</v>
      </c>
      <c r="B8" t="s">
        <v>1515</v>
      </c>
      <c r="C8">
        <v>1</v>
      </c>
      <c r="F8" t="s">
        <v>1509</v>
      </c>
    </row>
    <row r="9" spans="1:6" x14ac:dyDescent="0.35">
      <c r="A9" t="s">
        <v>1105</v>
      </c>
      <c r="B9" t="s">
        <v>1516</v>
      </c>
      <c r="C9" s="251">
        <f>SUM(C2:C8)</f>
        <v>9</v>
      </c>
      <c r="D9" s="252">
        <f>D11-(8*7)</f>
        <v>46192</v>
      </c>
      <c r="E9">
        <f>_xlfn.ISOWEEKNUM(D9)</f>
        <v>25</v>
      </c>
      <c r="F9" t="s">
        <v>1517</v>
      </c>
    </row>
    <row r="10" spans="1:6" x14ac:dyDescent="0.35">
      <c r="A10" s="12" t="s">
        <v>1518</v>
      </c>
      <c r="B10" t="s">
        <v>1519</v>
      </c>
      <c r="C10" s="250">
        <v>8</v>
      </c>
      <c r="D10" s="250"/>
      <c r="F10" t="s">
        <v>1509</v>
      </c>
    </row>
    <row r="11" spans="1:6" x14ac:dyDescent="0.35">
      <c r="A11" s="12" t="s">
        <v>1518</v>
      </c>
      <c r="B11" t="s">
        <v>541</v>
      </c>
      <c r="C11">
        <v>0</v>
      </c>
      <c r="D11" s="253">
        <f>D16-(13*7)</f>
        <v>46248</v>
      </c>
      <c r="E11">
        <f>_xlfn.ISOWEEKNUM(D11)</f>
        <v>33</v>
      </c>
      <c r="F11" t="s">
        <v>1520</v>
      </c>
    </row>
    <row r="12" spans="1:6" x14ac:dyDescent="0.35">
      <c r="A12" s="12" t="s">
        <v>1518</v>
      </c>
      <c r="B12" t="s">
        <v>1521</v>
      </c>
      <c r="C12">
        <v>1</v>
      </c>
      <c r="F12" t="s">
        <v>1509</v>
      </c>
    </row>
    <row r="13" spans="1:6" x14ac:dyDescent="0.35">
      <c r="A13" s="12" t="s">
        <v>1518</v>
      </c>
      <c r="B13" t="s">
        <v>1512</v>
      </c>
      <c r="C13">
        <v>1</v>
      </c>
      <c r="F13" t="s">
        <v>1509</v>
      </c>
    </row>
    <row r="14" spans="1:6" x14ac:dyDescent="0.35">
      <c r="A14" s="12" t="s">
        <v>1518</v>
      </c>
      <c r="B14" t="s">
        <v>1522</v>
      </c>
      <c r="C14">
        <v>6</v>
      </c>
      <c r="F14" t="s">
        <v>1509</v>
      </c>
    </row>
    <row r="15" spans="1:6" x14ac:dyDescent="0.35">
      <c r="A15" s="12" t="s">
        <v>1518</v>
      </c>
      <c r="B15" t="s">
        <v>1523</v>
      </c>
      <c r="C15">
        <v>5</v>
      </c>
      <c r="F15" t="s">
        <v>1509</v>
      </c>
    </row>
    <row r="16" spans="1:6" x14ac:dyDescent="0.35">
      <c r="A16" s="12" t="s">
        <v>1518</v>
      </c>
      <c r="B16" t="s">
        <v>1516</v>
      </c>
      <c r="C16" s="251">
        <f>SUM(C11:C15)</f>
        <v>13</v>
      </c>
      <c r="D16" s="252">
        <f>VLOOKUP(E16,'2026 Calendar'!A:D,4,0)</f>
        <v>46339</v>
      </c>
      <c r="E16" t="s">
        <v>756</v>
      </c>
      <c r="F16" t="s">
        <v>1509</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AD30D-A37F-4760-8B3B-7C4AF4008B76}">
  <dimension ref="A1:B9"/>
  <sheetViews>
    <sheetView workbookViewId="0">
      <selection sqref="A1:B9"/>
    </sheetView>
  </sheetViews>
  <sheetFormatPr defaultRowHeight="14.5" x14ac:dyDescent="0.35"/>
  <cols>
    <col min="1" max="1" width="62.453125" bestFit="1" customWidth="1"/>
    <col min="2" max="2" width="8.453125" customWidth="1"/>
  </cols>
  <sheetData>
    <row r="1" spans="1:2" x14ac:dyDescent="0.35">
      <c r="A1" s="259" t="s">
        <v>1524</v>
      </c>
      <c r="B1" s="259" t="s">
        <v>1525</v>
      </c>
    </row>
    <row r="2" spans="1:2" x14ac:dyDescent="0.35">
      <c r="A2" s="260" t="s">
        <v>1526</v>
      </c>
      <c r="B2" s="260">
        <v>14646</v>
      </c>
    </row>
    <row r="3" spans="1:2" x14ac:dyDescent="0.35">
      <c r="A3" s="260" t="s">
        <v>1527</v>
      </c>
      <c r="B3" s="260">
        <v>31036</v>
      </c>
    </row>
    <row r="4" spans="1:2" x14ac:dyDescent="0.35">
      <c r="A4" s="260" t="s">
        <v>1528</v>
      </c>
      <c r="B4" s="260">
        <v>47403</v>
      </c>
    </row>
    <row r="5" spans="1:2" x14ac:dyDescent="0.35">
      <c r="A5" s="260" t="s">
        <v>1529</v>
      </c>
      <c r="B5" s="260">
        <v>49054</v>
      </c>
    </row>
    <row r="6" spans="1:2" x14ac:dyDescent="0.35">
      <c r="A6" s="260" t="s">
        <v>1530</v>
      </c>
      <c r="B6" s="260">
        <v>49340</v>
      </c>
    </row>
    <row r="7" spans="1:2" x14ac:dyDescent="0.35">
      <c r="A7" s="260" t="s">
        <v>1531</v>
      </c>
      <c r="B7" s="260" t="s">
        <v>1532</v>
      </c>
    </row>
    <row r="8" spans="1:2" x14ac:dyDescent="0.35">
      <c r="A8" s="260" t="s">
        <v>1533</v>
      </c>
      <c r="B8" s="260"/>
    </row>
    <row r="9" spans="1:2" x14ac:dyDescent="0.35">
      <c r="A9" s="260" t="s">
        <v>1534</v>
      </c>
      <c r="B9" s="260">
        <v>49319</v>
      </c>
    </row>
  </sheetData>
  <autoFilter ref="A1:B5" xr:uid="{745AD30D-A37F-4760-8B3B-7C4AF4008B76}"/>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E8741-781F-4111-8F98-E514672EA988}">
  <dimension ref="A2:N90"/>
  <sheetViews>
    <sheetView zoomScale="80" zoomScaleNormal="80" workbookViewId="0">
      <pane xSplit="6" ySplit="5" topLeftCell="G6" activePane="bottomRight" state="frozen"/>
      <selection pane="topRight" activeCell="G1" sqref="G1"/>
      <selection pane="bottomLeft" activeCell="A6" sqref="A6"/>
      <selection pane="bottomRight" activeCell="B5" sqref="B5"/>
    </sheetView>
  </sheetViews>
  <sheetFormatPr defaultRowHeight="14.5" x14ac:dyDescent="0.35"/>
  <cols>
    <col min="1" max="1" width="13" customWidth="1"/>
    <col min="2" max="2" width="42.54296875" customWidth="1"/>
    <col min="3" max="3" width="14.54296875" customWidth="1"/>
    <col min="4" max="4" width="13" customWidth="1"/>
    <col min="5" max="5" width="25.54296875" customWidth="1"/>
    <col min="6" max="6" width="14.54296875" customWidth="1"/>
    <col min="7" max="7" width="20.453125" customWidth="1"/>
    <col min="8" max="8" width="16.54296875" customWidth="1"/>
    <col min="9" max="9" width="18.54296875" customWidth="1"/>
    <col min="10" max="10" width="16.54296875" customWidth="1"/>
    <col min="11" max="11" width="17.54296875" customWidth="1"/>
    <col min="12" max="14" width="16.54296875" customWidth="1"/>
  </cols>
  <sheetData>
    <row r="2" spans="1:14" ht="20.149999999999999" customHeight="1" x14ac:dyDescent="0.5">
      <c r="A2" s="333" t="s">
        <v>1535</v>
      </c>
      <c r="B2" s="327"/>
      <c r="C2" s="327"/>
      <c r="D2" s="327"/>
      <c r="E2" s="327"/>
      <c r="F2" s="327"/>
      <c r="G2" s="327"/>
      <c r="H2" s="327"/>
      <c r="I2" s="327"/>
      <c r="J2" s="327"/>
      <c r="K2" s="327"/>
      <c r="L2" s="327"/>
      <c r="M2" s="327"/>
      <c r="N2" s="327"/>
    </row>
    <row r="3" spans="1:14" ht="20.149999999999999" customHeight="1" x14ac:dyDescent="0.35">
      <c r="A3" s="334" t="s">
        <v>1536</v>
      </c>
      <c r="B3" s="327"/>
      <c r="C3" s="327"/>
      <c r="D3" s="327"/>
      <c r="E3" s="327"/>
      <c r="F3" s="327"/>
      <c r="G3" s="327"/>
      <c r="H3" s="327"/>
      <c r="I3" s="327"/>
      <c r="J3" s="327"/>
      <c r="K3" s="327"/>
      <c r="L3" s="327"/>
      <c r="M3" s="327"/>
      <c r="N3" s="327"/>
    </row>
    <row r="5" spans="1:14" ht="25.4" customHeight="1" x14ac:dyDescent="0.35">
      <c r="A5" s="248" t="s">
        <v>7</v>
      </c>
      <c r="B5" s="248" t="s">
        <v>216</v>
      </c>
      <c r="C5" s="248" t="s">
        <v>210</v>
      </c>
      <c r="D5" s="248" t="s">
        <v>218</v>
      </c>
      <c r="E5" s="248" t="s">
        <v>1537</v>
      </c>
      <c r="F5" s="248" t="s">
        <v>231</v>
      </c>
      <c r="G5" s="248" t="s">
        <v>233</v>
      </c>
      <c r="H5" s="248" t="s">
        <v>846</v>
      </c>
      <c r="I5" s="248" t="s">
        <v>545</v>
      </c>
      <c r="J5" s="248" t="s">
        <v>543</v>
      </c>
      <c r="K5" s="248" t="s">
        <v>1538</v>
      </c>
      <c r="L5" s="248" t="s">
        <v>1539</v>
      </c>
      <c r="M5" s="248" t="s">
        <v>1540</v>
      </c>
      <c r="N5" s="248" t="s">
        <v>1541</v>
      </c>
    </row>
    <row r="6" spans="1:14" x14ac:dyDescent="0.35">
      <c r="A6" t="s">
        <v>329</v>
      </c>
      <c r="B6" t="s">
        <v>520</v>
      </c>
      <c r="C6" t="s">
        <v>59</v>
      </c>
      <c r="D6" t="s">
        <v>477</v>
      </c>
      <c r="E6" t="s">
        <v>333</v>
      </c>
      <c r="F6">
        <v>37</v>
      </c>
      <c r="G6" s="70">
        <v>328638</v>
      </c>
      <c r="H6" t="s">
        <v>303</v>
      </c>
      <c r="I6" t="s">
        <v>755</v>
      </c>
      <c r="J6" t="s">
        <v>304</v>
      </c>
      <c r="K6" t="s">
        <v>304</v>
      </c>
      <c r="L6" t="s">
        <v>304</v>
      </c>
      <c r="M6" t="s">
        <v>304</v>
      </c>
      <c r="N6" t="s">
        <v>57</v>
      </c>
    </row>
    <row r="7" spans="1:14" x14ac:dyDescent="0.35">
      <c r="A7" t="s">
        <v>329</v>
      </c>
      <c r="B7" t="s">
        <v>728</v>
      </c>
      <c r="C7" t="s">
        <v>46</v>
      </c>
      <c r="D7" t="s">
        <v>477</v>
      </c>
      <c r="E7" t="s">
        <v>285</v>
      </c>
      <c r="G7" s="70">
        <v>7901.24</v>
      </c>
      <c r="H7" t="s">
        <v>149</v>
      </c>
      <c r="I7" t="s">
        <v>872</v>
      </c>
      <c r="J7" t="s">
        <v>342</v>
      </c>
      <c r="K7" t="s">
        <v>342</v>
      </c>
      <c r="L7" t="s">
        <v>342</v>
      </c>
      <c r="M7" t="s">
        <v>342</v>
      </c>
      <c r="N7" t="s">
        <v>342</v>
      </c>
    </row>
    <row r="8" spans="1:14" x14ac:dyDescent="0.35">
      <c r="A8" t="s">
        <v>329</v>
      </c>
      <c r="B8" t="s">
        <v>728</v>
      </c>
      <c r="C8" t="s">
        <v>46</v>
      </c>
      <c r="D8" t="s">
        <v>284</v>
      </c>
      <c r="E8" t="s">
        <v>285</v>
      </c>
      <c r="F8">
        <v>9</v>
      </c>
      <c r="G8" s="70">
        <v>1318297.6000000001</v>
      </c>
      <c r="H8" t="s">
        <v>345</v>
      </c>
      <c r="J8" t="s">
        <v>342</v>
      </c>
      <c r="K8" t="s">
        <v>342</v>
      </c>
      <c r="L8" t="s">
        <v>342</v>
      </c>
      <c r="M8" t="s">
        <v>342</v>
      </c>
      <c r="N8" t="s">
        <v>342</v>
      </c>
    </row>
    <row r="9" spans="1:14" x14ac:dyDescent="0.35">
      <c r="A9" t="s">
        <v>329</v>
      </c>
      <c r="B9" t="s">
        <v>1542</v>
      </c>
      <c r="C9" t="s">
        <v>59</v>
      </c>
      <c r="D9" t="s">
        <v>284</v>
      </c>
      <c r="E9" t="s">
        <v>317</v>
      </c>
      <c r="F9">
        <v>5</v>
      </c>
      <c r="G9" s="70">
        <v>5617.6</v>
      </c>
      <c r="H9" t="s">
        <v>281</v>
      </c>
      <c r="I9" t="s">
        <v>889</v>
      </c>
      <c r="J9" t="s">
        <v>318</v>
      </c>
      <c r="K9" t="s">
        <v>304</v>
      </c>
      <c r="L9" t="s">
        <v>73</v>
      </c>
      <c r="M9" t="s">
        <v>73</v>
      </c>
      <c r="N9" t="s">
        <v>73</v>
      </c>
    </row>
    <row r="10" spans="1:14" x14ac:dyDescent="0.35">
      <c r="A10" t="s">
        <v>329</v>
      </c>
      <c r="B10" t="s">
        <v>1543</v>
      </c>
      <c r="C10" t="s">
        <v>59</v>
      </c>
      <c r="D10" t="s">
        <v>284</v>
      </c>
      <c r="E10" t="s">
        <v>285</v>
      </c>
      <c r="F10">
        <v>5</v>
      </c>
      <c r="G10" s="70">
        <v>12433.68</v>
      </c>
      <c r="H10" t="s">
        <v>282</v>
      </c>
      <c r="I10" t="s">
        <v>997</v>
      </c>
      <c r="J10" t="s">
        <v>287</v>
      </c>
      <c r="K10" t="s">
        <v>287</v>
      </c>
      <c r="L10" t="s">
        <v>287</v>
      </c>
      <c r="M10" t="s">
        <v>287</v>
      </c>
      <c r="N10" t="s">
        <v>287</v>
      </c>
    </row>
    <row r="11" spans="1:14" x14ac:dyDescent="0.35">
      <c r="A11" t="s">
        <v>329</v>
      </c>
      <c r="B11" t="s">
        <v>1543</v>
      </c>
      <c r="C11" t="s">
        <v>59</v>
      </c>
      <c r="D11" t="s">
        <v>284</v>
      </c>
      <c r="E11" t="s">
        <v>285</v>
      </c>
      <c r="F11">
        <v>5</v>
      </c>
      <c r="G11" s="70">
        <v>1100000</v>
      </c>
      <c r="H11" t="s">
        <v>286</v>
      </c>
      <c r="J11" t="s">
        <v>287</v>
      </c>
      <c r="K11" t="s">
        <v>287</v>
      </c>
      <c r="L11" t="s">
        <v>287</v>
      </c>
      <c r="M11" t="s">
        <v>287</v>
      </c>
      <c r="N11" t="s">
        <v>287</v>
      </c>
    </row>
    <row r="12" spans="1:14" x14ac:dyDescent="0.35">
      <c r="A12" t="s">
        <v>329</v>
      </c>
      <c r="B12" t="s">
        <v>601</v>
      </c>
      <c r="C12" t="s">
        <v>59</v>
      </c>
      <c r="D12" t="s">
        <v>309</v>
      </c>
      <c r="E12" t="s">
        <v>301</v>
      </c>
      <c r="F12">
        <v>6</v>
      </c>
      <c r="G12" s="70">
        <v>1046.75</v>
      </c>
      <c r="H12" t="s">
        <v>303</v>
      </c>
      <c r="I12" t="s">
        <v>889</v>
      </c>
      <c r="J12" t="s">
        <v>304</v>
      </c>
      <c r="K12" t="s">
        <v>304</v>
      </c>
      <c r="L12" t="s">
        <v>304</v>
      </c>
      <c r="M12" t="s">
        <v>304</v>
      </c>
      <c r="N12" t="s">
        <v>57</v>
      </c>
    </row>
    <row r="13" spans="1:14" x14ac:dyDescent="0.35">
      <c r="A13" t="s">
        <v>329</v>
      </c>
      <c r="B13" t="s">
        <v>1544</v>
      </c>
      <c r="C13" t="s">
        <v>59</v>
      </c>
      <c r="D13" t="s">
        <v>284</v>
      </c>
      <c r="E13" t="s">
        <v>317</v>
      </c>
      <c r="F13">
        <v>2</v>
      </c>
      <c r="G13" s="70">
        <v>3580</v>
      </c>
      <c r="H13" t="s">
        <v>280</v>
      </c>
      <c r="J13" t="s">
        <v>56</v>
      </c>
      <c r="K13" t="s">
        <v>56</v>
      </c>
      <c r="L13" t="s">
        <v>73</v>
      </c>
      <c r="M13" t="s">
        <v>56</v>
      </c>
      <c r="N13" t="s">
        <v>73</v>
      </c>
    </row>
    <row r="14" spans="1:14" x14ac:dyDescent="0.35">
      <c r="A14" t="s">
        <v>329</v>
      </c>
      <c r="B14" t="s">
        <v>1544</v>
      </c>
      <c r="C14" t="s">
        <v>59</v>
      </c>
      <c r="D14" t="s">
        <v>284</v>
      </c>
      <c r="E14" t="s">
        <v>285</v>
      </c>
      <c r="F14">
        <v>6</v>
      </c>
      <c r="G14" s="70">
        <v>10346.75</v>
      </c>
      <c r="H14" t="s">
        <v>149</v>
      </c>
    </row>
    <row r="15" spans="1:14" hidden="1" x14ac:dyDescent="0.35">
      <c r="A15" t="s">
        <v>298</v>
      </c>
      <c r="B15" t="s">
        <v>503</v>
      </c>
      <c r="C15" t="s">
        <v>46</v>
      </c>
      <c r="D15" t="s">
        <v>272</v>
      </c>
      <c r="E15" t="s">
        <v>274</v>
      </c>
      <c r="F15">
        <v>7</v>
      </c>
      <c r="G15" s="70">
        <v>7015.5</v>
      </c>
      <c r="H15" t="s">
        <v>294</v>
      </c>
      <c r="I15" t="s">
        <v>867</v>
      </c>
      <c r="J15" t="s">
        <v>56</v>
      </c>
    </row>
    <row r="16" spans="1:14" hidden="1" x14ac:dyDescent="0.35">
      <c r="A16" t="s">
        <v>298</v>
      </c>
      <c r="B16" t="s">
        <v>1545</v>
      </c>
      <c r="C16" t="s">
        <v>59</v>
      </c>
      <c r="D16" t="s">
        <v>300</v>
      </c>
      <c r="E16" t="s">
        <v>301</v>
      </c>
      <c r="F16">
        <v>2</v>
      </c>
      <c r="G16" s="70">
        <v>135705</v>
      </c>
      <c r="H16" t="s">
        <v>303</v>
      </c>
      <c r="J16" t="s">
        <v>304</v>
      </c>
    </row>
    <row r="17" spans="1:14" x14ac:dyDescent="0.35">
      <c r="A17" t="s">
        <v>298</v>
      </c>
      <c r="B17" t="s">
        <v>1546</v>
      </c>
      <c r="C17" t="s">
        <v>59</v>
      </c>
      <c r="D17" t="s">
        <v>284</v>
      </c>
      <c r="E17" t="s">
        <v>301</v>
      </c>
      <c r="F17">
        <v>12</v>
      </c>
      <c r="G17" s="70">
        <v>144368.60999999999</v>
      </c>
      <c r="H17" t="s">
        <v>311</v>
      </c>
      <c r="J17" t="s">
        <v>342</v>
      </c>
      <c r="K17" t="s">
        <v>342</v>
      </c>
      <c r="L17" t="s">
        <v>342</v>
      </c>
      <c r="M17" t="s">
        <v>342</v>
      </c>
      <c r="N17" t="s">
        <v>342</v>
      </c>
    </row>
    <row r="18" spans="1:14" hidden="1" x14ac:dyDescent="0.35">
      <c r="A18" t="s">
        <v>298</v>
      </c>
      <c r="B18" t="s">
        <v>488</v>
      </c>
      <c r="C18" t="s">
        <v>59</v>
      </c>
      <c r="D18" t="s">
        <v>272</v>
      </c>
      <c r="E18" t="s">
        <v>274</v>
      </c>
      <c r="F18">
        <v>9</v>
      </c>
      <c r="G18" s="70">
        <v>54061.599999999999</v>
      </c>
      <c r="H18" t="s">
        <v>294</v>
      </c>
      <c r="I18" t="s">
        <v>867</v>
      </c>
      <c r="J18" t="s">
        <v>56</v>
      </c>
      <c r="K18" t="s">
        <v>56</v>
      </c>
      <c r="L18" t="s">
        <v>73</v>
      </c>
      <c r="M18" t="s">
        <v>56</v>
      </c>
      <c r="N18" t="s">
        <v>57</v>
      </c>
    </row>
    <row r="19" spans="1:14" hidden="1" x14ac:dyDescent="0.35">
      <c r="A19" t="s">
        <v>298</v>
      </c>
      <c r="B19" t="s">
        <v>724</v>
      </c>
      <c r="C19" t="s">
        <v>46</v>
      </c>
      <c r="D19" t="s">
        <v>272</v>
      </c>
      <c r="E19" t="s">
        <v>274</v>
      </c>
      <c r="F19">
        <v>9</v>
      </c>
      <c r="G19" s="70">
        <v>14470.66</v>
      </c>
      <c r="H19" t="s">
        <v>277</v>
      </c>
      <c r="I19" t="s">
        <v>880</v>
      </c>
      <c r="J19" t="s">
        <v>56</v>
      </c>
      <c r="K19" t="s">
        <v>56</v>
      </c>
      <c r="L19" t="s">
        <v>304</v>
      </c>
      <c r="M19" t="s">
        <v>304</v>
      </c>
      <c r="N19" t="s">
        <v>57</v>
      </c>
    </row>
    <row r="20" spans="1:14" x14ac:dyDescent="0.35">
      <c r="A20" t="s">
        <v>298</v>
      </c>
      <c r="B20" t="s">
        <v>1547</v>
      </c>
      <c r="C20" t="s">
        <v>46</v>
      </c>
      <c r="D20" t="s">
        <v>309</v>
      </c>
      <c r="E20" t="s">
        <v>317</v>
      </c>
      <c r="F20">
        <v>6</v>
      </c>
      <c r="G20" s="70">
        <v>11414.99</v>
      </c>
      <c r="H20" t="s">
        <v>281</v>
      </c>
      <c r="I20" t="s">
        <v>404</v>
      </c>
      <c r="J20" t="s">
        <v>318</v>
      </c>
      <c r="K20" t="s">
        <v>342</v>
      </c>
      <c r="L20" t="s">
        <v>318</v>
      </c>
      <c r="M20" t="s">
        <v>342</v>
      </c>
      <c r="N20" t="s">
        <v>331</v>
      </c>
    </row>
    <row r="21" spans="1:14" x14ac:dyDescent="0.35">
      <c r="A21" t="s">
        <v>298</v>
      </c>
      <c r="B21" t="s">
        <v>1547</v>
      </c>
      <c r="C21" t="s">
        <v>46</v>
      </c>
      <c r="D21" t="s">
        <v>284</v>
      </c>
      <c r="E21" t="s">
        <v>285</v>
      </c>
      <c r="G21" s="70">
        <v>1985002.77</v>
      </c>
      <c r="H21" t="s">
        <v>311</v>
      </c>
      <c r="J21" t="s">
        <v>342</v>
      </c>
      <c r="K21" t="s">
        <v>342</v>
      </c>
      <c r="L21" t="s">
        <v>342</v>
      </c>
      <c r="M21" t="s">
        <v>342</v>
      </c>
      <c r="N21" t="s">
        <v>342</v>
      </c>
    </row>
    <row r="22" spans="1:14" x14ac:dyDescent="0.35">
      <c r="A22" t="s">
        <v>298</v>
      </c>
      <c r="B22" t="s">
        <v>1548</v>
      </c>
      <c r="C22" t="s">
        <v>46</v>
      </c>
      <c r="D22" t="s">
        <v>477</v>
      </c>
      <c r="E22" t="s">
        <v>317</v>
      </c>
      <c r="F22">
        <v>4</v>
      </c>
      <c r="G22" s="70">
        <v>12609.46</v>
      </c>
      <c r="H22" t="s">
        <v>281</v>
      </c>
      <c r="I22" t="s">
        <v>888</v>
      </c>
      <c r="J22" t="s">
        <v>318</v>
      </c>
      <c r="K22" t="s">
        <v>342</v>
      </c>
      <c r="L22" t="s">
        <v>318</v>
      </c>
      <c r="M22" t="s">
        <v>342</v>
      </c>
      <c r="N22" t="s">
        <v>331</v>
      </c>
    </row>
    <row r="23" spans="1:14" x14ac:dyDescent="0.35">
      <c r="A23" t="s">
        <v>298</v>
      </c>
      <c r="B23" t="s">
        <v>1548</v>
      </c>
      <c r="C23" t="s">
        <v>46</v>
      </c>
      <c r="D23" t="s">
        <v>284</v>
      </c>
      <c r="E23" t="s">
        <v>285</v>
      </c>
      <c r="F23">
        <v>16</v>
      </c>
      <c r="G23" s="70">
        <v>707023.48</v>
      </c>
      <c r="H23" t="s">
        <v>149</v>
      </c>
      <c r="J23" t="s">
        <v>342</v>
      </c>
      <c r="K23" t="s">
        <v>342</v>
      </c>
      <c r="L23" t="s">
        <v>342</v>
      </c>
      <c r="M23" t="s">
        <v>342</v>
      </c>
      <c r="N23" t="s">
        <v>342</v>
      </c>
    </row>
    <row r="24" spans="1:14" x14ac:dyDescent="0.35">
      <c r="A24" t="s">
        <v>298</v>
      </c>
      <c r="B24" t="s">
        <v>532</v>
      </c>
      <c r="C24" t="s">
        <v>46</v>
      </c>
      <c r="D24" t="s">
        <v>284</v>
      </c>
      <c r="E24" t="s">
        <v>285</v>
      </c>
      <c r="F24">
        <v>5</v>
      </c>
      <c r="G24" s="70">
        <v>22890.48</v>
      </c>
      <c r="H24" t="s">
        <v>282</v>
      </c>
      <c r="J24" t="s">
        <v>287</v>
      </c>
      <c r="K24" t="s">
        <v>287</v>
      </c>
      <c r="L24" t="s">
        <v>287</v>
      </c>
      <c r="M24" t="s">
        <v>287</v>
      </c>
      <c r="N24" t="s">
        <v>287</v>
      </c>
    </row>
    <row r="25" spans="1:14" x14ac:dyDescent="0.35">
      <c r="A25" t="s">
        <v>298</v>
      </c>
      <c r="B25" t="s">
        <v>739</v>
      </c>
      <c r="C25" t="s">
        <v>59</v>
      </c>
      <c r="D25" t="s">
        <v>309</v>
      </c>
      <c r="E25" t="s">
        <v>301</v>
      </c>
      <c r="F25">
        <v>12</v>
      </c>
      <c r="G25" s="70">
        <v>12000.06</v>
      </c>
      <c r="H25" t="s">
        <v>280</v>
      </c>
      <c r="I25" t="s">
        <v>869</v>
      </c>
      <c r="J25" t="s">
        <v>56</v>
      </c>
      <c r="K25" t="s">
        <v>56</v>
      </c>
      <c r="L25" t="s">
        <v>56</v>
      </c>
      <c r="M25" t="s">
        <v>56</v>
      </c>
      <c r="N25" t="s">
        <v>278</v>
      </c>
    </row>
    <row r="26" spans="1:14" x14ac:dyDescent="0.35">
      <c r="A26" t="s">
        <v>298</v>
      </c>
      <c r="B26" t="s">
        <v>727</v>
      </c>
      <c r="C26" t="s">
        <v>46</v>
      </c>
      <c r="D26" t="s">
        <v>309</v>
      </c>
      <c r="E26" t="s">
        <v>317</v>
      </c>
      <c r="F26">
        <v>4</v>
      </c>
      <c r="G26" s="70">
        <v>4027.44</v>
      </c>
      <c r="H26" t="s">
        <v>277</v>
      </c>
      <c r="I26" t="s">
        <v>889</v>
      </c>
      <c r="J26" t="s">
        <v>318</v>
      </c>
      <c r="K26" t="s">
        <v>318</v>
      </c>
      <c r="L26" t="s">
        <v>73</v>
      </c>
      <c r="M26" t="s">
        <v>318</v>
      </c>
      <c r="N26" t="s">
        <v>73</v>
      </c>
    </row>
    <row r="27" spans="1:14" x14ac:dyDescent="0.35">
      <c r="A27" t="s">
        <v>298</v>
      </c>
      <c r="B27" t="s">
        <v>727</v>
      </c>
      <c r="C27" t="s">
        <v>46</v>
      </c>
      <c r="D27" t="s">
        <v>284</v>
      </c>
      <c r="E27" t="s">
        <v>372</v>
      </c>
      <c r="F27">
        <v>4</v>
      </c>
      <c r="G27" s="70">
        <v>179782</v>
      </c>
      <c r="H27" t="s">
        <v>303</v>
      </c>
      <c r="J27" t="s">
        <v>342</v>
      </c>
      <c r="K27" t="s">
        <v>342</v>
      </c>
      <c r="L27" t="s">
        <v>73</v>
      </c>
      <c r="M27" t="s">
        <v>342</v>
      </c>
      <c r="N27" t="s">
        <v>342</v>
      </c>
    </row>
    <row r="28" spans="1:14" x14ac:dyDescent="0.35">
      <c r="A28" t="s">
        <v>298</v>
      </c>
      <c r="B28" t="s">
        <v>1549</v>
      </c>
      <c r="C28" t="s">
        <v>46</v>
      </c>
      <c r="D28" t="s">
        <v>284</v>
      </c>
      <c r="E28" t="s">
        <v>301</v>
      </c>
      <c r="F28">
        <v>9</v>
      </c>
      <c r="G28" s="70">
        <v>365737.97</v>
      </c>
      <c r="H28" t="s">
        <v>149</v>
      </c>
      <c r="J28" t="s">
        <v>342</v>
      </c>
      <c r="K28" t="s">
        <v>342</v>
      </c>
      <c r="L28" t="s">
        <v>342</v>
      </c>
      <c r="M28" t="s">
        <v>342</v>
      </c>
      <c r="N28" t="s">
        <v>342</v>
      </c>
    </row>
    <row r="29" spans="1:14" x14ac:dyDescent="0.35">
      <c r="A29" t="s">
        <v>164</v>
      </c>
      <c r="B29" t="s">
        <v>485</v>
      </c>
      <c r="C29" t="s">
        <v>59</v>
      </c>
      <c r="D29" t="s">
        <v>309</v>
      </c>
      <c r="E29" t="s">
        <v>310</v>
      </c>
      <c r="F29">
        <v>18</v>
      </c>
      <c r="G29" s="70">
        <v>164002.01999999999</v>
      </c>
      <c r="H29" t="s">
        <v>281</v>
      </c>
      <c r="I29" t="s">
        <v>404</v>
      </c>
      <c r="J29" t="s">
        <v>56</v>
      </c>
      <c r="K29" t="s">
        <v>56</v>
      </c>
      <c r="L29" t="s">
        <v>56</v>
      </c>
      <c r="M29" t="s">
        <v>73</v>
      </c>
      <c r="N29" t="s">
        <v>304</v>
      </c>
    </row>
    <row r="30" spans="1:14" hidden="1" x14ac:dyDescent="0.35">
      <c r="A30" t="s">
        <v>164</v>
      </c>
      <c r="B30" t="s">
        <v>725</v>
      </c>
      <c r="C30" t="s">
        <v>46</v>
      </c>
      <c r="D30" t="s">
        <v>272</v>
      </c>
      <c r="E30" t="s">
        <v>274</v>
      </c>
      <c r="F30">
        <v>12</v>
      </c>
      <c r="G30" s="70">
        <v>15271.3</v>
      </c>
      <c r="H30" t="s">
        <v>321</v>
      </c>
      <c r="I30" t="s">
        <v>322</v>
      </c>
      <c r="J30" t="s">
        <v>56</v>
      </c>
      <c r="K30" t="s">
        <v>56</v>
      </c>
      <c r="L30" t="s">
        <v>56</v>
      </c>
      <c r="M30" t="s">
        <v>56</v>
      </c>
      <c r="N30" t="s">
        <v>57</v>
      </c>
    </row>
    <row r="31" spans="1:14" x14ac:dyDescent="0.35">
      <c r="A31" t="s">
        <v>164</v>
      </c>
      <c r="B31" t="s">
        <v>725</v>
      </c>
      <c r="C31" t="s">
        <v>46</v>
      </c>
      <c r="D31" t="s">
        <v>284</v>
      </c>
      <c r="E31" t="s">
        <v>301</v>
      </c>
      <c r="F31">
        <v>12</v>
      </c>
      <c r="G31" s="70">
        <v>3466407</v>
      </c>
      <c r="H31" t="s">
        <v>328</v>
      </c>
      <c r="J31" t="s">
        <v>56</v>
      </c>
    </row>
    <row r="32" spans="1:14" x14ac:dyDescent="0.35">
      <c r="A32" t="s">
        <v>164</v>
      </c>
      <c r="B32" t="s">
        <v>723</v>
      </c>
      <c r="C32" t="s">
        <v>46</v>
      </c>
      <c r="D32" t="s">
        <v>316</v>
      </c>
      <c r="E32" t="s">
        <v>327</v>
      </c>
      <c r="F32">
        <v>117</v>
      </c>
      <c r="G32" s="70">
        <v>3134000</v>
      </c>
      <c r="H32" t="s">
        <v>311</v>
      </c>
      <c r="J32" t="s">
        <v>56</v>
      </c>
    </row>
    <row r="33" spans="1:14" x14ac:dyDescent="0.35">
      <c r="A33" t="s">
        <v>164</v>
      </c>
      <c r="B33" t="s">
        <v>738</v>
      </c>
      <c r="C33" t="s">
        <v>59</v>
      </c>
      <c r="D33" t="s">
        <v>316</v>
      </c>
      <c r="E33" t="s">
        <v>285</v>
      </c>
      <c r="G33" s="70">
        <v>731096.8</v>
      </c>
      <c r="H33" t="s">
        <v>315</v>
      </c>
      <c r="J33" t="s">
        <v>342</v>
      </c>
    </row>
    <row r="34" spans="1:14" x14ac:dyDescent="0.35">
      <c r="A34" t="s">
        <v>164</v>
      </c>
      <c r="B34" t="s">
        <v>510</v>
      </c>
      <c r="C34" t="s">
        <v>46</v>
      </c>
      <c r="D34" t="s">
        <v>309</v>
      </c>
      <c r="E34" t="s">
        <v>310</v>
      </c>
      <c r="F34">
        <v>22</v>
      </c>
      <c r="G34" s="70">
        <v>169946</v>
      </c>
      <c r="H34" t="s">
        <v>297</v>
      </c>
      <c r="I34" t="s">
        <v>881</v>
      </c>
      <c r="J34" t="s">
        <v>318</v>
      </c>
      <c r="K34" t="s">
        <v>56</v>
      </c>
      <c r="L34" t="s">
        <v>304</v>
      </c>
      <c r="M34" t="s">
        <v>56</v>
      </c>
      <c r="N34" t="s">
        <v>57</v>
      </c>
    </row>
    <row r="35" spans="1:14" x14ac:dyDescent="0.35">
      <c r="A35" t="s">
        <v>164</v>
      </c>
      <c r="B35" t="s">
        <v>510</v>
      </c>
      <c r="C35" t="s">
        <v>46</v>
      </c>
      <c r="D35" t="s">
        <v>309</v>
      </c>
      <c r="E35" t="s">
        <v>310</v>
      </c>
      <c r="F35">
        <v>5</v>
      </c>
      <c r="G35" s="70">
        <v>1936.89</v>
      </c>
      <c r="H35" t="s">
        <v>277</v>
      </c>
      <c r="I35" t="s">
        <v>884</v>
      </c>
      <c r="J35" t="s">
        <v>318</v>
      </c>
      <c r="K35" t="s">
        <v>56</v>
      </c>
      <c r="L35" t="s">
        <v>304</v>
      </c>
      <c r="M35" t="s">
        <v>56</v>
      </c>
      <c r="N35" t="s">
        <v>57</v>
      </c>
    </row>
    <row r="36" spans="1:14" x14ac:dyDescent="0.35">
      <c r="A36" t="s">
        <v>164</v>
      </c>
      <c r="B36" t="s">
        <v>1550</v>
      </c>
      <c r="C36" t="s">
        <v>59</v>
      </c>
      <c r="D36" t="s">
        <v>284</v>
      </c>
      <c r="E36" t="s">
        <v>317</v>
      </c>
      <c r="F36">
        <v>17</v>
      </c>
      <c r="G36" s="70">
        <v>31219.1</v>
      </c>
      <c r="H36" t="s">
        <v>149</v>
      </c>
      <c r="J36" t="s">
        <v>318</v>
      </c>
      <c r="K36" t="s">
        <v>304</v>
      </c>
      <c r="L36" t="s">
        <v>342</v>
      </c>
    </row>
    <row r="37" spans="1:14" x14ac:dyDescent="0.35">
      <c r="A37" t="s">
        <v>164</v>
      </c>
      <c r="B37" t="s">
        <v>1550</v>
      </c>
      <c r="C37" t="s">
        <v>59</v>
      </c>
      <c r="D37" t="s">
        <v>284</v>
      </c>
      <c r="E37" t="s">
        <v>285</v>
      </c>
      <c r="F37">
        <v>17</v>
      </c>
      <c r="G37" s="70">
        <v>532175</v>
      </c>
      <c r="H37" t="s">
        <v>311</v>
      </c>
      <c r="J37" t="s">
        <v>318</v>
      </c>
      <c r="K37" t="s">
        <v>304</v>
      </c>
      <c r="L37" t="s">
        <v>342</v>
      </c>
    </row>
    <row r="38" spans="1:14" x14ac:dyDescent="0.35">
      <c r="A38" t="s">
        <v>164</v>
      </c>
      <c r="B38" t="s">
        <v>524</v>
      </c>
      <c r="C38" t="s">
        <v>59</v>
      </c>
      <c r="D38" t="s">
        <v>309</v>
      </c>
      <c r="E38" t="s">
        <v>333</v>
      </c>
      <c r="F38">
        <v>18</v>
      </c>
      <c r="G38" s="70">
        <v>157676</v>
      </c>
      <c r="H38" t="s">
        <v>297</v>
      </c>
      <c r="I38" t="s">
        <v>754</v>
      </c>
      <c r="J38" t="s">
        <v>318</v>
      </c>
      <c r="K38" t="s">
        <v>318</v>
      </c>
      <c r="L38" t="s">
        <v>56</v>
      </c>
      <c r="M38" t="s">
        <v>56</v>
      </c>
      <c r="N38" t="s">
        <v>57</v>
      </c>
    </row>
    <row r="39" spans="1:14" x14ac:dyDescent="0.35">
      <c r="A39" t="s">
        <v>164</v>
      </c>
      <c r="B39" t="s">
        <v>730</v>
      </c>
      <c r="C39" t="s">
        <v>46</v>
      </c>
      <c r="D39" t="s">
        <v>284</v>
      </c>
      <c r="E39" t="s">
        <v>285</v>
      </c>
      <c r="F39">
        <v>3</v>
      </c>
      <c r="G39" s="70">
        <v>6938.58</v>
      </c>
      <c r="H39" t="s">
        <v>280</v>
      </c>
      <c r="I39" t="s">
        <v>871</v>
      </c>
      <c r="J39" t="s">
        <v>304</v>
      </c>
      <c r="K39" t="s">
        <v>304</v>
      </c>
      <c r="L39" t="s">
        <v>304</v>
      </c>
      <c r="M39" t="s">
        <v>304</v>
      </c>
    </row>
    <row r="40" spans="1:14" x14ac:dyDescent="0.35">
      <c r="A40" t="s">
        <v>164</v>
      </c>
      <c r="B40" t="s">
        <v>730</v>
      </c>
      <c r="C40" t="s">
        <v>46</v>
      </c>
      <c r="D40" t="s">
        <v>284</v>
      </c>
      <c r="E40" t="s">
        <v>285</v>
      </c>
      <c r="F40">
        <v>30</v>
      </c>
      <c r="G40" s="70">
        <v>361028.77</v>
      </c>
      <c r="H40" t="s">
        <v>311</v>
      </c>
      <c r="J40" t="s">
        <v>304</v>
      </c>
      <c r="K40" t="s">
        <v>304</v>
      </c>
      <c r="L40" t="s">
        <v>304</v>
      </c>
      <c r="M40" t="s">
        <v>304</v>
      </c>
    </row>
    <row r="41" spans="1:14" hidden="1" x14ac:dyDescent="0.35">
      <c r="A41" t="s">
        <v>348</v>
      </c>
      <c r="B41" t="s">
        <v>1551</v>
      </c>
      <c r="C41" t="s">
        <v>46</v>
      </c>
      <c r="D41" t="s">
        <v>133</v>
      </c>
      <c r="E41" t="s">
        <v>274</v>
      </c>
      <c r="F41">
        <v>1</v>
      </c>
      <c r="G41" s="70">
        <v>3167.51</v>
      </c>
      <c r="H41" t="s">
        <v>277</v>
      </c>
      <c r="I41" t="s">
        <v>880</v>
      </c>
      <c r="J41" t="s">
        <v>56</v>
      </c>
      <c r="K41" t="s">
        <v>56</v>
      </c>
      <c r="L41" t="s">
        <v>73</v>
      </c>
      <c r="M41" t="s">
        <v>56</v>
      </c>
      <c r="N41" t="s">
        <v>57</v>
      </c>
    </row>
    <row r="42" spans="1:14" hidden="1" x14ac:dyDescent="0.35">
      <c r="A42" t="s">
        <v>272</v>
      </c>
      <c r="B42" t="s">
        <v>487</v>
      </c>
      <c r="C42" t="s">
        <v>59</v>
      </c>
      <c r="D42" t="s">
        <v>272</v>
      </c>
      <c r="E42" t="s">
        <v>274</v>
      </c>
      <c r="F42">
        <v>26</v>
      </c>
      <c r="G42" s="70">
        <v>71837</v>
      </c>
      <c r="H42" t="s">
        <v>378</v>
      </c>
      <c r="J42" t="s">
        <v>56</v>
      </c>
      <c r="K42" t="s">
        <v>56</v>
      </c>
      <c r="L42" t="s">
        <v>73</v>
      </c>
      <c r="M42" t="s">
        <v>56</v>
      </c>
      <c r="N42" t="s">
        <v>57</v>
      </c>
    </row>
    <row r="43" spans="1:14" hidden="1" x14ac:dyDescent="0.35">
      <c r="A43" t="s">
        <v>272</v>
      </c>
      <c r="B43" t="s">
        <v>508</v>
      </c>
      <c r="C43" t="s">
        <v>46</v>
      </c>
      <c r="D43" t="s">
        <v>272</v>
      </c>
      <c r="E43" t="s">
        <v>274</v>
      </c>
      <c r="F43">
        <v>7</v>
      </c>
      <c r="G43" s="70">
        <v>1601</v>
      </c>
      <c r="H43" t="s">
        <v>378</v>
      </c>
      <c r="J43" t="s">
        <v>56</v>
      </c>
    </row>
    <row r="44" spans="1:14" hidden="1" x14ac:dyDescent="0.35">
      <c r="A44" t="s">
        <v>272</v>
      </c>
      <c r="B44" t="s">
        <v>509</v>
      </c>
      <c r="C44" t="s">
        <v>46</v>
      </c>
      <c r="D44" t="s">
        <v>272</v>
      </c>
      <c r="E44" t="s">
        <v>274</v>
      </c>
      <c r="F44">
        <v>30</v>
      </c>
      <c r="G44" s="70">
        <v>362480.94</v>
      </c>
      <c r="H44" t="s">
        <v>378</v>
      </c>
      <c r="J44" t="s">
        <v>56</v>
      </c>
      <c r="K44" t="s">
        <v>56</v>
      </c>
      <c r="L44" t="s">
        <v>56</v>
      </c>
      <c r="M44" t="s">
        <v>56</v>
      </c>
      <c r="N44" t="s">
        <v>57</v>
      </c>
    </row>
    <row r="45" spans="1:14" hidden="1" x14ac:dyDescent="0.35">
      <c r="A45" t="s">
        <v>272</v>
      </c>
      <c r="B45" t="s">
        <v>512</v>
      </c>
      <c r="C45" t="s">
        <v>46</v>
      </c>
      <c r="D45" t="s">
        <v>272</v>
      </c>
      <c r="E45" t="s">
        <v>274</v>
      </c>
      <c r="F45">
        <v>48</v>
      </c>
      <c r="G45" s="70">
        <v>24407</v>
      </c>
      <c r="H45" t="s">
        <v>378</v>
      </c>
      <c r="J45" t="s">
        <v>56</v>
      </c>
    </row>
    <row r="46" spans="1:14" hidden="1" x14ac:dyDescent="0.35">
      <c r="A46" t="s">
        <v>272</v>
      </c>
      <c r="B46" t="s">
        <v>1552</v>
      </c>
      <c r="C46" t="s">
        <v>59</v>
      </c>
      <c r="D46" t="s">
        <v>272</v>
      </c>
      <c r="E46" t="s">
        <v>274</v>
      </c>
      <c r="F46">
        <v>2</v>
      </c>
      <c r="G46" s="70">
        <v>5432.2</v>
      </c>
      <c r="H46" t="s">
        <v>378</v>
      </c>
    </row>
    <row r="47" spans="1:14" x14ac:dyDescent="0.35">
      <c r="A47" t="s">
        <v>149</v>
      </c>
      <c r="B47" t="s">
        <v>729</v>
      </c>
      <c r="C47" t="s">
        <v>46</v>
      </c>
      <c r="D47" t="s">
        <v>284</v>
      </c>
      <c r="E47" t="s">
        <v>285</v>
      </c>
      <c r="G47" s="70">
        <v>596794</v>
      </c>
      <c r="H47" t="s">
        <v>315</v>
      </c>
      <c r="J47" t="s">
        <v>304</v>
      </c>
    </row>
    <row r="48" spans="1:14" x14ac:dyDescent="0.35">
      <c r="A48" t="s">
        <v>149</v>
      </c>
      <c r="B48" t="s">
        <v>740</v>
      </c>
      <c r="C48" t="s">
        <v>59</v>
      </c>
      <c r="D48" t="s">
        <v>284</v>
      </c>
      <c r="E48" t="s">
        <v>285</v>
      </c>
      <c r="G48" s="70">
        <v>1000000</v>
      </c>
      <c r="H48" t="s">
        <v>315</v>
      </c>
      <c r="J48" t="s">
        <v>342</v>
      </c>
    </row>
    <row r="49" spans="1:14" x14ac:dyDescent="0.35">
      <c r="A49" t="s">
        <v>149</v>
      </c>
      <c r="B49" t="s">
        <v>795</v>
      </c>
      <c r="C49" t="s">
        <v>46</v>
      </c>
      <c r="D49" t="s">
        <v>284</v>
      </c>
      <c r="E49" t="s">
        <v>285</v>
      </c>
      <c r="G49" s="70">
        <v>1131814</v>
      </c>
      <c r="H49" t="s">
        <v>315</v>
      </c>
      <c r="J49" t="s">
        <v>342</v>
      </c>
    </row>
    <row r="50" spans="1:14" hidden="1" x14ac:dyDescent="0.35">
      <c r="A50" t="s">
        <v>340</v>
      </c>
      <c r="B50" t="s">
        <v>506</v>
      </c>
      <c r="C50" t="s">
        <v>46</v>
      </c>
      <c r="D50" t="s">
        <v>272</v>
      </c>
      <c r="E50" t="s">
        <v>274</v>
      </c>
      <c r="F50">
        <v>48</v>
      </c>
      <c r="G50" s="70">
        <v>24012</v>
      </c>
      <c r="H50" t="s">
        <v>321</v>
      </c>
      <c r="I50" t="s">
        <v>886</v>
      </c>
      <c r="J50" t="s">
        <v>56</v>
      </c>
      <c r="K50" t="s">
        <v>56</v>
      </c>
      <c r="L50" t="s">
        <v>56</v>
      </c>
      <c r="M50" t="s">
        <v>56</v>
      </c>
      <c r="N50" t="s">
        <v>359</v>
      </c>
    </row>
    <row r="51" spans="1:14" x14ac:dyDescent="0.35">
      <c r="A51" t="s">
        <v>340</v>
      </c>
      <c r="B51" t="s">
        <v>1553</v>
      </c>
      <c r="C51" t="s">
        <v>46</v>
      </c>
      <c r="D51" t="s">
        <v>284</v>
      </c>
      <c r="E51" t="s">
        <v>327</v>
      </c>
      <c r="F51">
        <v>94</v>
      </c>
      <c r="G51" s="70">
        <v>3218808.59</v>
      </c>
      <c r="H51" t="s">
        <v>303</v>
      </c>
      <c r="J51" t="s">
        <v>304</v>
      </c>
      <c r="K51" t="s">
        <v>56</v>
      </c>
      <c r="L51" t="s">
        <v>318</v>
      </c>
      <c r="M51" t="s">
        <v>318</v>
      </c>
      <c r="N51" t="s">
        <v>331</v>
      </c>
    </row>
    <row r="52" spans="1:14" x14ac:dyDescent="0.35">
      <c r="A52" t="s">
        <v>340</v>
      </c>
      <c r="B52" t="s">
        <v>530</v>
      </c>
      <c r="C52" t="s">
        <v>46</v>
      </c>
      <c r="D52" t="s">
        <v>284</v>
      </c>
      <c r="E52" t="s">
        <v>285</v>
      </c>
      <c r="F52">
        <v>1</v>
      </c>
      <c r="G52" s="70">
        <v>13541.25</v>
      </c>
      <c r="H52" t="s">
        <v>297</v>
      </c>
      <c r="J52" t="s">
        <v>318</v>
      </c>
      <c r="K52" t="s">
        <v>304</v>
      </c>
      <c r="L52" t="s">
        <v>73</v>
      </c>
      <c r="M52" t="s">
        <v>304</v>
      </c>
      <c r="N52" t="s">
        <v>73</v>
      </c>
    </row>
    <row r="53" spans="1:14" x14ac:dyDescent="0.35">
      <c r="A53" t="s">
        <v>340</v>
      </c>
      <c r="B53" t="s">
        <v>531</v>
      </c>
      <c r="C53" t="s">
        <v>46</v>
      </c>
      <c r="D53" t="s">
        <v>477</v>
      </c>
      <c r="E53" t="s">
        <v>317</v>
      </c>
      <c r="F53">
        <v>15</v>
      </c>
      <c r="G53" s="70">
        <v>64112.41</v>
      </c>
      <c r="H53" t="s">
        <v>297</v>
      </c>
      <c r="I53" t="s">
        <v>759</v>
      </c>
      <c r="J53" t="s">
        <v>318</v>
      </c>
      <c r="K53" t="s">
        <v>304</v>
      </c>
      <c r="L53" t="s">
        <v>304</v>
      </c>
      <c r="M53" t="s">
        <v>304</v>
      </c>
      <c r="N53" t="s">
        <v>73</v>
      </c>
    </row>
    <row r="54" spans="1:14" x14ac:dyDescent="0.35">
      <c r="A54" t="s">
        <v>340</v>
      </c>
      <c r="B54" t="s">
        <v>794</v>
      </c>
      <c r="C54" t="s">
        <v>46</v>
      </c>
      <c r="D54" t="s">
        <v>284</v>
      </c>
      <c r="E54" t="s">
        <v>285</v>
      </c>
      <c r="F54">
        <v>13</v>
      </c>
      <c r="G54" s="70">
        <v>5665882.9800000004</v>
      </c>
      <c r="H54" t="s">
        <v>286</v>
      </c>
    </row>
    <row r="55" spans="1:14" x14ac:dyDescent="0.35">
      <c r="A55" t="s">
        <v>340</v>
      </c>
      <c r="B55" t="s">
        <v>726</v>
      </c>
      <c r="C55" t="s">
        <v>46</v>
      </c>
      <c r="D55" t="s">
        <v>309</v>
      </c>
      <c r="E55" t="s">
        <v>333</v>
      </c>
      <c r="F55">
        <v>7</v>
      </c>
      <c r="G55" s="70">
        <v>6614.04</v>
      </c>
      <c r="H55" t="s">
        <v>280</v>
      </c>
      <c r="I55" t="s">
        <v>875</v>
      </c>
      <c r="J55" t="s">
        <v>304</v>
      </c>
      <c r="K55" t="s">
        <v>318</v>
      </c>
      <c r="L55" t="s">
        <v>304</v>
      </c>
      <c r="M55" t="s">
        <v>318</v>
      </c>
      <c r="N55" t="s">
        <v>73</v>
      </c>
    </row>
    <row r="56" spans="1:14" x14ac:dyDescent="0.35">
      <c r="A56" t="s">
        <v>340</v>
      </c>
      <c r="B56" t="s">
        <v>726</v>
      </c>
      <c r="C56" t="s">
        <v>46</v>
      </c>
      <c r="D56" t="s">
        <v>284</v>
      </c>
      <c r="E56" t="s">
        <v>333</v>
      </c>
      <c r="F56">
        <v>5</v>
      </c>
      <c r="G56" s="70">
        <v>1500000</v>
      </c>
      <c r="H56" t="s">
        <v>315</v>
      </c>
      <c r="J56" t="s">
        <v>304</v>
      </c>
    </row>
    <row r="57" spans="1:14" x14ac:dyDescent="0.35">
      <c r="A57" t="s">
        <v>340</v>
      </c>
      <c r="B57" t="s">
        <v>511</v>
      </c>
      <c r="C57" t="s">
        <v>46</v>
      </c>
      <c r="D57" t="s">
        <v>309</v>
      </c>
      <c r="E57" t="s">
        <v>310</v>
      </c>
      <c r="F57">
        <v>6</v>
      </c>
      <c r="G57" s="70">
        <v>48755</v>
      </c>
      <c r="H57" t="s">
        <v>280</v>
      </c>
      <c r="I57" t="s">
        <v>404</v>
      </c>
      <c r="J57" t="s">
        <v>56</v>
      </c>
      <c r="K57" t="s">
        <v>56</v>
      </c>
      <c r="L57" t="s">
        <v>73</v>
      </c>
      <c r="M57" t="s">
        <v>56</v>
      </c>
      <c r="N57" t="s">
        <v>73</v>
      </c>
    </row>
    <row r="58" spans="1:14" hidden="1" x14ac:dyDescent="0.35">
      <c r="A58" t="s">
        <v>340</v>
      </c>
      <c r="B58" t="s">
        <v>513</v>
      </c>
      <c r="C58" t="s">
        <v>46</v>
      </c>
      <c r="D58" t="s">
        <v>272</v>
      </c>
      <c r="E58" t="s">
        <v>274</v>
      </c>
      <c r="F58">
        <v>7</v>
      </c>
      <c r="G58" s="70">
        <v>10003.5</v>
      </c>
      <c r="H58" t="s">
        <v>321</v>
      </c>
      <c r="I58" t="s">
        <v>864</v>
      </c>
      <c r="J58" t="s">
        <v>56</v>
      </c>
      <c r="K58" t="s">
        <v>56</v>
      </c>
      <c r="M58">
        <v>46037</v>
      </c>
      <c r="N58" t="s">
        <v>73</v>
      </c>
    </row>
    <row r="59" spans="1:14" x14ac:dyDescent="0.35">
      <c r="A59" t="s">
        <v>340</v>
      </c>
      <c r="B59" t="s">
        <v>514</v>
      </c>
      <c r="C59" t="s">
        <v>46</v>
      </c>
      <c r="D59" t="s">
        <v>309</v>
      </c>
      <c r="E59" t="s">
        <v>310</v>
      </c>
      <c r="F59">
        <v>20</v>
      </c>
      <c r="G59" s="70">
        <v>93065.64</v>
      </c>
      <c r="H59" t="s">
        <v>281</v>
      </c>
      <c r="I59" t="s">
        <v>888</v>
      </c>
      <c r="J59" t="s">
        <v>56</v>
      </c>
      <c r="K59" t="s">
        <v>318</v>
      </c>
      <c r="L59" t="s">
        <v>73</v>
      </c>
      <c r="M59" t="s">
        <v>304</v>
      </c>
      <c r="N59" t="s">
        <v>73</v>
      </c>
    </row>
    <row r="60" spans="1:14" hidden="1" x14ac:dyDescent="0.35">
      <c r="A60" t="s">
        <v>340</v>
      </c>
      <c r="B60" t="s">
        <v>1554</v>
      </c>
      <c r="C60" t="s">
        <v>46</v>
      </c>
      <c r="D60" t="s">
        <v>389</v>
      </c>
      <c r="E60" t="s">
        <v>285</v>
      </c>
      <c r="F60">
        <v>55</v>
      </c>
      <c r="G60" s="70">
        <v>371262</v>
      </c>
      <c r="H60" t="s">
        <v>149</v>
      </c>
    </row>
    <row r="61" spans="1:14" hidden="1" x14ac:dyDescent="0.35">
      <c r="A61" t="s">
        <v>319</v>
      </c>
      <c r="B61" t="s">
        <v>507</v>
      </c>
      <c r="C61" t="s">
        <v>46</v>
      </c>
      <c r="D61" t="s">
        <v>272</v>
      </c>
      <c r="E61" t="s">
        <v>274</v>
      </c>
      <c r="F61">
        <v>17</v>
      </c>
      <c r="G61" s="70">
        <v>1908.8</v>
      </c>
      <c r="H61" t="s">
        <v>294</v>
      </c>
      <c r="I61" t="s">
        <v>864</v>
      </c>
      <c r="J61" t="s">
        <v>56</v>
      </c>
      <c r="K61" t="s">
        <v>56</v>
      </c>
      <c r="L61" t="s">
        <v>56</v>
      </c>
      <c r="M61" t="s">
        <v>56</v>
      </c>
      <c r="N61" t="s">
        <v>57</v>
      </c>
    </row>
    <row r="62" spans="1:14" hidden="1" x14ac:dyDescent="0.35">
      <c r="A62" t="s">
        <v>319</v>
      </c>
      <c r="B62" t="s">
        <v>507</v>
      </c>
      <c r="C62" t="s">
        <v>46</v>
      </c>
      <c r="D62" t="s">
        <v>272</v>
      </c>
      <c r="E62" t="s">
        <v>274</v>
      </c>
      <c r="F62">
        <v>17</v>
      </c>
      <c r="G62" s="70">
        <v>51127</v>
      </c>
      <c r="H62" t="s">
        <v>400</v>
      </c>
      <c r="J62" t="s">
        <v>56</v>
      </c>
      <c r="K62" t="s">
        <v>56</v>
      </c>
      <c r="L62" t="s">
        <v>56</v>
      </c>
      <c r="M62" t="s">
        <v>56</v>
      </c>
      <c r="N62" t="s">
        <v>57</v>
      </c>
    </row>
    <row r="63" spans="1:14" hidden="1" x14ac:dyDescent="0.35">
      <c r="A63" t="s">
        <v>319</v>
      </c>
      <c r="B63" t="s">
        <v>499</v>
      </c>
      <c r="C63" t="s">
        <v>59</v>
      </c>
      <c r="D63" t="s">
        <v>272</v>
      </c>
      <c r="E63" t="s">
        <v>274</v>
      </c>
      <c r="F63">
        <v>1</v>
      </c>
      <c r="G63" s="70">
        <v>4200</v>
      </c>
      <c r="H63" t="s">
        <v>321</v>
      </c>
      <c r="I63" t="s">
        <v>322</v>
      </c>
      <c r="J63" t="s">
        <v>56</v>
      </c>
      <c r="K63" t="s">
        <v>56</v>
      </c>
      <c r="L63" t="s">
        <v>73</v>
      </c>
      <c r="M63" t="s">
        <v>73</v>
      </c>
      <c r="N63" t="s">
        <v>57</v>
      </c>
    </row>
    <row r="64" spans="1:14" hidden="1" x14ac:dyDescent="0.35">
      <c r="A64" t="s">
        <v>319</v>
      </c>
      <c r="B64" t="s">
        <v>1555</v>
      </c>
      <c r="C64" t="s">
        <v>46</v>
      </c>
      <c r="D64" t="s">
        <v>300</v>
      </c>
      <c r="F64">
        <v>35</v>
      </c>
      <c r="G64" s="70">
        <v>0</v>
      </c>
      <c r="H64" t="s">
        <v>351</v>
      </c>
    </row>
    <row r="65" spans="1:14" hidden="1" x14ac:dyDescent="0.35">
      <c r="A65" t="s">
        <v>306</v>
      </c>
      <c r="B65" t="s">
        <v>502</v>
      </c>
      <c r="C65" t="s">
        <v>46</v>
      </c>
      <c r="D65" t="s">
        <v>272</v>
      </c>
      <c r="E65" t="s">
        <v>310</v>
      </c>
      <c r="F65">
        <v>25</v>
      </c>
      <c r="G65" s="70">
        <v>198023</v>
      </c>
      <c r="H65" t="s">
        <v>294</v>
      </c>
      <c r="I65" t="s">
        <v>878</v>
      </c>
      <c r="J65" t="s">
        <v>56</v>
      </c>
      <c r="K65" t="s">
        <v>56</v>
      </c>
      <c r="L65" t="s">
        <v>73</v>
      </c>
      <c r="M65" t="s">
        <v>56</v>
      </c>
      <c r="N65" t="s">
        <v>73</v>
      </c>
    </row>
    <row r="66" spans="1:14" hidden="1" x14ac:dyDescent="0.35">
      <c r="A66" t="s">
        <v>306</v>
      </c>
      <c r="B66" t="s">
        <v>504</v>
      </c>
      <c r="C66" t="s">
        <v>46</v>
      </c>
      <c r="D66" t="s">
        <v>272</v>
      </c>
      <c r="E66" t="s">
        <v>274</v>
      </c>
      <c r="F66">
        <v>30</v>
      </c>
      <c r="G66" s="70">
        <v>103174.91</v>
      </c>
      <c r="H66" t="s">
        <v>321</v>
      </c>
      <c r="I66" t="s">
        <v>322</v>
      </c>
      <c r="J66" t="s">
        <v>56</v>
      </c>
      <c r="K66" t="s">
        <v>56</v>
      </c>
      <c r="L66" t="s">
        <v>56</v>
      </c>
      <c r="M66" t="s">
        <v>56</v>
      </c>
      <c r="N66" t="s">
        <v>57</v>
      </c>
    </row>
    <row r="67" spans="1:14" x14ac:dyDescent="0.35">
      <c r="A67" t="s">
        <v>306</v>
      </c>
      <c r="B67" t="s">
        <v>525</v>
      </c>
      <c r="C67" t="s">
        <v>46</v>
      </c>
      <c r="D67" t="s">
        <v>309</v>
      </c>
      <c r="E67" t="s">
        <v>333</v>
      </c>
      <c r="F67">
        <v>50</v>
      </c>
      <c r="G67" s="70">
        <v>367264.72</v>
      </c>
      <c r="H67" t="s">
        <v>303</v>
      </c>
      <c r="I67" t="s">
        <v>998</v>
      </c>
      <c r="J67" t="s">
        <v>56</v>
      </c>
      <c r="K67" t="s">
        <v>56</v>
      </c>
      <c r="L67" t="s">
        <v>56</v>
      </c>
      <c r="M67" t="s">
        <v>56</v>
      </c>
      <c r="N67" t="s">
        <v>57</v>
      </c>
    </row>
    <row r="68" spans="1:14" x14ac:dyDescent="0.35">
      <c r="A68" t="s">
        <v>306</v>
      </c>
      <c r="B68" t="s">
        <v>525</v>
      </c>
      <c r="C68" t="s">
        <v>46</v>
      </c>
      <c r="D68" t="s">
        <v>309</v>
      </c>
      <c r="E68" t="s">
        <v>333</v>
      </c>
      <c r="F68">
        <v>50</v>
      </c>
      <c r="G68" s="70">
        <v>367264.72</v>
      </c>
      <c r="H68" t="s">
        <v>311</v>
      </c>
      <c r="I68" t="s">
        <v>998</v>
      </c>
      <c r="J68" t="s">
        <v>56</v>
      </c>
      <c r="K68" t="s">
        <v>56</v>
      </c>
      <c r="L68" t="s">
        <v>56</v>
      </c>
      <c r="M68" t="s">
        <v>56</v>
      </c>
      <c r="N68" t="s">
        <v>57</v>
      </c>
    </row>
    <row r="69" spans="1:14" x14ac:dyDescent="0.35">
      <c r="A69" t="s">
        <v>306</v>
      </c>
      <c r="B69" t="s">
        <v>533</v>
      </c>
      <c r="C69" t="s">
        <v>46</v>
      </c>
      <c r="D69" t="s">
        <v>309</v>
      </c>
      <c r="E69" t="s">
        <v>333</v>
      </c>
      <c r="F69">
        <v>50</v>
      </c>
      <c r="G69" s="70">
        <v>367264.72</v>
      </c>
      <c r="H69" t="s">
        <v>297</v>
      </c>
      <c r="I69" t="s">
        <v>998</v>
      </c>
      <c r="J69" t="s">
        <v>56</v>
      </c>
      <c r="K69" t="s">
        <v>56</v>
      </c>
      <c r="L69" t="s">
        <v>56</v>
      </c>
      <c r="M69" t="s">
        <v>56</v>
      </c>
      <c r="N69" t="s">
        <v>57</v>
      </c>
    </row>
    <row r="70" spans="1:14" x14ac:dyDescent="0.35">
      <c r="A70" t="s">
        <v>306</v>
      </c>
      <c r="B70" t="s">
        <v>722</v>
      </c>
      <c r="C70" t="s">
        <v>46</v>
      </c>
      <c r="D70" t="s">
        <v>284</v>
      </c>
      <c r="E70" t="s">
        <v>285</v>
      </c>
      <c r="F70">
        <v>16</v>
      </c>
      <c r="G70" s="70">
        <v>1160820</v>
      </c>
      <c r="H70" t="s">
        <v>355</v>
      </c>
      <c r="J70" t="s">
        <v>342</v>
      </c>
    </row>
    <row r="71" spans="1:14" x14ac:dyDescent="0.35">
      <c r="A71" t="s">
        <v>306</v>
      </c>
      <c r="B71" t="s">
        <v>722</v>
      </c>
      <c r="C71" t="s">
        <v>46</v>
      </c>
      <c r="D71" t="s">
        <v>284</v>
      </c>
      <c r="E71" t="s">
        <v>285</v>
      </c>
      <c r="F71">
        <v>16</v>
      </c>
      <c r="G71" s="70">
        <v>1160820</v>
      </c>
      <c r="H71" t="s">
        <v>355</v>
      </c>
      <c r="J71" t="s">
        <v>342</v>
      </c>
    </row>
    <row r="72" spans="1:14" x14ac:dyDescent="0.35">
      <c r="A72" t="s">
        <v>306</v>
      </c>
      <c r="B72" t="s">
        <v>769</v>
      </c>
      <c r="C72" t="s">
        <v>59</v>
      </c>
      <c r="D72" t="s">
        <v>284</v>
      </c>
      <c r="E72" t="s">
        <v>285</v>
      </c>
      <c r="F72">
        <v>2</v>
      </c>
      <c r="G72" s="70">
        <v>5377.22</v>
      </c>
      <c r="H72" t="s">
        <v>297</v>
      </c>
      <c r="I72" t="s">
        <v>875</v>
      </c>
      <c r="J72" t="s">
        <v>304</v>
      </c>
      <c r="K72" t="s">
        <v>304</v>
      </c>
      <c r="L72" t="s">
        <v>73</v>
      </c>
      <c r="M72" t="s">
        <v>73</v>
      </c>
      <c r="N72" t="s">
        <v>57</v>
      </c>
    </row>
    <row r="73" spans="1:14" x14ac:dyDescent="0.35">
      <c r="A73" t="s">
        <v>306</v>
      </c>
      <c r="B73" t="s">
        <v>494</v>
      </c>
      <c r="C73" t="s">
        <v>59</v>
      </c>
      <c r="D73" t="s">
        <v>309</v>
      </c>
      <c r="E73" t="s">
        <v>310</v>
      </c>
      <c r="F73">
        <v>1</v>
      </c>
      <c r="G73" s="70">
        <v>12309</v>
      </c>
      <c r="H73" t="s">
        <v>280</v>
      </c>
      <c r="I73" t="s">
        <v>869</v>
      </c>
      <c r="J73" t="s">
        <v>56</v>
      </c>
      <c r="K73" t="s">
        <v>56</v>
      </c>
      <c r="L73" t="s">
        <v>73</v>
      </c>
      <c r="M73" t="s">
        <v>56</v>
      </c>
      <c r="N73" t="s">
        <v>73</v>
      </c>
    </row>
    <row r="74" spans="1:14" hidden="1" x14ac:dyDescent="0.35">
      <c r="A74" t="s">
        <v>306</v>
      </c>
      <c r="B74" t="s">
        <v>496</v>
      </c>
      <c r="C74" t="s">
        <v>59</v>
      </c>
      <c r="D74" t="s">
        <v>272</v>
      </c>
      <c r="E74" t="s">
        <v>310</v>
      </c>
      <c r="F74">
        <v>1</v>
      </c>
      <c r="G74" s="70">
        <v>1672</v>
      </c>
      <c r="H74" t="s">
        <v>294</v>
      </c>
      <c r="I74" t="s">
        <v>874</v>
      </c>
      <c r="J74" t="s">
        <v>56</v>
      </c>
      <c r="K74" t="s">
        <v>56</v>
      </c>
      <c r="L74" t="s">
        <v>73</v>
      </c>
      <c r="M74" t="s">
        <v>73</v>
      </c>
      <c r="N74" t="s">
        <v>57</v>
      </c>
    </row>
    <row r="75" spans="1:14" x14ac:dyDescent="0.35">
      <c r="A75" t="s">
        <v>306</v>
      </c>
      <c r="B75" t="s">
        <v>497</v>
      </c>
      <c r="C75" t="s">
        <v>59</v>
      </c>
      <c r="D75" t="s">
        <v>309</v>
      </c>
      <c r="E75" t="s">
        <v>310</v>
      </c>
      <c r="F75">
        <v>11</v>
      </c>
      <c r="G75" s="70">
        <v>198340.06</v>
      </c>
      <c r="H75" t="s">
        <v>297</v>
      </c>
      <c r="I75" t="s">
        <v>754</v>
      </c>
      <c r="J75" t="s">
        <v>56</v>
      </c>
      <c r="K75" t="s">
        <v>56</v>
      </c>
      <c r="L75" t="s">
        <v>73</v>
      </c>
      <c r="M75" t="s">
        <v>56</v>
      </c>
      <c r="N75" t="s">
        <v>73</v>
      </c>
    </row>
    <row r="76" spans="1:14" x14ac:dyDescent="0.35">
      <c r="A76" t="s">
        <v>306</v>
      </c>
      <c r="B76" t="s">
        <v>737</v>
      </c>
      <c r="C76" t="s">
        <v>59</v>
      </c>
      <c r="D76" t="s">
        <v>284</v>
      </c>
      <c r="E76" t="s">
        <v>301</v>
      </c>
      <c r="F76">
        <v>14</v>
      </c>
      <c r="G76" s="70">
        <v>228581</v>
      </c>
      <c r="H76" t="s">
        <v>303</v>
      </c>
      <c r="J76" t="s">
        <v>304</v>
      </c>
      <c r="K76" t="s">
        <v>318</v>
      </c>
      <c r="L76" t="s">
        <v>73</v>
      </c>
      <c r="M76" t="s">
        <v>318</v>
      </c>
      <c r="N76" t="s">
        <v>57</v>
      </c>
    </row>
    <row r="77" spans="1:14" x14ac:dyDescent="0.35">
      <c r="A77" t="s">
        <v>306</v>
      </c>
      <c r="B77" t="s">
        <v>500</v>
      </c>
      <c r="C77" t="s">
        <v>59</v>
      </c>
      <c r="D77" t="s">
        <v>309</v>
      </c>
      <c r="E77" t="s">
        <v>333</v>
      </c>
      <c r="F77">
        <v>12</v>
      </c>
      <c r="G77" s="70">
        <v>170805.65</v>
      </c>
      <c r="H77" t="s">
        <v>282</v>
      </c>
      <c r="I77" t="s">
        <v>872</v>
      </c>
      <c r="J77" t="s">
        <v>56</v>
      </c>
      <c r="K77" t="s">
        <v>56</v>
      </c>
      <c r="L77" t="s">
        <v>56</v>
      </c>
      <c r="M77" t="s">
        <v>56</v>
      </c>
      <c r="N77" t="s">
        <v>57</v>
      </c>
    </row>
    <row r="78" spans="1:14" x14ac:dyDescent="0.35">
      <c r="A78" t="s">
        <v>306</v>
      </c>
      <c r="B78" t="s">
        <v>516</v>
      </c>
      <c r="C78" t="s">
        <v>46</v>
      </c>
      <c r="D78" t="s">
        <v>309</v>
      </c>
      <c r="E78" t="s">
        <v>364</v>
      </c>
      <c r="F78">
        <v>4</v>
      </c>
      <c r="G78" s="70">
        <v>1022211</v>
      </c>
      <c r="H78" t="s">
        <v>281</v>
      </c>
      <c r="I78" t="s">
        <v>404</v>
      </c>
      <c r="J78" t="s">
        <v>56</v>
      </c>
      <c r="K78" t="s">
        <v>56</v>
      </c>
      <c r="L78" t="s">
        <v>73</v>
      </c>
      <c r="M78" t="s">
        <v>56</v>
      </c>
      <c r="N78" t="s">
        <v>331</v>
      </c>
    </row>
    <row r="79" spans="1:14" x14ac:dyDescent="0.35">
      <c r="A79" t="s">
        <v>306</v>
      </c>
      <c r="B79" t="s">
        <v>517</v>
      </c>
      <c r="C79" t="s">
        <v>46</v>
      </c>
      <c r="D79" t="s">
        <v>309</v>
      </c>
      <c r="E79" t="s">
        <v>317</v>
      </c>
      <c r="F79">
        <v>12</v>
      </c>
      <c r="G79" s="70">
        <v>22198</v>
      </c>
      <c r="H79" t="s">
        <v>281</v>
      </c>
      <c r="I79" t="s">
        <v>875</v>
      </c>
      <c r="J79" t="s">
        <v>56</v>
      </c>
      <c r="K79" t="s">
        <v>56</v>
      </c>
      <c r="L79" t="s">
        <v>73</v>
      </c>
      <c r="M79" t="s">
        <v>73</v>
      </c>
      <c r="N79" t="s">
        <v>73</v>
      </c>
    </row>
    <row r="80" spans="1:14" x14ac:dyDescent="0.35">
      <c r="A80" t="s">
        <v>290</v>
      </c>
      <c r="B80" t="s">
        <v>486</v>
      </c>
      <c r="C80" t="s">
        <v>59</v>
      </c>
      <c r="D80" t="s">
        <v>309</v>
      </c>
      <c r="E80" t="s">
        <v>310</v>
      </c>
      <c r="F80">
        <v>1</v>
      </c>
      <c r="G80" s="70">
        <v>1376</v>
      </c>
      <c r="H80" t="s">
        <v>277</v>
      </c>
      <c r="I80" t="s">
        <v>862</v>
      </c>
      <c r="J80" t="s">
        <v>56</v>
      </c>
      <c r="K80" t="s">
        <v>56</v>
      </c>
      <c r="L80" t="s">
        <v>73</v>
      </c>
      <c r="M80" t="s">
        <v>56</v>
      </c>
      <c r="N80" t="s">
        <v>57</v>
      </c>
    </row>
    <row r="81" spans="1:14" x14ac:dyDescent="0.35">
      <c r="A81" t="s">
        <v>290</v>
      </c>
      <c r="B81" t="s">
        <v>505</v>
      </c>
      <c r="C81" t="s">
        <v>46</v>
      </c>
      <c r="D81" t="s">
        <v>309</v>
      </c>
      <c r="E81" t="s">
        <v>310</v>
      </c>
      <c r="F81">
        <v>28</v>
      </c>
      <c r="G81" s="70">
        <v>357775</v>
      </c>
      <c r="H81" t="s">
        <v>277</v>
      </c>
      <c r="I81" t="s">
        <v>883</v>
      </c>
      <c r="J81" t="s">
        <v>56</v>
      </c>
      <c r="K81" t="s">
        <v>56</v>
      </c>
      <c r="L81" t="s">
        <v>56</v>
      </c>
      <c r="M81" t="s">
        <v>56</v>
      </c>
      <c r="N81" t="s">
        <v>304</v>
      </c>
    </row>
    <row r="82" spans="1:14" hidden="1" x14ac:dyDescent="0.35">
      <c r="A82" t="s">
        <v>290</v>
      </c>
      <c r="B82" t="s">
        <v>487</v>
      </c>
      <c r="C82" t="s">
        <v>59</v>
      </c>
      <c r="D82" t="s">
        <v>272</v>
      </c>
      <c r="E82" t="s">
        <v>274</v>
      </c>
      <c r="F82">
        <v>26</v>
      </c>
      <c r="G82" s="70">
        <v>30383.55</v>
      </c>
      <c r="H82" t="s">
        <v>294</v>
      </c>
      <c r="I82" t="s">
        <v>864</v>
      </c>
      <c r="J82" t="s">
        <v>56</v>
      </c>
      <c r="K82" t="s">
        <v>56</v>
      </c>
      <c r="L82" t="s">
        <v>73</v>
      </c>
      <c r="M82" t="s">
        <v>56</v>
      </c>
      <c r="N82" t="s">
        <v>57</v>
      </c>
    </row>
    <row r="83" spans="1:14" x14ac:dyDescent="0.35">
      <c r="A83" t="s">
        <v>290</v>
      </c>
      <c r="B83" t="s">
        <v>489</v>
      </c>
      <c r="C83" t="s">
        <v>59</v>
      </c>
      <c r="D83" t="s">
        <v>309</v>
      </c>
      <c r="E83" t="s">
        <v>310</v>
      </c>
      <c r="F83">
        <v>50</v>
      </c>
      <c r="G83" s="70">
        <v>1161167</v>
      </c>
      <c r="H83" t="s">
        <v>281</v>
      </c>
      <c r="I83" t="s">
        <v>404</v>
      </c>
      <c r="J83" t="s">
        <v>56</v>
      </c>
      <c r="K83" t="s">
        <v>56</v>
      </c>
      <c r="L83" t="s">
        <v>73</v>
      </c>
      <c r="M83" t="s">
        <v>56</v>
      </c>
      <c r="N83" t="s">
        <v>57</v>
      </c>
    </row>
    <row r="84" spans="1:14" x14ac:dyDescent="0.35">
      <c r="A84" t="s">
        <v>290</v>
      </c>
      <c r="B84" t="s">
        <v>1556</v>
      </c>
      <c r="C84" t="s">
        <v>59</v>
      </c>
      <c r="D84" t="s">
        <v>477</v>
      </c>
      <c r="E84" t="s">
        <v>372</v>
      </c>
      <c r="F84">
        <v>1</v>
      </c>
      <c r="G84" s="70">
        <v>1234.8599999999999</v>
      </c>
      <c r="H84" t="s">
        <v>277</v>
      </c>
      <c r="I84" t="s">
        <v>871</v>
      </c>
      <c r="J84" t="s">
        <v>56</v>
      </c>
      <c r="K84" t="s">
        <v>56</v>
      </c>
      <c r="L84" t="s">
        <v>73</v>
      </c>
      <c r="M84" t="s">
        <v>56</v>
      </c>
      <c r="N84" t="s">
        <v>73</v>
      </c>
    </row>
    <row r="85" spans="1:14" x14ac:dyDescent="0.35">
      <c r="A85" t="s">
        <v>290</v>
      </c>
      <c r="B85" t="s">
        <v>535</v>
      </c>
      <c r="C85" t="s">
        <v>46</v>
      </c>
      <c r="D85" t="s">
        <v>309</v>
      </c>
      <c r="E85" t="s">
        <v>317</v>
      </c>
      <c r="F85">
        <v>2</v>
      </c>
      <c r="G85" s="70">
        <v>27992</v>
      </c>
      <c r="H85" t="s">
        <v>297</v>
      </c>
      <c r="I85" t="s">
        <v>754</v>
      </c>
      <c r="J85" t="s">
        <v>304</v>
      </c>
      <c r="K85" t="s">
        <v>56</v>
      </c>
      <c r="L85" t="s">
        <v>304</v>
      </c>
      <c r="M85" t="s">
        <v>56</v>
      </c>
      <c r="N85" t="s">
        <v>304</v>
      </c>
    </row>
    <row r="86" spans="1:14" x14ac:dyDescent="0.35">
      <c r="A86" t="s">
        <v>290</v>
      </c>
      <c r="B86" t="s">
        <v>782</v>
      </c>
      <c r="C86" t="s">
        <v>59</v>
      </c>
      <c r="D86" t="s">
        <v>284</v>
      </c>
      <c r="E86" t="s">
        <v>285</v>
      </c>
      <c r="F86">
        <v>3</v>
      </c>
      <c r="G86" s="70">
        <v>847691</v>
      </c>
      <c r="H86" t="s">
        <v>149</v>
      </c>
    </row>
    <row r="87" spans="1:14" x14ac:dyDescent="0.35">
      <c r="A87" t="s">
        <v>290</v>
      </c>
      <c r="B87" t="s">
        <v>492</v>
      </c>
      <c r="C87" t="s">
        <v>59</v>
      </c>
      <c r="D87" t="s">
        <v>309</v>
      </c>
      <c r="E87" t="s">
        <v>274</v>
      </c>
      <c r="F87">
        <v>26</v>
      </c>
      <c r="G87" s="70">
        <v>2435786</v>
      </c>
      <c r="H87" t="s">
        <v>277</v>
      </c>
      <c r="I87" t="s">
        <v>862</v>
      </c>
      <c r="J87" t="s">
        <v>56</v>
      </c>
      <c r="K87" t="s">
        <v>56</v>
      </c>
      <c r="L87" t="s">
        <v>56</v>
      </c>
      <c r="M87" t="s">
        <v>56</v>
      </c>
      <c r="N87" t="s">
        <v>57</v>
      </c>
    </row>
    <row r="88" spans="1:14" x14ac:dyDescent="0.35">
      <c r="A88" t="s">
        <v>290</v>
      </c>
      <c r="B88" t="s">
        <v>776</v>
      </c>
      <c r="C88" t="s">
        <v>59</v>
      </c>
      <c r="D88" t="s">
        <v>316</v>
      </c>
      <c r="E88" t="s">
        <v>317</v>
      </c>
      <c r="F88">
        <v>1</v>
      </c>
      <c r="G88" s="70">
        <v>14520</v>
      </c>
      <c r="H88" t="s">
        <v>149</v>
      </c>
      <c r="I88" t="s">
        <v>149</v>
      </c>
      <c r="J88" t="s">
        <v>318</v>
      </c>
      <c r="K88" t="s">
        <v>56</v>
      </c>
      <c r="L88" t="s">
        <v>73</v>
      </c>
      <c r="M88" t="s">
        <v>73</v>
      </c>
      <c r="N88" t="s">
        <v>57</v>
      </c>
    </row>
    <row r="89" spans="1:14" x14ac:dyDescent="0.35">
      <c r="A89" t="s">
        <v>290</v>
      </c>
      <c r="B89" t="s">
        <v>736</v>
      </c>
      <c r="C89" t="s">
        <v>59</v>
      </c>
      <c r="D89" t="s">
        <v>284</v>
      </c>
      <c r="E89" t="s">
        <v>327</v>
      </c>
      <c r="F89">
        <v>33</v>
      </c>
      <c r="G89" s="70">
        <v>1585651</v>
      </c>
      <c r="H89" t="s">
        <v>303</v>
      </c>
      <c r="I89" t="s">
        <v>149</v>
      </c>
      <c r="J89" t="s">
        <v>318</v>
      </c>
      <c r="K89" t="s">
        <v>56</v>
      </c>
      <c r="L89" t="s">
        <v>73</v>
      </c>
      <c r="M89" t="s">
        <v>56</v>
      </c>
      <c r="N89" t="s">
        <v>57</v>
      </c>
    </row>
    <row r="90" spans="1:14" x14ac:dyDescent="0.35">
      <c r="A90" t="s">
        <v>290</v>
      </c>
      <c r="B90" t="s">
        <v>515</v>
      </c>
      <c r="C90" t="s">
        <v>46</v>
      </c>
      <c r="D90" t="s">
        <v>477</v>
      </c>
      <c r="E90" t="s">
        <v>317</v>
      </c>
      <c r="G90" s="70">
        <v>172963.83</v>
      </c>
      <c r="H90" t="s">
        <v>282</v>
      </c>
      <c r="J90" t="s">
        <v>304</v>
      </c>
      <c r="K90" t="s">
        <v>304</v>
      </c>
      <c r="L90" t="s">
        <v>304</v>
      </c>
      <c r="M90" t="s">
        <v>304</v>
      </c>
      <c r="N90" t="s">
        <v>304</v>
      </c>
    </row>
  </sheetData>
  <mergeCells count="2">
    <mergeCell ref="A2:N2"/>
    <mergeCell ref="A3:N3"/>
  </mergeCells>
  <conditionalFormatting sqref="D6:D90">
    <cfRule type="containsText" dxfId="65" priority="1" operator="containsText" text="SHIPPED">
      <formula>NOT(ISERROR(SEARCH("SHIPPED",D6)))</formula>
    </cfRule>
    <cfRule type="containsText" dxfId="64" priority="2" operator="containsText" text="OB">
      <formula>NOT(ISERROR(SEARCH("OB",D6)))</formula>
    </cfRule>
    <cfRule type="containsText" dxfId="63" priority="3" operator="containsText" text="FC">
      <formula>NOT(ISERROR(SEARCH("FC",D6)))</formula>
    </cfRule>
    <cfRule type="containsText" dxfId="62" priority="4" operator="containsText" text="NOR">
      <formula>NOT(ISERROR(SEARCH("NOR",D6)))</formula>
    </cfRule>
  </conditionalFormatting>
  <conditionalFormatting sqref="J6:N90">
    <cfRule type="containsText" dxfId="61" priority="5" operator="containsText" text="Approved">
      <formula>NOT(ISERROR(SEARCH("Approved",J6)))</formula>
    </cfRule>
    <cfRule type="containsText" dxfId="60" priority="6" operator="containsText" text="In Progress">
      <formula>NOT(ISERROR(SEARCH("In Progress",J6)))</formula>
    </cfRule>
    <cfRule type="containsText" dxfId="59" priority="7" operator="containsText" text="Pending">
      <formula>NOT(ISERROR(SEARCH("Pending",J6)))</formula>
    </cfRule>
    <cfRule type="containsText" dxfId="58" priority="8" operator="containsText" text="Not Started">
      <formula>NOT(ISERROR(SEARCH("Not Started",J6)))</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105D8BB8AB0A469C75F86BC7959BD5" ma:contentTypeVersion="19" ma:contentTypeDescription="Create a new document." ma:contentTypeScope="" ma:versionID="4c654e2c2973580963247a00e21d34c8">
  <xsd:schema xmlns:xsd="http://www.w3.org/2001/XMLSchema" xmlns:xs="http://www.w3.org/2001/XMLSchema" xmlns:p="http://schemas.microsoft.com/office/2006/metadata/properties" xmlns:ns2="f2f83339-76b3-4b2c-b6ea-7e607d350028" xmlns:ns3="ee0eb624-82ca-416e-afe3-ca7f052cf3cf" targetNamespace="http://schemas.microsoft.com/office/2006/metadata/properties" ma:root="true" ma:fieldsID="bcbb945231d6887d06eeb755fa19c728" ns2:_="" ns3:_="">
    <xsd:import namespace="f2f83339-76b3-4b2c-b6ea-7e607d350028"/>
    <xsd:import namespace="ee0eb624-82ca-416e-afe3-ca7f052cf3cf"/>
    <xsd:element name="properties">
      <xsd:complexType>
        <xsd:sequence>
          <xsd:element name="documentManagement">
            <xsd:complexType>
              <xsd:all>
                <xsd:element ref="ns2:Year" minOccurs="0"/>
                <xsd:element ref="ns3:SharedWithUsers" minOccurs="0"/>
                <xsd:element ref="ns3:SharedWithDetails"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Supplier" minOccurs="0"/>
                <xsd:element ref="ns2:CountryofOrigi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f83339-76b3-4b2c-b6ea-7e607d350028" elementFormDefault="qualified">
    <xsd:import namespace="http://schemas.microsoft.com/office/2006/documentManagement/types"/>
    <xsd:import namespace="http://schemas.microsoft.com/office/infopath/2007/PartnerControls"/>
    <xsd:element name="Year" ma:index="8" nillable="true" ma:displayName="Year" ma:format="Dropdown" ma:internalName="Year">
      <xsd:complexType>
        <xsd:complexContent>
          <xsd:extension base="dms:MultiChoiceFillIn">
            <xsd:sequence>
              <xsd:element name="Value" maxOccurs="unbounded" minOccurs="0" nillable="true">
                <xsd:simpleType>
                  <xsd:union memberTypes="dms:Text">
                    <xsd:simpleType>
                      <xsd:restriction base="dms:Choice">
                        <xsd:enumeration value="2024"/>
                        <xsd:enumeration value="2023"/>
                        <xsd:enumeration value="2022"/>
                        <xsd:enumeration value="2021"/>
                        <xsd:enumeration value="2020"/>
                      </xsd:restriction>
                    </xsd:simpleType>
                  </xsd:union>
                </xsd:simpleType>
              </xsd:element>
            </xsd:sequence>
          </xsd:extension>
        </xsd:complexContent>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5942997-4aa2-4ea7-9542-edab702aa68b"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Supplier" ma:index="24" nillable="true" ma:displayName="Supplier" ma:format="Dropdown" ma:internalName="Supplier">
      <xsd:simpleType>
        <xsd:restriction base="dms:Text">
          <xsd:maxLength value="255"/>
        </xsd:restriction>
      </xsd:simpleType>
    </xsd:element>
    <xsd:element name="CountryofOrigin" ma:index="25" nillable="true" ma:displayName="Country of Origin" ma:format="Dropdown" ma:internalName="CountryofOrigin">
      <xsd:simpleType>
        <xsd:restriction base="dms:Choice">
          <xsd:enumeration value="Vietnam"/>
          <xsd:enumeration value="China"/>
          <xsd:enumeration value="Italy"/>
          <xsd:enumeration value="Brazil"/>
          <xsd:enumeration value="India"/>
          <xsd:enumeration value="USA"/>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0eb624-82ca-416e-afe3-ca7f052cf3cf"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c3b9298-730b-48a9-8fc1-34ea01214c39}" ma:internalName="TaxCatchAll" ma:showField="CatchAllData" ma:web="ee0eb624-82ca-416e-afe3-ca7f052cf3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upplier xmlns="f2f83339-76b3-4b2c-b6ea-7e607d350028" xsi:nil="true"/>
    <TaxCatchAll xmlns="ee0eb624-82ca-416e-afe3-ca7f052cf3cf" xsi:nil="true"/>
    <lcf76f155ced4ddcb4097134ff3c332f xmlns="f2f83339-76b3-4b2c-b6ea-7e607d350028">
      <Terms xmlns="http://schemas.microsoft.com/office/infopath/2007/PartnerControls"/>
    </lcf76f155ced4ddcb4097134ff3c332f>
    <CountryofOrigin xmlns="f2f83339-76b3-4b2c-b6ea-7e607d350028" xsi:nil="true"/>
    <Year xmlns="f2f83339-76b3-4b2c-b6ea-7e607d35002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510E86-E6AA-41CB-B9CC-5A2C416383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f83339-76b3-4b2c-b6ea-7e607d350028"/>
    <ds:schemaRef ds:uri="ee0eb624-82ca-416e-afe3-ca7f052cf3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9032E2-5A4D-45E6-BCC1-051CE90619F8}">
  <ds:schemaRefs>
    <ds:schemaRef ds:uri="http://schemas.microsoft.com/office/2006/metadata/properties"/>
    <ds:schemaRef ds:uri="http://schemas.microsoft.com/office/infopath/2007/PartnerControls"/>
    <ds:schemaRef ds:uri="f2f83339-76b3-4b2c-b6ea-7e607d350028"/>
    <ds:schemaRef ds:uri="ee0eb624-82ca-416e-afe3-ca7f052cf3cf"/>
  </ds:schemaRefs>
</ds:datastoreItem>
</file>

<file path=customXml/itemProps3.xml><?xml version="1.0" encoding="utf-8"?>
<ds:datastoreItem xmlns:ds="http://schemas.openxmlformats.org/officeDocument/2006/customXml" ds:itemID="{09CBF3A8-C3EE-4F1B-83E3-3405C3E0941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OLD</vt:lpstr>
      <vt:lpstr>Detail_New</vt:lpstr>
      <vt:lpstr>OVERALL.</vt:lpstr>
      <vt:lpstr>MOM Project</vt:lpstr>
      <vt:lpstr>MOM Project (2)</vt:lpstr>
      <vt:lpstr>2026</vt:lpstr>
      <vt:lpstr>2027</vt:lpstr>
      <vt:lpstr>PROTOTYPE</vt:lpstr>
      <vt:lpstr>BE</vt:lpstr>
      <vt:lpstr>OVERVIEW</vt:lpstr>
      <vt:lpstr>PIC</vt:lpstr>
      <vt:lpstr>CUS VALUE</vt:lpstr>
      <vt:lpstr>RH PIC</vt:lpstr>
      <vt:lpstr>Customer </vt:lpstr>
      <vt:lpstr>Detail</vt:lpstr>
      <vt:lpstr>STAGE DEFINITION</vt:lpstr>
      <vt:lpstr>2026 Calendar</vt:lpstr>
      <vt:lpstr>Sheet1</vt:lpstr>
      <vt:lpstr>Market </vt:lpstr>
      <vt:lpstr>Folder structure</vt:lpstr>
      <vt:lpstr>Drop list</vt:lpstr>
      <vt:lpstr>Sheet2</vt:lpstr>
      <vt:lpstr>BACK SCHEDULE</vt:lpstr>
      <vt:lpstr>PDHS</vt:lpstr>
      <vt:lpstr>PIC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Suong, Le Thi Thao / HS Coordinator</dc:creator>
  <cp:keywords/>
  <dc:description/>
  <cp:lastModifiedBy>Annie Van, Pham Thi Ai / Hospitality Assistant Manager</cp:lastModifiedBy>
  <cp:revision/>
  <dcterms:created xsi:type="dcterms:W3CDTF">2026-01-08T06:23:28Z</dcterms:created>
  <dcterms:modified xsi:type="dcterms:W3CDTF">2026-10-14T03:57:34Z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0x0101003C105D8BB8AB0A469C75F86BC7959BD5</vt:lpwstr>
  </property>
  <property fmtid="{D5CDD505-2E9C-101B-9397-08002B2CF9AE}" pid="3" name="MediaServiceImageTags">
    <vt:lpwstr/>
  </property>
</Properties>
</file>