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240" yWindow="105" windowWidth="14805" windowHeight="8010" tabRatio="782" activeTab="2"/>
  </bookViews>
  <sheets>
    <sheet name="TK cửa" sheetId="14" r:id="rId1"/>
    <sheet name="6T" sheetId="10" r:id="rId2"/>
    <sheet name="Giá vốn" sheetId="13" r:id="rId3"/>
    <sheet name="Sheet1" sheetId="15" r:id="rId4"/>
    <sheet name="Ốp cột" sheetId="11" state="hidden" r:id="rId5"/>
    <sheet name="Summary" sheetId="1" state="hidden" r:id="rId6"/>
  </sheets>
  <definedNames>
    <definedName name="Ghi_chú" localSheetId="1">'6T'!$A$4:$L$5</definedName>
    <definedName name="_xlnm.Print_Area" localSheetId="1">'6T'!$A$1:$L$714</definedName>
    <definedName name="_xlnm.Print_Area" localSheetId="2">'Giá vốn'!$A$1:$I$25</definedName>
    <definedName name="_xlnm.Print_Titles" localSheetId="1">'6T'!$4:$5</definedName>
    <definedName name="THKL">'6T'!$A$9:$L$999</definedName>
    <definedName name="TKL">'6T'!$A$13:$L$19</definedName>
    <definedName name="Z_006FB1FD_24E7_4B11_B6CC_0DE34BD79ABF_.wvu.PrintArea" localSheetId="1" hidden="1">'6T'!$A$3:$L$5</definedName>
    <definedName name="Z_006FB1FD_24E7_4B11_B6CC_0DE34BD79ABF_.wvu.PrintTitles" localSheetId="1" hidden="1">'6T'!$4:$5</definedName>
    <definedName name="Z_006FB1FD_24E7_4B11_B6CC_0DE34BD79ABF_.wvu.Rows" localSheetId="1" hidden="1">'6T'!#REF!,'6T'!#REF!,'6T'!$14:$19</definedName>
    <definedName name="Z_27A78AE2_9095_4602_9EAD_789B7D1D2ABC_.wvu.PrintArea" localSheetId="1" hidden="1">'6T'!$A$3:$L$5</definedName>
    <definedName name="Z_27A78AE2_9095_4602_9EAD_789B7D1D2ABC_.wvu.PrintTitles" localSheetId="1" hidden="1">'6T'!$4:$5</definedName>
    <definedName name="Z_3A47F3E6_4519_4D47_A52C_7D50F2CD1ADC_.wvu.PrintArea" localSheetId="1" hidden="1">'6T'!$A$1:$L$5</definedName>
    <definedName name="Z_3A47F3E6_4519_4D47_A52C_7D50F2CD1ADC_.wvu.PrintTitles" localSheetId="1" hidden="1">'6T'!$4:$5</definedName>
    <definedName name="Z_4A4F5D4A_2024_47E0_860D_2CB848C5CF06_.wvu.PrintArea" localSheetId="1" hidden="1">'6T'!$A$1:$L$5</definedName>
    <definedName name="Z_4A4F5D4A_2024_47E0_860D_2CB848C5CF06_.wvu.PrintTitles" localSheetId="1" hidden="1">'6T'!$4:$5</definedName>
    <definedName name="Z_A4055CB7_FEA2_42BB_B762_A908B184BB60_.wvu.PrintArea" localSheetId="1" hidden="1">'6T'!$A$3:$L$5</definedName>
    <definedName name="Z_A4055CB7_FEA2_42BB_B762_A908B184BB60_.wvu.PrintTitles" localSheetId="1" hidden="1">'6T'!$4:$5</definedName>
    <definedName name="Z_DA99D564_14F3_461B_8D4B_C5E86DE9BE72_.wvu.PrintTitles" localSheetId="1" hidden="1">'6T'!$4:$5</definedName>
    <definedName name="Z_DA99D564_14F3_461B_8D4B_C5E86DE9BE72_.wvu.Rows" localSheetId="1" hidden="1">'6T'!#REF!,'6T'!#REF!,'6T'!$14:$19</definedName>
    <definedName name="Z_DB49B4EC_E9BE_4F6E_B8D1_D2ECCA242EEF_.wvu.PrintArea" localSheetId="1" hidden="1">'6T'!$A$1:$L$5</definedName>
    <definedName name="Z_DB49B4EC_E9BE_4F6E_B8D1_D2ECCA242EEF_.wvu.PrintTitles" localSheetId="1" hidden="1">'6T'!$4:$5</definedName>
    <definedName name="Z_EE0AE551_70CB_4EC6_8225_0A46AB8601B8_.wvu.PrintArea" localSheetId="1" hidden="1">'6T'!$A$3:$L$5</definedName>
    <definedName name="Z_EE0AE551_70CB_4EC6_8225_0A46AB8601B8_.wvu.PrintTitles" localSheetId="1" hidden="1">'6T'!$4:$5</definedName>
    <definedName name="Z_EE0AE551_70CB_4EC6_8225_0A46AB8601B8_.wvu.Rows" localSheetId="1" hidden="1">'6T'!#REF!,'6T'!#REF!,'6T'!$14:$19</definedName>
  </definedNames>
  <calcPr calcId="144525"/>
</workbook>
</file>

<file path=xl/calcChain.xml><?xml version="1.0" encoding="utf-8"?>
<calcChain xmlns="http://schemas.openxmlformats.org/spreadsheetml/2006/main">
  <c r="H21" i="13" l="1"/>
  <c r="H20" i="13"/>
  <c r="H19" i="13"/>
  <c r="H18" i="13"/>
  <c r="H17" i="13"/>
  <c r="H16" i="13"/>
  <c r="H14" i="13"/>
  <c r="H13" i="13"/>
  <c r="H12" i="13"/>
  <c r="H11" i="13"/>
  <c r="H9" i="13"/>
  <c r="H8" i="13"/>
  <c r="G11" i="13"/>
  <c r="H23" i="13"/>
  <c r="D19" i="13"/>
  <c r="K710" i="10" l="1"/>
  <c r="D5" i="15" l="1"/>
  <c r="D6" i="15"/>
  <c r="D9" i="15"/>
  <c r="D10" i="15"/>
  <c r="D11" i="15"/>
  <c r="D14" i="15"/>
  <c r="D15" i="15"/>
  <c r="D18" i="15"/>
  <c r="D19" i="15"/>
  <c r="D22" i="15"/>
  <c r="D23" i="15"/>
  <c r="D24" i="15"/>
  <c r="D27" i="15"/>
  <c r="D28" i="15"/>
  <c r="D29" i="15"/>
  <c r="D32" i="15"/>
  <c r="D33" i="15"/>
  <c r="D4" i="15"/>
  <c r="M12" i="15"/>
  <c r="M11" i="15"/>
  <c r="M10" i="15"/>
  <c r="M9" i="15"/>
  <c r="M8" i="15"/>
  <c r="M7" i="15"/>
  <c r="M6" i="15"/>
  <c r="F21" i="10" l="1"/>
  <c r="K21" i="10" s="1"/>
  <c r="G21" i="10"/>
  <c r="F22" i="10"/>
  <c r="G22" i="10"/>
  <c r="K22" i="10"/>
  <c r="K16" i="10"/>
  <c r="F17" i="10"/>
  <c r="K17" i="10" s="1"/>
  <c r="F18" i="10"/>
  <c r="K18" i="10"/>
  <c r="K19" i="10"/>
  <c r="K20" i="10" l="1"/>
  <c r="F25" i="10" s="1"/>
  <c r="K25" i="10" s="1"/>
  <c r="M11" i="13"/>
  <c r="K709" i="10" l="1"/>
  <c r="K708" i="10"/>
  <c r="K635" i="10"/>
  <c r="K634" i="10"/>
  <c r="K632" i="10"/>
  <c r="K631" i="10" s="1"/>
  <c r="K630" i="10"/>
  <c r="K629" i="10" s="1"/>
  <c r="K628" i="10"/>
  <c r="K627" i="10" s="1"/>
  <c r="K478" i="10"/>
  <c r="K460" i="10"/>
  <c r="K468" i="10"/>
  <c r="K447" i="10"/>
  <c r="K633" i="10" l="1"/>
  <c r="K626" i="10" s="1"/>
  <c r="K707" i="10" l="1"/>
  <c r="F706" i="10"/>
  <c r="K706" i="10" s="1"/>
  <c r="K705" i="10"/>
  <c r="K704" i="10"/>
  <c r="K701" i="10"/>
  <c r="K699" i="10"/>
  <c r="K698" i="10"/>
  <c r="F702" i="10"/>
  <c r="K702" i="10" s="1"/>
  <c r="F700" i="10"/>
  <c r="K700" i="10" s="1"/>
  <c r="G8" i="13"/>
  <c r="K703" i="10" l="1"/>
  <c r="K697" i="10"/>
  <c r="K696" i="10" s="1"/>
  <c r="K125" i="10"/>
  <c r="G47" i="10"/>
  <c r="F47" i="10"/>
  <c r="G46" i="10"/>
  <c r="F46" i="10"/>
  <c r="K46" i="10" l="1"/>
  <c r="K47" i="10"/>
  <c r="K45" i="10" l="1"/>
  <c r="F30" i="10" s="1"/>
  <c r="E34" i="15" l="1"/>
  <c r="E33" i="15"/>
  <c r="E32" i="15"/>
  <c r="E29" i="15"/>
  <c r="E28" i="15"/>
  <c r="E27" i="15"/>
  <c r="E24" i="15"/>
  <c r="E23" i="15"/>
  <c r="E22" i="15"/>
  <c r="E19" i="15"/>
  <c r="E18" i="15"/>
  <c r="E11" i="15"/>
  <c r="E10" i="15"/>
  <c r="E9" i="15"/>
  <c r="E14" i="15"/>
  <c r="E15" i="15"/>
  <c r="E4" i="15"/>
  <c r="E5" i="15"/>
  <c r="E6" i="15"/>
  <c r="E30" i="15" l="1"/>
  <c r="E7" i="15"/>
  <c r="E20" i="15"/>
  <c r="E35" i="15"/>
  <c r="E12" i="15"/>
  <c r="E25" i="15"/>
  <c r="E16" i="15"/>
  <c r="K9" i="14" l="1"/>
  <c r="K8" i="14"/>
  <c r="K7" i="14"/>
  <c r="K6" i="14"/>
  <c r="K17" i="13"/>
  <c r="K16" i="13"/>
  <c r="G14" i="13"/>
  <c r="G13" i="13"/>
  <c r="G12" i="13"/>
  <c r="C16" i="13"/>
  <c r="K564" i="10" l="1"/>
  <c r="K563" i="10"/>
  <c r="K580" i="10"/>
  <c r="K579" i="10"/>
  <c r="K578" i="10"/>
  <c r="K577" i="10"/>
  <c r="K575" i="10"/>
  <c r="K574" i="10"/>
  <c r="K573" i="10"/>
  <c r="K572" i="10"/>
  <c r="K571" i="10"/>
  <c r="K569" i="10"/>
  <c r="K568" i="10"/>
  <c r="K567" i="10"/>
  <c r="K565" i="10"/>
  <c r="F559" i="10"/>
  <c r="K559" i="10" s="1"/>
  <c r="G558" i="10"/>
  <c r="K558" i="10" s="1"/>
  <c r="G554" i="10"/>
  <c r="F546" i="10"/>
  <c r="K552" i="10"/>
  <c r="K551" i="10"/>
  <c r="G550" i="10"/>
  <c r="F550" i="10"/>
  <c r="G549" i="10"/>
  <c r="F549" i="10"/>
  <c r="G548" i="10"/>
  <c r="F548" i="10"/>
  <c r="G547" i="10"/>
  <c r="K547" i="10" s="1"/>
  <c r="G546" i="10"/>
  <c r="G545" i="10"/>
  <c r="K545" i="10" s="1"/>
  <c r="G544" i="10"/>
  <c r="F544" i="10"/>
  <c r="G543" i="10"/>
  <c r="K543" i="10" s="1"/>
  <c r="K542" i="10"/>
  <c r="K541" i="10"/>
  <c r="K540" i="10"/>
  <c r="G539" i="10"/>
  <c r="K539" i="10" s="1"/>
  <c r="G538" i="10"/>
  <c r="F538" i="10"/>
  <c r="K537" i="10"/>
  <c r="G536" i="10"/>
  <c r="K536" i="10" s="1"/>
  <c r="K535" i="10"/>
  <c r="G534" i="10"/>
  <c r="K534" i="10" s="1"/>
  <c r="K532" i="10"/>
  <c r="F531" i="10"/>
  <c r="K531" i="10" s="1"/>
  <c r="F530" i="10"/>
  <c r="K530" i="10" s="1"/>
  <c r="K529" i="10"/>
  <c r="K528" i="10"/>
  <c r="K613" i="10"/>
  <c r="G612" i="10"/>
  <c r="F612" i="10"/>
  <c r="G611" i="10"/>
  <c r="F611" i="10"/>
  <c r="G527" i="10"/>
  <c r="F527" i="10"/>
  <c r="G525" i="10"/>
  <c r="G526" i="10"/>
  <c r="F526" i="10"/>
  <c r="F525" i="10"/>
  <c r="G524" i="10"/>
  <c r="K524" i="10" s="1"/>
  <c r="G523" i="10"/>
  <c r="K523" i="10" s="1"/>
  <c r="G522" i="10"/>
  <c r="K522" i="10" s="1"/>
  <c r="G521" i="10"/>
  <c r="F521" i="10"/>
  <c r="G520" i="10"/>
  <c r="K520" i="10" s="1"/>
  <c r="F515" i="10"/>
  <c r="G511" i="10"/>
  <c r="K511" i="10" s="1"/>
  <c r="K519" i="10"/>
  <c r="K518" i="10"/>
  <c r="K517" i="10"/>
  <c r="G516" i="10"/>
  <c r="K516" i="10" s="1"/>
  <c r="G515" i="10"/>
  <c r="K514" i="10"/>
  <c r="G513" i="10"/>
  <c r="K513" i="10" s="1"/>
  <c r="K512" i="10"/>
  <c r="F507" i="10"/>
  <c r="G509" i="10"/>
  <c r="F509" i="10"/>
  <c r="G508" i="10"/>
  <c r="K508" i="10" s="1"/>
  <c r="G507" i="10"/>
  <c r="F506" i="10"/>
  <c r="G506" i="10"/>
  <c r="G505" i="10"/>
  <c r="F505" i="10"/>
  <c r="G504" i="10"/>
  <c r="F504" i="10"/>
  <c r="K502" i="10"/>
  <c r="K503" i="10"/>
  <c r="K501" i="10"/>
  <c r="G500" i="10"/>
  <c r="K500" i="10" s="1"/>
  <c r="G499" i="10"/>
  <c r="K499" i="10" s="1"/>
  <c r="K498" i="10"/>
  <c r="G497" i="10"/>
  <c r="G495" i="10"/>
  <c r="K492" i="10"/>
  <c r="K493" i="10"/>
  <c r="K603" i="10"/>
  <c r="F602" i="10"/>
  <c r="K602" i="10" s="1"/>
  <c r="K601" i="10"/>
  <c r="G600" i="10"/>
  <c r="K600" i="10" s="1"/>
  <c r="F491" i="10"/>
  <c r="K504" i="10" l="1"/>
  <c r="K538" i="10"/>
  <c r="K548" i="10"/>
  <c r="K550" i="10"/>
  <c r="K570" i="10"/>
  <c r="K576" i="10"/>
  <c r="K566" i="10"/>
  <c r="K562" i="10"/>
  <c r="K546" i="10"/>
  <c r="K544" i="10"/>
  <c r="K509" i="10"/>
  <c r="K515" i="10"/>
  <c r="K521" i="10"/>
  <c r="K549" i="10"/>
  <c r="K611" i="10"/>
  <c r="K527" i="10"/>
  <c r="K612" i="10"/>
  <c r="K526" i="10"/>
  <c r="K525" i="10"/>
  <c r="K505" i="10"/>
  <c r="K507" i="10"/>
  <c r="K506" i="10"/>
  <c r="K491" i="10"/>
  <c r="G490" i="10"/>
  <c r="K490" i="10" s="1"/>
  <c r="K489" i="10"/>
  <c r="G487" i="10"/>
  <c r="F488" i="10"/>
  <c r="K488" i="10" s="1"/>
  <c r="F487" i="10"/>
  <c r="F486" i="10"/>
  <c r="K486" i="10" s="1"/>
  <c r="K485" i="10"/>
  <c r="K484" i="10"/>
  <c r="F483" i="10"/>
  <c r="K483" i="10" s="1"/>
  <c r="K557" i="10"/>
  <c r="K556" i="10"/>
  <c r="K555" i="10"/>
  <c r="K554" i="10"/>
  <c r="K497" i="10"/>
  <c r="K496" i="10"/>
  <c r="K495" i="10"/>
  <c r="K482" i="10"/>
  <c r="K481" i="10"/>
  <c r="K476" i="10"/>
  <c r="K475" i="10"/>
  <c r="K477" i="10"/>
  <c r="F474" i="10"/>
  <c r="K474" i="10" s="1"/>
  <c r="F473" i="10"/>
  <c r="K473" i="10" s="1"/>
  <c r="K472" i="10"/>
  <c r="K471" i="10"/>
  <c r="K469" i="10"/>
  <c r="K467" i="10"/>
  <c r="K466" i="10"/>
  <c r="K459" i="10"/>
  <c r="K462" i="10"/>
  <c r="K461" i="10"/>
  <c r="K470" i="10" l="1"/>
  <c r="K561" i="10"/>
  <c r="K533" i="10"/>
  <c r="K510" i="10"/>
  <c r="K487" i="10"/>
  <c r="K480" i="10" s="1"/>
  <c r="K553" i="10"/>
  <c r="K494" i="10"/>
  <c r="K465" i="10"/>
  <c r="K463" i="10"/>
  <c r="K458" i="10"/>
  <c r="K454" i="10" l="1"/>
  <c r="G452" i="10"/>
  <c r="K450" i="10"/>
  <c r="K449" i="10"/>
  <c r="G445" i="10"/>
  <c r="K445" i="10" s="1"/>
  <c r="K464" i="10"/>
  <c r="K457" i="10"/>
  <c r="K455" i="10"/>
  <c r="K453" i="10"/>
  <c r="K452" i="10"/>
  <c r="K446" i="10"/>
  <c r="K448" i="10"/>
  <c r="K695" i="10"/>
  <c r="K694" i="10"/>
  <c r="K693" i="10"/>
  <c r="K692" i="10"/>
  <c r="K456" i="10" l="1"/>
  <c r="K451" i="10"/>
  <c r="K444" i="10"/>
  <c r="K690" i="10"/>
  <c r="K689" i="10"/>
  <c r="K688" i="10"/>
  <c r="K687" i="10"/>
  <c r="K686" i="10"/>
  <c r="K684" i="10"/>
  <c r="K683" i="10"/>
  <c r="K682" i="10"/>
  <c r="K680" i="10"/>
  <c r="K679" i="10"/>
  <c r="K678" i="10"/>
  <c r="K677" i="10"/>
  <c r="K674" i="10"/>
  <c r="K673" i="10"/>
  <c r="K672" i="10"/>
  <c r="K671" i="10"/>
  <c r="K670" i="10"/>
  <c r="K669" i="10"/>
  <c r="K668" i="10"/>
  <c r="K667" i="10"/>
  <c r="K666" i="10"/>
  <c r="K663" i="10"/>
  <c r="K662" i="10"/>
  <c r="K661" i="10"/>
  <c r="K660" i="10"/>
  <c r="K659" i="10"/>
  <c r="K658" i="10"/>
  <c r="K657" i="10"/>
  <c r="K656" i="10"/>
  <c r="K655" i="10"/>
  <c r="K654" i="10"/>
  <c r="K653" i="10"/>
  <c r="K650" i="10"/>
  <c r="K647" i="10"/>
  <c r="K648" i="10"/>
  <c r="K645" i="10"/>
  <c r="K665" i="10"/>
  <c r="K652" i="10"/>
  <c r="K649" i="10"/>
  <c r="K646" i="10"/>
  <c r="K644" i="10"/>
  <c r="G641" i="10"/>
  <c r="K641" i="10" s="1"/>
  <c r="K640" i="10" s="1"/>
  <c r="K639" i="10"/>
  <c r="K638" i="10"/>
  <c r="K625" i="10"/>
  <c r="K622" i="10"/>
  <c r="K624" i="10"/>
  <c r="K621" i="10"/>
  <c r="K619" i="10"/>
  <c r="K618" i="10"/>
  <c r="K616" i="10"/>
  <c r="K615" i="10" s="1"/>
  <c r="K609" i="10"/>
  <c r="K610" i="10"/>
  <c r="K608" i="10"/>
  <c r="K604" i="10"/>
  <c r="K599" i="10"/>
  <c r="K598" i="10"/>
  <c r="K595" i="10"/>
  <c r="K594" i="10" s="1"/>
  <c r="K442" i="10"/>
  <c r="K440" i="10"/>
  <c r="K436" i="10"/>
  <c r="K435" i="10"/>
  <c r="K434" i="10"/>
  <c r="K433" i="10"/>
  <c r="K432" i="10"/>
  <c r="K429" i="10"/>
  <c r="K428" i="10"/>
  <c r="K441" i="10"/>
  <c r="K439" i="10"/>
  <c r="K438" i="10"/>
  <c r="K431" i="10"/>
  <c r="K427" i="10"/>
  <c r="K591" i="10"/>
  <c r="K588" i="10"/>
  <c r="K587" i="10"/>
  <c r="K593" i="10"/>
  <c r="K590" i="10"/>
  <c r="K586" i="10"/>
  <c r="K424" i="10"/>
  <c r="K423" i="10"/>
  <c r="K421" i="10"/>
  <c r="H420" i="10"/>
  <c r="K420" i="10" s="1"/>
  <c r="K419" i="10"/>
  <c r="H418" i="10"/>
  <c r="K418" i="10" s="1"/>
  <c r="K417" i="10"/>
  <c r="H416" i="10"/>
  <c r="K416" i="10" s="1"/>
  <c r="H415" i="10"/>
  <c r="K415" i="10" s="1"/>
  <c r="H414" i="10"/>
  <c r="K414" i="10" s="1"/>
  <c r="H413" i="10"/>
  <c r="F413" i="10"/>
  <c r="H412" i="10"/>
  <c r="K412" i="10" s="1"/>
  <c r="H411" i="10"/>
  <c r="K411" i="10" s="1"/>
  <c r="K409" i="10"/>
  <c r="H408" i="10"/>
  <c r="K408" i="10" s="1"/>
  <c r="K407" i="10"/>
  <c r="H406" i="10"/>
  <c r="K406" i="10" s="1"/>
  <c r="K405" i="10"/>
  <c r="H404" i="10"/>
  <c r="K404" i="10" s="1"/>
  <c r="K403" i="10"/>
  <c r="H402" i="10"/>
  <c r="K402" i="10" s="1"/>
  <c r="H401" i="10"/>
  <c r="K401" i="10" s="1"/>
  <c r="H400" i="10"/>
  <c r="K400" i="10" s="1"/>
  <c r="H399" i="10"/>
  <c r="F399" i="10"/>
  <c r="K398" i="10"/>
  <c r="H397" i="10"/>
  <c r="K397" i="10" s="1"/>
  <c r="H396" i="10"/>
  <c r="K396" i="10" s="1"/>
  <c r="H395" i="10"/>
  <c r="K395" i="10" s="1"/>
  <c r="H394" i="10"/>
  <c r="K394" i="10" s="1"/>
  <c r="H393" i="10"/>
  <c r="K393" i="10" s="1"/>
  <c r="H392" i="10"/>
  <c r="K392" i="10" s="1"/>
  <c r="H391" i="10"/>
  <c r="K391" i="10" s="1"/>
  <c r="H390" i="10"/>
  <c r="K390" i="10" s="1"/>
  <c r="H389" i="10"/>
  <c r="K389" i="10" s="1"/>
  <c r="K387" i="10"/>
  <c r="H386" i="10"/>
  <c r="K386" i="10" s="1"/>
  <c r="K385" i="10"/>
  <c r="H384" i="10"/>
  <c r="K384" i="10" s="1"/>
  <c r="H383" i="10"/>
  <c r="K383" i="10" s="1"/>
  <c r="K382" i="10"/>
  <c r="H381" i="10"/>
  <c r="K381" i="10" s="1"/>
  <c r="K380" i="10"/>
  <c r="H379" i="10"/>
  <c r="K379" i="10" s="1"/>
  <c r="K378" i="10"/>
  <c r="H377" i="10"/>
  <c r="H376" i="10"/>
  <c r="H375" i="10"/>
  <c r="K375" i="10" s="1"/>
  <c r="H374" i="10"/>
  <c r="K377" i="10"/>
  <c r="K376" i="10"/>
  <c r="F374" i="10"/>
  <c r="K373" i="10"/>
  <c r="H372" i="10"/>
  <c r="K372" i="10" s="1"/>
  <c r="H371" i="10"/>
  <c r="K371" i="10" s="1"/>
  <c r="H370" i="10"/>
  <c r="K370" i="10" s="1"/>
  <c r="H369" i="10"/>
  <c r="K369" i="10" s="1"/>
  <c r="H368" i="10"/>
  <c r="K368" i="10" s="1"/>
  <c r="H367" i="10"/>
  <c r="K367" i="10" s="1"/>
  <c r="H366" i="10"/>
  <c r="K366" i="10" s="1"/>
  <c r="H365" i="10"/>
  <c r="K365" i="10" s="1"/>
  <c r="H364" i="10"/>
  <c r="K364" i="10" s="1"/>
  <c r="H362" i="10"/>
  <c r="F362" i="10"/>
  <c r="K361" i="10"/>
  <c r="H360" i="10"/>
  <c r="K360" i="10" s="1"/>
  <c r="K359" i="10"/>
  <c r="H358" i="10"/>
  <c r="K358" i="10" s="1"/>
  <c r="H357" i="10"/>
  <c r="K357" i="10" s="1"/>
  <c r="K356" i="10"/>
  <c r="H355" i="10"/>
  <c r="K355" i="10" s="1"/>
  <c r="K352" i="10"/>
  <c r="K351" i="10"/>
  <c r="G350" i="10"/>
  <c r="K350" i="10" s="1"/>
  <c r="K349" i="10"/>
  <c r="K348" i="10"/>
  <c r="K347" i="10"/>
  <c r="H346" i="10"/>
  <c r="K346" i="10" s="1"/>
  <c r="H345" i="10"/>
  <c r="K345" i="10" s="1"/>
  <c r="H344" i="10"/>
  <c r="K344" i="10" s="1"/>
  <c r="H330" i="10"/>
  <c r="K330" i="10" s="1"/>
  <c r="H343" i="10"/>
  <c r="K343" i="10" s="1"/>
  <c r="K354" i="10"/>
  <c r="K336" i="10"/>
  <c r="H339" i="10"/>
  <c r="K339" i="10" s="1"/>
  <c r="K340" i="10"/>
  <c r="K335" i="10"/>
  <c r="H334" i="10"/>
  <c r="K334" i="10" s="1"/>
  <c r="K332" i="10"/>
  <c r="H331" i="10"/>
  <c r="K331" i="10" s="1"/>
  <c r="K337" i="10"/>
  <c r="K324" i="10"/>
  <c r="K321" i="10"/>
  <c r="G327" i="10"/>
  <c r="K327" i="10" s="1"/>
  <c r="K318" i="10"/>
  <c r="K315" i="10"/>
  <c r="K312" i="10"/>
  <c r="K323" i="10"/>
  <c r="K320" i="10"/>
  <c r="K317" i="10"/>
  <c r="K314" i="10"/>
  <c r="K311" i="10"/>
  <c r="G326" i="10"/>
  <c r="K326" i="10" s="1"/>
  <c r="K325" i="10"/>
  <c r="K322" i="10"/>
  <c r="K316" i="10"/>
  <c r="K313" i="10"/>
  <c r="K307" i="10"/>
  <c r="K301" i="10"/>
  <c r="K306" i="10"/>
  <c r="K304" i="10"/>
  <c r="K302" i="10"/>
  <c r="K300" i="10"/>
  <c r="K298" i="10"/>
  <c r="G308" i="10"/>
  <c r="K308" i="10" s="1"/>
  <c r="K305" i="10"/>
  <c r="K299" i="10"/>
  <c r="K293" i="10"/>
  <c r="K292" i="10"/>
  <c r="K290" i="10"/>
  <c r="K289" i="10"/>
  <c r="K288" i="10"/>
  <c r="K287" i="10"/>
  <c r="K286" i="10"/>
  <c r="K285" i="10"/>
  <c r="K284" i="10"/>
  <c r="K283" i="10"/>
  <c r="K282" i="10"/>
  <c r="K281" i="10"/>
  <c r="K279" i="10"/>
  <c r="K278" i="10"/>
  <c r="K277" i="10"/>
  <c r="K276" i="10"/>
  <c r="K274" i="10"/>
  <c r="K270" i="10"/>
  <c r="K268" i="10"/>
  <c r="K267" i="10"/>
  <c r="K266" i="10"/>
  <c r="K264" i="10"/>
  <c r="K263" i="10"/>
  <c r="K260" i="10"/>
  <c r="K294" i="10"/>
  <c r="K275" i="10"/>
  <c r="K273" i="10"/>
  <c r="K272" i="10"/>
  <c r="K271" i="10"/>
  <c r="K265" i="10"/>
  <c r="K262" i="10"/>
  <c r="K261" i="10"/>
  <c r="K256" i="10"/>
  <c r="K254" i="10"/>
  <c r="K253" i="10"/>
  <c r="H246" i="10"/>
  <c r="K246" i="10" s="1"/>
  <c r="K251" i="10"/>
  <c r="K250" i="10"/>
  <c r="K249" i="10"/>
  <c r="K248" i="10"/>
  <c r="K247" i="10"/>
  <c r="K245" i="10"/>
  <c r="K243" i="10"/>
  <c r="K242" i="10"/>
  <c r="K241" i="10"/>
  <c r="K240" i="10"/>
  <c r="K239" i="10"/>
  <c r="K237" i="10"/>
  <c r="H238" i="10"/>
  <c r="K238" i="10" s="1"/>
  <c r="H208" i="10"/>
  <c r="K208" i="10" s="1"/>
  <c r="H205" i="10"/>
  <c r="K205" i="10" s="1"/>
  <c r="F219" i="10"/>
  <c r="K219" i="10" s="1"/>
  <c r="F218" i="10"/>
  <c r="K218" i="10" s="1"/>
  <c r="F217" i="10"/>
  <c r="K217" i="10" s="1"/>
  <c r="K216" i="10"/>
  <c r="K215" i="10"/>
  <c r="K214" i="10"/>
  <c r="K213" i="10"/>
  <c r="H177" i="10"/>
  <c r="K177" i="10" s="1"/>
  <c r="H174" i="10"/>
  <c r="K174" i="10" s="1"/>
  <c r="F188" i="10"/>
  <c r="K188" i="10" s="1"/>
  <c r="F187" i="10"/>
  <c r="K187" i="10" s="1"/>
  <c r="F186" i="10"/>
  <c r="K186" i="10" s="1"/>
  <c r="K185" i="10"/>
  <c r="K184" i="10"/>
  <c r="K183" i="10"/>
  <c r="K182" i="10"/>
  <c r="K231" i="10"/>
  <c r="K235" i="10"/>
  <c r="K234" i="10"/>
  <c r="K233" i="10"/>
  <c r="K232" i="10"/>
  <c r="K230" i="10"/>
  <c r="K229" i="10"/>
  <c r="K225" i="10"/>
  <c r="K222" i="10"/>
  <c r="K221" i="10"/>
  <c r="K207" i="10"/>
  <c r="K206" i="10"/>
  <c r="K203" i="10"/>
  <c r="K201" i="10"/>
  <c r="K200" i="10"/>
  <c r="K199" i="10"/>
  <c r="K198" i="10"/>
  <c r="K197" i="10"/>
  <c r="F211" i="10"/>
  <c r="K211" i="10" s="1"/>
  <c r="F210" i="10"/>
  <c r="K210" i="10" s="1"/>
  <c r="F209" i="10"/>
  <c r="K209" i="10" s="1"/>
  <c r="F202" i="10"/>
  <c r="K202" i="10" s="1"/>
  <c r="K193" i="10"/>
  <c r="K191" i="10"/>
  <c r="F180" i="10"/>
  <c r="K180" i="10" s="1"/>
  <c r="F179" i="10"/>
  <c r="K179" i="10" s="1"/>
  <c r="F178" i="10"/>
  <c r="K178" i="10" s="1"/>
  <c r="K176" i="10"/>
  <c r="K175" i="10"/>
  <c r="F171" i="10"/>
  <c r="K171" i="10" s="1"/>
  <c r="K172" i="10"/>
  <c r="K170" i="10"/>
  <c r="K169" i="10"/>
  <c r="K168" i="10"/>
  <c r="K167" i="10"/>
  <c r="K162" i="10"/>
  <c r="K190" i="10"/>
  <c r="K166" i="10"/>
  <c r="H159" i="10"/>
  <c r="K159" i="10" s="1"/>
  <c r="K158" i="10" s="1"/>
  <c r="H157" i="10"/>
  <c r="H155" i="10"/>
  <c r="K155" i="10" s="1"/>
  <c r="H154" i="10"/>
  <c r="K154" i="10" s="1"/>
  <c r="H152" i="10"/>
  <c r="K152" i="10" s="1"/>
  <c r="H151" i="10"/>
  <c r="K151" i="10" s="1"/>
  <c r="K148" i="10"/>
  <c r="K147" i="10" s="1"/>
  <c r="K146" i="10"/>
  <c r="K145" i="10" s="1"/>
  <c r="K144" i="10"/>
  <c r="K143" i="10"/>
  <c r="K141" i="10"/>
  <c r="H140" i="10"/>
  <c r="K140" i="10" s="1"/>
  <c r="H80" i="10"/>
  <c r="K80" i="10" s="1"/>
  <c r="H84" i="10"/>
  <c r="K84" i="10" s="1"/>
  <c r="K83" i="10"/>
  <c r="K135" i="10"/>
  <c r="K136" i="10"/>
  <c r="K134" i="10"/>
  <c r="K133" i="10"/>
  <c r="K132" i="10"/>
  <c r="K131" i="10"/>
  <c r="K104" i="10"/>
  <c r="F103" i="10"/>
  <c r="K103" i="10" s="1"/>
  <c r="K28" i="10"/>
  <c r="K27" i="10"/>
  <c r="K26" i="10"/>
  <c r="K107" i="10"/>
  <c r="K106" i="10"/>
  <c r="H105" i="10"/>
  <c r="K105" i="10" s="1"/>
  <c r="K102" i="10"/>
  <c r="K101" i="10"/>
  <c r="K33" i="10"/>
  <c r="K32" i="10"/>
  <c r="K130" i="10"/>
  <c r="K124" i="10"/>
  <c r="K122" i="10"/>
  <c r="K123" i="10"/>
  <c r="K121" i="10"/>
  <c r="K118" i="10"/>
  <c r="K117" i="10"/>
  <c r="K114" i="10"/>
  <c r="K113" i="10"/>
  <c r="K110" i="10"/>
  <c r="K109" i="10"/>
  <c r="K74" i="10"/>
  <c r="F73" i="10"/>
  <c r="G73" i="10"/>
  <c r="F72" i="10"/>
  <c r="G72" i="10"/>
  <c r="K75" i="10"/>
  <c r="G76" i="10"/>
  <c r="F76" i="10"/>
  <c r="G71" i="10"/>
  <c r="F71" i="10"/>
  <c r="G59" i="10"/>
  <c r="F59" i="10"/>
  <c r="G58" i="10"/>
  <c r="F58" i="10"/>
  <c r="G70" i="10"/>
  <c r="F70" i="10"/>
  <c r="G57" i="10"/>
  <c r="F57" i="10"/>
  <c r="G56" i="10"/>
  <c r="F56" i="10"/>
  <c r="K98" i="10"/>
  <c r="K97" i="10"/>
  <c r="K96" i="10"/>
  <c r="K95" i="10"/>
  <c r="K94" i="10"/>
  <c r="K89" i="10"/>
  <c r="K90" i="10"/>
  <c r="K91" i="10"/>
  <c r="K88" i="10"/>
  <c r="K87" i="10"/>
  <c r="K79" i="10"/>
  <c r="K64" i="10"/>
  <c r="K62" i="10"/>
  <c r="K65" i="10"/>
  <c r="K63" i="10"/>
  <c r="K68" i="10"/>
  <c r="F67" i="10"/>
  <c r="K67" i="10" s="1"/>
  <c r="F66" i="10"/>
  <c r="K66" i="10" s="1"/>
  <c r="F52" i="10"/>
  <c r="K52" i="10" s="1"/>
  <c r="K54" i="10"/>
  <c r="F53" i="10"/>
  <c r="K53" i="10" s="1"/>
  <c r="K51" i="10"/>
  <c r="K50" i="10"/>
  <c r="F43" i="10"/>
  <c r="K43" i="10" s="1"/>
  <c r="F42" i="10"/>
  <c r="K42" i="10" s="1"/>
  <c r="K44" i="10"/>
  <c r="K41" i="10"/>
  <c r="K40" i="10"/>
  <c r="K12" i="10"/>
  <c r="K11" i="10"/>
  <c r="K443" i="10" l="1"/>
  <c r="K597" i="10"/>
  <c r="K607" i="10"/>
  <c r="K637" i="10"/>
  <c r="K636" i="10" s="1"/>
  <c r="K664" i="10"/>
  <c r="K651" i="10"/>
  <c r="K643" i="10"/>
  <c r="K617" i="10"/>
  <c r="K620" i="10"/>
  <c r="K623" i="10"/>
  <c r="K426" i="10"/>
  <c r="K437" i="10"/>
  <c r="K430" i="10"/>
  <c r="K399" i="10"/>
  <c r="K388" i="10" s="1"/>
  <c r="K592" i="10"/>
  <c r="K589" i="10"/>
  <c r="K585" i="10"/>
  <c r="K422" i="10"/>
  <c r="K413" i="10"/>
  <c r="K410" i="10" s="1"/>
  <c r="K374" i="10"/>
  <c r="K363" i="10" s="1"/>
  <c r="K362" i="10"/>
  <c r="K353" i="10" s="1"/>
  <c r="K329" i="10"/>
  <c r="K342" i="10"/>
  <c r="K338" i="10"/>
  <c r="K310" i="10"/>
  <c r="K333" i="10"/>
  <c r="K319" i="10"/>
  <c r="K303" i="10"/>
  <c r="K291" i="10"/>
  <c r="K280" i="10"/>
  <c r="K297" i="10"/>
  <c r="K269" i="10"/>
  <c r="K259" i="10"/>
  <c r="K252" i="10"/>
  <c r="K244" i="10"/>
  <c r="K212" i="10"/>
  <c r="K181" i="10"/>
  <c r="K189" i="10"/>
  <c r="K236" i="10"/>
  <c r="K228" i="10"/>
  <c r="K220" i="10"/>
  <c r="K204" i="10"/>
  <c r="K196" i="10"/>
  <c r="K78" i="10"/>
  <c r="K77" i="10" s="1"/>
  <c r="K173" i="10"/>
  <c r="K150" i="10"/>
  <c r="K165" i="10"/>
  <c r="K153" i="10"/>
  <c r="K82" i="10"/>
  <c r="K81" i="10" s="1"/>
  <c r="K142" i="10"/>
  <c r="K157" i="10"/>
  <c r="K156" i="10" s="1"/>
  <c r="K139" i="10"/>
  <c r="K58" i="10"/>
  <c r="K71" i="10"/>
  <c r="K76" i="10"/>
  <c r="K116" i="10"/>
  <c r="K115" i="10" s="1"/>
  <c r="K112" i="10"/>
  <c r="K111" i="10" s="1"/>
  <c r="K129" i="10"/>
  <c r="K128" i="10" s="1"/>
  <c r="K100" i="10"/>
  <c r="K120" i="10"/>
  <c r="K119" i="10" s="1"/>
  <c r="K73" i="10"/>
  <c r="K72" i="10"/>
  <c r="K59" i="10"/>
  <c r="K57" i="10"/>
  <c r="K70" i="10"/>
  <c r="K56" i="10"/>
  <c r="K108" i="10"/>
  <c r="K93" i="10"/>
  <c r="K92" i="10" s="1"/>
  <c r="K86" i="10"/>
  <c r="K85" i="10" s="1"/>
  <c r="K39" i="10"/>
  <c r="K38" i="10" s="1"/>
  <c r="K10" i="10"/>
  <c r="K9" i="10" s="1"/>
  <c r="K8" i="10" s="1"/>
  <c r="K341" i="10" l="1"/>
  <c r="K328" i="10"/>
  <c r="K614" i="10"/>
  <c r="K596" i="10"/>
  <c r="K99" i="10"/>
  <c r="F36" i="10" s="1"/>
  <c r="F35" i="10"/>
  <c r="K35" i="10" s="1"/>
  <c r="F29" i="10"/>
  <c r="K29" i="10" s="1"/>
  <c r="F34" i="10"/>
  <c r="K34" i="10" s="1"/>
  <c r="K642" i="10"/>
  <c r="K584" i="10"/>
  <c r="K582" i="10" s="1"/>
  <c r="K425" i="10"/>
  <c r="K309" i="10"/>
  <c r="K296" i="10"/>
  <c r="K224" i="10"/>
  <c r="K255" i="10"/>
  <c r="K161" i="10"/>
  <c r="K192" i="10"/>
  <c r="K149" i="10"/>
  <c r="K138" i="10"/>
  <c r="K55" i="10"/>
  <c r="K69" i="10"/>
  <c r="K61" i="10"/>
  <c r="K49" i="10"/>
  <c r="K60" i="10" l="1"/>
  <c r="K48" i="10"/>
  <c r="H15" i="13"/>
  <c r="K560" i="10"/>
  <c r="K30" i="10"/>
  <c r="F31" i="10"/>
  <c r="K31" i="10" s="1"/>
  <c r="K479" i="10" l="1"/>
  <c r="K711" i="10" s="1"/>
  <c r="F3" i="15"/>
  <c r="F43" i="11"/>
  <c r="B42" i="11"/>
  <c r="F42" i="11"/>
  <c r="I33" i="11"/>
  <c r="I34" i="11"/>
  <c r="I35" i="11"/>
  <c r="G35" i="11"/>
  <c r="G34" i="11"/>
  <c r="G33" i="11"/>
  <c r="C35" i="11"/>
  <c r="F35" i="11"/>
  <c r="J35" i="11" s="1"/>
  <c r="F33" i="11"/>
  <c r="J33" i="11" s="1"/>
  <c r="F31" i="11"/>
  <c r="H31" i="11" s="1"/>
  <c r="F30" i="11"/>
  <c r="H30" i="11" s="1"/>
  <c r="F29" i="11"/>
  <c r="H29" i="11" s="1"/>
  <c r="F22" i="11"/>
  <c r="F20" i="11"/>
  <c r="F18" i="11"/>
  <c r="F17" i="11"/>
  <c r="F16" i="11"/>
  <c r="F10" i="11"/>
  <c r="F8" i="11"/>
  <c r="F5" i="11"/>
  <c r="F6" i="11"/>
  <c r="F4" i="11"/>
  <c r="C34" i="11"/>
  <c r="F34" i="11" s="1"/>
  <c r="C33" i="11"/>
  <c r="C32" i="11"/>
  <c r="F32" i="11" s="1"/>
  <c r="C31" i="11"/>
  <c r="C30" i="11"/>
  <c r="C29" i="11"/>
  <c r="G19" i="11"/>
  <c r="F31" i="15" l="1"/>
  <c r="G34" i="15" s="1"/>
  <c r="H34" i="11"/>
  <c r="G5" i="15"/>
  <c r="G6" i="15"/>
  <c r="G4" i="15"/>
  <c r="F17" i="15"/>
  <c r="J34" i="11"/>
  <c r="H32" i="11"/>
  <c r="J32" i="11"/>
  <c r="J29" i="11"/>
  <c r="J30" i="11"/>
  <c r="H33" i="11"/>
  <c r="J31" i="11"/>
  <c r="F44" i="11"/>
  <c r="F36" i="11"/>
  <c r="H35" i="11"/>
  <c r="H36" i="11" s="1"/>
  <c r="C22" i="11"/>
  <c r="H22" i="11" s="1"/>
  <c r="C21" i="11"/>
  <c r="F21" i="11" s="1"/>
  <c r="H21" i="11" s="1"/>
  <c r="C20" i="11"/>
  <c r="H20" i="11" s="1"/>
  <c r="C19" i="11"/>
  <c r="F19" i="11" s="1"/>
  <c r="H19" i="11" s="1"/>
  <c r="C18" i="11"/>
  <c r="H18" i="11" s="1"/>
  <c r="C17" i="11"/>
  <c r="H17" i="11" s="1"/>
  <c r="C16" i="11"/>
  <c r="W5" i="11"/>
  <c r="W6" i="11"/>
  <c r="W7" i="11"/>
  <c r="W8" i="11"/>
  <c r="W9" i="11"/>
  <c r="W10" i="11"/>
  <c r="X10" i="11" s="1"/>
  <c r="W4" i="11"/>
  <c r="U5" i="11"/>
  <c r="U6" i="11"/>
  <c r="U7" i="11"/>
  <c r="U8" i="11"/>
  <c r="U9" i="11"/>
  <c r="U10" i="11"/>
  <c r="U4" i="11"/>
  <c r="S5" i="11"/>
  <c r="S6" i="11"/>
  <c r="T6" i="11" s="1"/>
  <c r="S7" i="11"/>
  <c r="S8" i="11"/>
  <c r="S9" i="11"/>
  <c r="S10" i="11"/>
  <c r="T10" i="11" s="1"/>
  <c r="S4" i="11"/>
  <c r="Q5" i="11"/>
  <c r="Q6" i="11"/>
  <c r="Q7" i="11"/>
  <c r="Q8" i="11"/>
  <c r="Q9" i="11"/>
  <c r="Q10" i="11"/>
  <c r="Q4" i="11"/>
  <c r="O5" i="11"/>
  <c r="O6" i="11"/>
  <c r="O7" i="11"/>
  <c r="O8" i="11"/>
  <c r="O9" i="11"/>
  <c r="O10" i="11"/>
  <c r="O4" i="11"/>
  <c r="M5" i="11"/>
  <c r="M6" i="11"/>
  <c r="M7" i="11"/>
  <c r="M8" i="11"/>
  <c r="M9" i="11"/>
  <c r="M10" i="11"/>
  <c r="N10" i="11" s="1"/>
  <c r="M4" i="11"/>
  <c r="K5" i="11"/>
  <c r="K6" i="11"/>
  <c r="K7" i="11"/>
  <c r="K8" i="11"/>
  <c r="K9" i="11"/>
  <c r="K10" i="11"/>
  <c r="K4" i="11"/>
  <c r="I7" i="11"/>
  <c r="I8" i="11"/>
  <c r="I9" i="11"/>
  <c r="I10" i="11"/>
  <c r="G7" i="11"/>
  <c r="C7" i="11"/>
  <c r="F7" i="11" s="1"/>
  <c r="I5" i="11"/>
  <c r="I6" i="11"/>
  <c r="I4" i="11"/>
  <c r="G10" i="11"/>
  <c r="G9" i="11"/>
  <c r="G8" i="11"/>
  <c r="G5" i="11"/>
  <c r="G6" i="11"/>
  <c r="G4" i="11"/>
  <c r="C8" i="11"/>
  <c r="C10" i="11"/>
  <c r="C5" i="11"/>
  <c r="C6" i="11"/>
  <c r="C4" i="11"/>
  <c r="C9" i="11"/>
  <c r="F9" i="11" s="1"/>
  <c r="V9" i="11" s="1"/>
  <c r="G32" i="15" l="1"/>
  <c r="G33" i="15"/>
  <c r="K12" i="15" s="1"/>
  <c r="G19" i="15"/>
  <c r="G18" i="15"/>
  <c r="J36" i="11"/>
  <c r="V4" i="11"/>
  <c r="V8" i="11"/>
  <c r="T9" i="11"/>
  <c r="X9" i="11"/>
  <c r="N7" i="11"/>
  <c r="V7" i="11"/>
  <c r="X7" i="11"/>
  <c r="T7" i="11"/>
  <c r="T8" i="11"/>
  <c r="X8" i="11"/>
  <c r="X5" i="11"/>
  <c r="J10" i="11"/>
  <c r="R10" i="11"/>
  <c r="V10" i="11"/>
  <c r="V6" i="11"/>
  <c r="H10" i="11"/>
  <c r="P10" i="11"/>
  <c r="X6" i="11"/>
  <c r="V5" i="11"/>
  <c r="T5" i="11"/>
  <c r="T4" i="11"/>
  <c r="X4" i="11"/>
  <c r="H16" i="11"/>
  <c r="H23" i="11" s="1"/>
  <c r="F23" i="11"/>
  <c r="F11" i="11"/>
  <c r="H4" i="11"/>
  <c r="J4" i="11"/>
  <c r="L8" i="11"/>
  <c r="H8" i="11"/>
  <c r="R8" i="11"/>
  <c r="P8" i="11"/>
  <c r="J8" i="11"/>
  <c r="N6" i="11"/>
  <c r="J6" i="11"/>
  <c r="H6" i="11"/>
  <c r="P5" i="11"/>
  <c r="J5" i="11"/>
  <c r="N5" i="11"/>
  <c r="L5" i="11"/>
  <c r="R5" i="11"/>
  <c r="H5" i="11"/>
  <c r="R9" i="11"/>
  <c r="J9" i="11"/>
  <c r="P9" i="11"/>
  <c r="H9" i="11"/>
  <c r="N9" i="11"/>
  <c r="L9" i="11"/>
  <c r="H7" i="11"/>
  <c r="P7" i="11"/>
  <c r="P6" i="11"/>
  <c r="R4" i="11"/>
  <c r="J7" i="11"/>
  <c r="L4" i="11"/>
  <c r="N8" i="11"/>
  <c r="R7" i="11"/>
  <c r="R6" i="11"/>
  <c r="L7" i="11"/>
  <c r="L10" i="11"/>
  <c r="L6" i="11"/>
  <c r="N4" i="11"/>
  <c r="P4" i="11"/>
  <c r="V11" i="11" l="1"/>
  <c r="T11" i="11"/>
  <c r="N11" i="11"/>
  <c r="X11" i="11"/>
  <c r="L11" i="11"/>
  <c r="R11" i="11"/>
  <c r="P11" i="11"/>
  <c r="J11" i="11"/>
  <c r="H11" i="11"/>
  <c r="K15" i="10" l="1"/>
  <c r="F8" i="15" l="1"/>
  <c r="K14" i="10"/>
  <c r="K13" i="10" s="1"/>
  <c r="G11" i="15" l="1"/>
  <c r="G10" i="15"/>
  <c r="G9" i="15"/>
  <c r="K6" i="15" s="1"/>
  <c r="F24" i="10"/>
  <c r="K24" i="10" s="1"/>
  <c r="K36" i="10"/>
  <c r="F13" i="15" l="1"/>
  <c r="K23" i="10"/>
  <c r="G15" i="15" l="1"/>
  <c r="K9" i="15" s="1"/>
  <c r="G14" i="15"/>
  <c r="F26" i="15" l="1"/>
  <c r="G29" i="15" s="1"/>
  <c r="F21" i="15"/>
  <c r="H7" i="13" l="1"/>
  <c r="G27" i="15"/>
  <c r="G28" i="15"/>
  <c r="K11" i="15" s="1"/>
  <c r="G22" i="15"/>
  <c r="G23" i="15"/>
  <c r="K10" i="15" s="1"/>
  <c r="G24" i="15"/>
  <c r="K8" i="15" s="1"/>
  <c r="H10" i="13" l="1"/>
  <c r="K7" i="15"/>
  <c r="H22" i="13" l="1"/>
  <c r="H24" i="13" s="1"/>
  <c r="L10" i="13"/>
  <c r="J7" i="13"/>
  <c r="L22" i="13" l="1"/>
</calcChain>
</file>

<file path=xl/sharedStrings.xml><?xml version="1.0" encoding="utf-8"?>
<sst xmlns="http://schemas.openxmlformats.org/spreadsheetml/2006/main" count="2238" uniqueCount="382">
  <si>
    <t xml:space="preserve">kiÕn tróc </t>
  </si>
  <si>
    <t>X©y bËc tam cÊp g¹ch thÎ 5x10x20cm, v÷a XM m¸c 50</t>
  </si>
  <si>
    <t>m3</t>
  </si>
  <si>
    <t>L¸t bËc tam cÊp ®¸ granite tù nhiªn mµu vµng</t>
  </si>
  <si>
    <t>m2</t>
  </si>
  <si>
    <t>X©y t­êng g¹ch bª t«ng 10x20x40cm, t­êng dµy &lt;=30cm, v÷a XM m¸c 50</t>
  </si>
  <si>
    <t>X©y bËc c.thang g¹ch thÎ 5x10x20, cao &lt;=50m, v÷a XM m¸c 50</t>
  </si>
  <si>
    <t>L¸t cÇu thang ®¸ granite tù nhiªn mµu vµng</t>
  </si>
  <si>
    <t xml:space="preserve">S¶n xuÊt l¾p dùng lan can cÇu thang b»ng thÐp </t>
  </si>
  <si>
    <t>S¶n xuÊt l¾p dùng tay vÞn lan can cÇu thang b»ng gç 100x170mm</t>
  </si>
  <si>
    <t>md</t>
  </si>
  <si>
    <t>C«ng t¸c èp ®¸ granit tù nhiªn vµo cét</t>
  </si>
  <si>
    <t>C«ng t¸c èp g¹ch vµo t­êng, g¹ch 300x600mm mµu tr¾ng</t>
  </si>
  <si>
    <t>Tr¸t trÇn, v÷a XM m¸c 75</t>
  </si>
  <si>
    <t>Tr¸t xµ dÇm, v÷a XM m¸c 75</t>
  </si>
  <si>
    <t>Tr¸t trô cét, cÇu thang, dµy 1,5cm, v÷a XM m¸c 75</t>
  </si>
  <si>
    <t>Tr¸t t­êng ngoµi, dµy 1,5cm, v÷a XM m¸c 75</t>
  </si>
  <si>
    <t>Tr¸t t­êng trong, dµy 1,5cm, v÷a XM m¸c 75</t>
  </si>
  <si>
    <t>S¬n t­êng ngoµi nhµ kh«ng b¶, 1 n­íc lãt, 2 n­íc phñ</t>
  </si>
  <si>
    <t>S¬n dÇm, trÇn, cét, t­êng trong nhµ kh«ng b¶, 1 n­íc lãt, 2 phñ</t>
  </si>
  <si>
    <t>L¸t nÒn, sµn b»ng g¹ch ceramic 600x600mm mµu vµng nh¹t</t>
  </si>
  <si>
    <t>L¸t nÒn b»ng g¹ch Granit 800x800mm mµu vµng nh¹t</t>
  </si>
  <si>
    <t>L¸t nÒn b»ng g¹ch ceramic chèng tr¬n 400x400mm</t>
  </si>
  <si>
    <t>Gia c«ng l¾p ®Æt mÆt sµn b»ng gç v¸n c«ng nghiÖp</t>
  </si>
  <si>
    <t xml:space="preserve">Tr¶i sµn b»ng tÊm th¶m hoa v¨n </t>
  </si>
  <si>
    <t>L¸ng nÒn sµn kh«ng ®¸nh mÇu, dµy 3cm, v÷a XM m¸c 100</t>
  </si>
  <si>
    <t>Lµm trÇn ph¼ng b»ng tÊm th¹ch cao (khung x­¬ng RONDO, tÊm th¹ch cao ELEPHANR BRAND)</t>
  </si>
  <si>
    <t>Lµm trÇn ph¼ng b»ng tÊm th¹ch cao chÞu n­íc (khung x­¬ng RONDO, tÊm th¹ch cao ELEPHANR BRAND)</t>
  </si>
  <si>
    <t>Lµm trÇn giËt cÊp b»ng tÊm th¹ch cao (khung x­¬ng RONDO, tÊm th¹ch cao ELEPHANR BRAND)</t>
  </si>
  <si>
    <t>Bª t«ng s¶n xuÊt b»ng m¸y trén - ®æ b»ng thñ c«ng, bª t«ng gi»ng lan can m¸i, ®¸ 1x2, v÷a m¸c 250</t>
  </si>
  <si>
    <t>V¸n khu«n cho bª t«ng ®æ t¹i chç, v¸n khu«n gç, v¸n khu«n gi»ng lan can m¸i</t>
  </si>
  <si>
    <t>100m2</t>
  </si>
  <si>
    <t>C«ng t¸c s¶n xuÊt l¾p dùng cèt thÐp bª t«ng t¹i chç, cèt thÐp gi»ng lan can m¸i, ®­êng kÝnh &lt;=10 mm, ë ®é cao &lt;=50m</t>
  </si>
  <si>
    <t>tÊn</t>
  </si>
  <si>
    <t>C«ng t¸c s¶n xuÊt l¾p dùng cèt thÐp bª t«ng t¹i chç, cèt thÐp gi»ng lan can m¸i, ®­êng kÝnh &lt;=18mm, ë ®é cao &lt;=50m</t>
  </si>
  <si>
    <t>S¶n xuÊt l¾p dùng lan can m¸i b»ng thÐp ®Æc 17x17mm</t>
  </si>
  <si>
    <t>S¶n xuÊt xµ gå thÐp hép</t>
  </si>
  <si>
    <t>L¾p dùng xµ gå thÐp hép</t>
  </si>
  <si>
    <t>Lîp m¸i t«n mói mµu xanh</t>
  </si>
  <si>
    <t>QuÐt flinkote chèng thÊm m¸i</t>
  </si>
  <si>
    <t>L¸t g¹ch chèng nãng b»ng g¹ch 4 lç 22x10,5x15cm</t>
  </si>
  <si>
    <t>L¸t m¸i g¹ch gèm 300x300mm mµu ®á</t>
  </si>
  <si>
    <t>èp trang trÝ b»ng tÊm nh«m ®óc s¬n gi¶ ®ång</t>
  </si>
  <si>
    <t xml:space="preserve">S¶n suÊt l¾p dùng m¸i s¶nh b»ng kÝnh temper dµy 12mm </t>
  </si>
  <si>
    <t>S¶n xuÊt l¾p dùng cöa ®i khung nh«m ®Þnh h×nh dµy 1,4mm, kÝnh c­êng lùc dµy 10mm</t>
  </si>
  <si>
    <t>S¶n xuÊt l¾p dùng cöa ®i khung nh«m ®Þnh h×nh dµy 1,4mm, kÝnh c­êng lùc dµy 10mm bäc nÖm mót c¸ch ©m</t>
  </si>
  <si>
    <t>S¶n xuÊt l¾p dùng cöa thÐp chèng ch¸y</t>
  </si>
  <si>
    <t>S¶n xuÊt l¾p dùng cöa gç lim</t>
  </si>
  <si>
    <t>S¶n xuÊt l¾p dùng khu«n cöa kÐp 60x250 + nÑp gç lim</t>
  </si>
  <si>
    <t>S¶n xuÊt l¾p dùng cöa sæ khung nh«m ®Þnh h×nh dµy 1,4mm, kÝnh c­êng lùc dµy 10mm</t>
  </si>
  <si>
    <t>S¶n xuÊt l¾p dùng v¸ch khung nh«m ®Þnh h×nh dµy 1,4mm, kÝnh c­êng lùc dµy 10mm</t>
  </si>
  <si>
    <t>S¶n xuÊt l¾p dùng hoa s¾t trang trÝ</t>
  </si>
  <si>
    <t>L¾p dùng dµn gi¸o thÐp thi c«ng ngoµi, chiÒu cao &lt;=50m</t>
  </si>
  <si>
    <t>L¾p dùng dµn gi¸o thÐp thi c«ng trong, chiÒu cao cao chuÈn 3,6m</t>
  </si>
  <si>
    <t>L¾p dùng dµn gi¸o thÐp thi c«ng trong, mçi 1,2m t¨ng thªm</t>
  </si>
  <si>
    <t>Tầng 2</t>
  </si>
  <si>
    <t>STT
(No)</t>
  </si>
  <si>
    <t>Hạng mục
(Type)</t>
  </si>
  <si>
    <t>Vị trí
(Location)</t>
  </si>
  <si>
    <t>Đơn vị
(Unit)</t>
  </si>
  <si>
    <t>Số lượng
(Number)</t>
  </si>
  <si>
    <t>Kích thước (m)
(Dimension)</t>
  </si>
  <si>
    <t>Ghi chú
(Notes)</t>
  </si>
  <si>
    <t>(1)</t>
  </si>
  <si>
    <t>(2)</t>
  </si>
  <si>
    <t>(3)</t>
  </si>
  <si>
    <t>(4)</t>
  </si>
  <si>
    <t>(5)</t>
  </si>
  <si>
    <t>(6)</t>
  </si>
  <si>
    <t>(7)</t>
  </si>
  <si>
    <t>(9)</t>
  </si>
  <si>
    <t>(10)</t>
  </si>
  <si>
    <t>(11)</t>
  </si>
  <si>
    <t>(12)</t>
  </si>
  <si>
    <t>Công thức
(Formula)</t>
  </si>
  <si>
    <t>N*L*W*H</t>
  </si>
  <si>
    <t>Dài
(L)</t>
  </si>
  <si>
    <t>Rộng
(W)</t>
  </si>
  <si>
    <t>Cao
(H)</t>
  </si>
  <si>
    <t>Trừ giao cột</t>
  </si>
  <si>
    <t>Cột tầng 1</t>
  </si>
  <si>
    <t>P1</t>
  </si>
  <si>
    <t>P2</t>
  </si>
  <si>
    <t>P3</t>
  </si>
  <si>
    <t>P4</t>
  </si>
  <si>
    <t>P5</t>
  </si>
  <si>
    <t>P6</t>
  </si>
  <si>
    <t>P7</t>
  </si>
  <si>
    <t>L</t>
  </si>
  <si>
    <t>W</t>
  </si>
  <si>
    <t>D</t>
  </si>
  <si>
    <t>S</t>
  </si>
  <si>
    <t>Hệ số S</t>
  </si>
  <si>
    <t>Hệ số</t>
  </si>
  <si>
    <t>Stp</t>
  </si>
  <si>
    <t>Loại 1</t>
  </si>
  <si>
    <t>Loại 2</t>
  </si>
  <si>
    <t>Loại 3</t>
  </si>
  <si>
    <t>Loại 4</t>
  </si>
  <si>
    <t>Loại 5</t>
  </si>
  <si>
    <t>Loại 6</t>
  </si>
  <si>
    <t>Loại 7</t>
  </si>
  <si>
    <t>2D</t>
  </si>
  <si>
    <t>2'D</t>
  </si>
  <si>
    <t>1D</t>
  </si>
  <si>
    <t>3*D</t>
  </si>
  <si>
    <t>3A</t>
  </si>
  <si>
    <t>2*'D</t>
  </si>
  <si>
    <t>Loại 8</t>
  </si>
  <si>
    <t>Loại 9</t>
  </si>
  <si>
    <t>5D</t>
  </si>
  <si>
    <t>1C*</t>
  </si>
  <si>
    <t>1B*</t>
  </si>
  <si>
    <t>Cột sảnh chính</t>
  </si>
  <si>
    <t>5*A</t>
  </si>
  <si>
    <t>4*A</t>
  </si>
  <si>
    <t>Trừ giao cột sảnh chính</t>
  </si>
  <si>
    <t>`</t>
  </si>
  <si>
    <t>Loại 0</t>
  </si>
  <si>
    <t>Trừ giao cột tầng 1</t>
  </si>
  <si>
    <t>2A</t>
  </si>
  <si>
    <t/>
  </si>
  <si>
    <t>Đơn vị</t>
  </si>
  <si>
    <t>(8)</t>
  </si>
  <si>
    <t>Khác
(D)</t>
  </si>
  <si>
    <t>Tổng cộng</t>
  </si>
  <si>
    <t>Đào móng</t>
  </si>
  <si>
    <t>Móng</t>
  </si>
  <si>
    <t>M1</t>
  </si>
  <si>
    <t>M2</t>
  </si>
  <si>
    <t>GM1</t>
  </si>
  <si>
    <t>GM2</t>
  </si>
  <si>
    <t>Bể nước</t>
  </si>
  <si>
    <t>Bể phốt</t>
  </si>
  <si>
    <t>N*(L+W)*H*2</t>
  </si>
  <si>
    <t>Trừ giao GM</t>
  </si>
  <si>
    <t>N*(L+W)*2*H</t>
  </si>
  <si>
    <t>Cốp pha móng</t>
  </si>
  <si>
    <t>Ván khuôn cổ cột</t>
  </si>
  <si>
    <t>Cos +0.775</t>
  </si>
  <si>
    <t>Cos -0.100</t>
  </si>
  <si>
    <t>Ván khuôn giằng tường</t>
  </si>
  <si>
    <t>Xây gạch móng, gạch chỉ, vữa XM mác 75</t>
  </si>
  <si>
    <t>PHẦN MÓNG</t>
  </si>
  <si>
    <t>Bể ngầm</t>
  </si>
  <si>
    <t>Móng bể phốt</t>
  </si>
  <si>
    <t>Móng bể nước</t>
  </si>
  <si>
    <t>Nắp bể nước</t>
  </si>
  <si>
    <t>Trừ nắp bể nước</t>
  </si>
  <si>
    <t>Nắp bể phốt</t>
  </si>
  <si>
    <t>Cạnh nắp bể nước</t>
  </si>
  <si>
    <t>Trát ngoài bể ngầm, dày 1.5cm vữa XM mác 75</t>
  </si>
  <si>
    <t>Trát trong bể ngầm, dày 1.5cm vữa XM mác 75</t>
  </si>
  <si>
    <t>Đánh màu bể ngầm 2 lớp</t>
  </si>
  <si>
    <t>Bê tông nền mác 250, đá 1x2</t>
  </si>
  <si>
    <t>Bê tông lót móng</t>
  </si>
  <si>
    <t>Bê tông lót bể ngầm</t>
  </si>
  <si>
    <t>Bê tông móng</t>
  </si>
  <si>
    <t>Bê tông giằng tường</t>
  </si>
  <si>
    <t>Bê tông cổ cột</t>
  </si>
  <si>
    <t>Gạch xây móng</t>
  </si>
  <si>
    <t>Đào bể ngầm</t>
  </si>
  <si>
    <t>Đắp đến cos +0.825</t>
  </si>
  <si>
    <t>Trục A-B</t>
  </si>
  <si>
    <t>Trục B-C (sàn WC)</t>
  </si>
  <si>
    <t>Trục B-C (cos +0.825)</t>
  </si>
  <si>
    <t>Cầu thang (cos+0.00-+0.825)</t>
  </si>
  <si>
    <t>Tầng 1</t>
  </si>
  <si>
    <t>Trục A</t>
  </si>
  <si>
    <t>Trục D</t>
  </si>
  <si>
    <t>Trục A,B</t>
  </si>
  <si>
    <t>Trục C,D</t>
  </si>
  <si>
    <t>Trục B,C</t>
  </si>
  <si>
    <t>Trục A, B</t>
  </si>
  <si>
    <t>Trục C</t>
  </si>
  <si>
    <t>Tầng 3</t>
  </si>
  <si>
    <t>Tầng 3,4,5</t>
  </si>
  <si>
    <t>Tầng 6</t>
  </si>
  <si>
    <t>Ván khuôn cột</t>
  </si>
  <si>
    <t>Cos +3.15</t>
  </si>
  <si>
    <t>D1</t>
  </si>
  <si>
    <t>D2</t>
  </si>
  <si>
    <t>Cos +3.675</t>
  </si>
  <si>
    <t>D2'</t>
  </si>
  <si>
    <t>Tầng 3,4,5,6</t>
  </si>
  <si>
    <t>Tầng tum</t>
  </si>
  <si>
    <t>Ván khuôn dầm</t>
  </si>
  <si>
    <t>N*L*(W+2H)</t>
  </si>
  <si>
    <t>Trừ ô thang</t>
  </si>
  <si>
    <t>Trừ hộp KT</t>
  </si>
  <si>
    <t>Bù sàn WC</t>
  </si>
  <si>
    <t>Trừ ô ban công</t>
  </si>
  <si>
    <t>Ván khuôn sàn mái</t>
  </si>
  <si>
    <t>Trục A-B (bao dầm)</t>
  </si>
  <si>
    <t>Trục A-B (đáy sàn)</t>
  </si>
  <si>
    <t>Thành hộp KT</t>
  </si>
  <si>
    <t>Trục B-D (bao dầm)</t>
  </si>
  <si>
    <t>Trục B-C (đáy sàn)</t>
  </si>
  <si>
    <t>Trục C-D (đáy sàn)</t>
  </si>
  <si>
    <t>Ngoài trục D (đáy sàn)</t>
  </si>
  <si>
    <t>Thành ô thang</t>
  </si>
  <si>
    <t>Bao thành dầm</t>
  </si>
  <si>
    <t>Ngoài trục A (đáy sàn)</t>
  </si>
  <si>
    <t>Sàn WC</t>
  </si>
  <si>
    <t>Thành ban công</t>
  </si>
  <si>
    <t>Bản thang 1</t>
  </si>
  <si>
    <t>N*(L^2+W^2)^(1/2)*H</t>
  </si>
  <si>
    <t>Chiếu nghỉ 1</t>
  </si>
  <si>
    <t>Bản thang 2</t>
  </si>
  <si>
    <t>Bản thang 3</t>
  </si>
  <si>
    <t>Chiếu nghỉ 2</t>
  </si>
  <si>
    <t>Tầng 2,3,4,5</t>
  </si>
  <si>
    <t>N*(L^2+W^2)^(1/2)*H*D</t>
  </si>
  <si>
    <t>Ván khuôn cầu thang</t>
  </si>
  <si>
    <t>Trục 3</t>
  </si>
  <si>
    <t xml:space="preserve">Trục B-C </t>
  </si>
  <si>
    <t>Trừ cửa trục A</t>
  </si>
  <si>
    <t>Trục 2</t>
  </si>
  <si>
    <t>Trục 2,3</t>
  </si>
  <si>
    <t xml:space="preserve">Ngoài trục D </t>
  </si>
  <si>
    <t>Trừ cửa kính</t>
  </si>
  <si>
    <t>Trục B-C</t>
  </si>
  <si>
    <t>Trục C-D</t>
  </si>
  <si>
    <t>Trừ cửa sổ</t>
  </si>
  <si>
    <t>Trừ lanh tô cửa sổ</t>
  </si>
  <si>
    <t>Trục B</t>
  </si>
  <si>
    <t>Nhà WC</t>
  </si>
  <si>
    <t>Trừ cửa WC</t>
  </si>
  <si>
    <t>Trừ cửa trục C</t>
  </si>
  <si>
    <t xml:space="preserve">Ngoài trục A </t>
  </si>
  <si>
    <t>Hộp KT</t>
  </si>
  <si>
    <t>Ngoài trục A</t>
  </si>
  <si>
    <t>WC</t>
  </si>
  <si>
    <t>Sảnh thang</t>
  </si>
  <si>
    <t>Trừ cửa sảnh thang</t>
  </si>
  <si>
    <t>Phòng xông hơi</t>
  </si>
  <si>
    <t>Trừ cửa phòng xông hơi</t>
  </si>
  <si>
    <t>Tầng 4,5</t>
  </si>
  <si>
    <t>Tường lan can</t>
  </si>
  <si>
    <t>Cửa phòng WC</t>
  </si>
  <si>
    <t>Bậc 5</t>
  </si>
  <si>
    <t>Bậc 6-8</t>
  </si>
  <si>
    <t>Bậc 1-3</t>
  </si>
  <si>
    <t>Bậc 1-2</t>
  </si>
  <si>
    <t>Bậc 3-6</t>
  </si>
  <si>
    <t>Bậc 7-13</t>
  </si>
  <si>
    <t>Bậc 9-12</t>
  </si>
  <si>
    <t>Bậc 13-15</t>
  </si>
  <si>
    <t>Bậc 16-18</t>
  </si>
  <si>
    <t>Bậc 5-7</t>
  </si>
  <si>
    <t>Bậc 7-10</t>
  </si>
  <si>
    <t>Bậc 11-13</t>
  </si>
  <si>
    <t>Bậc 14-16</t>
  </si>
  <si>
    <t>Lát gạch 600x600</t>
  </si>
  <si>
    <t>Tầng 4,5,6</t>
  </si>
  <si>
    <t>Sảnh thang+bếp</t>
  </si>
  <si>
    <t>L: Diện tích đo CAD</t>
  </si>
  <si>
    <t>Phòng khách</t>
  </si>
  <si>
    <t>Phòng giúp việc</t>
  </si>
  <si>
    <t>Phòng ngủ master</t>
  </si>
  <si>
    <t>Phòng thay đồ+xông hơi</t>
  </si>
  <si>
    <t>Phòng ngủ 1</t>
  </si>
  <si>
    <t>Phòng ngủ 2</t>
  </si>
  <si>
    <t>Sân thể dục</t>
  </si>
  <si>
    <t>Sân phơi</t>
  </si>
  <si>
    <t>Thống kê cửa</t>
  </si>
  <si>
    <t>Cửa cuốn</t>
  </si>
  <si>
    <t>Cửa kính</t>
  </si>
  <si>
    <t>Cửa nhựa lõi thép</t>
  </si>
  <si>
    <t>Vách kính</t>
  </si>
  <si>
    <t>CK1</t>
  </si>
  <si>
    <t>CC</t>
  </si>
  <si>
    <t>SW1</t>
  </si>
  <si>
    <t>WC1</t>
  </si>
  <si>
    <t>VK1</t>
  </si>
  <si>
    <t>S1</t>
  </si>
  <si>
    <t>SW2</t>
  </si>
  <si>
    <t>Cửa nhựa lõi thép trong kính ngoài chớp</t>
  </si>
  <si>
    <t>Cửa kéo</t>
  </si>
  <si>
    <t>Trát ngoài, dày 1,5cm, vữa #75</t>
  </si>
  <si>
    <t>Trục 2, 3</t>
  </si>
  <si>
    <t>Trục A,D</t>
  </si>
  <si>
    <t>Trừ cửa đi</t>
  </si>
  <si>
    <t>Lan can tầng thượng</t>
  </si>
  <si>
    <t>Trát trong dày 1,5cm, vữa #75</t>
  </si>
  <si>
    <t>Trừ cửa nhà WC</t>
  </si>
  <si>
    <t>Sảnh cầu thang</t>
  </si>
  <si>
    <t>Trừ cửa</t>
  </si>
  <si>
    <t>Giếng trời</t>
  </si>
  <si>
    <t>Trừ cửa sổ đôi</t>
  </si>
  <si>
    <t>Phòng WC</t>
  </si>
  <si>
    <t>Hành lang</t>
  </si>
  <si>
    <t>Trừ cửa kéo</t>
  </si>
  <si>
    <t>Trục 2 (B-C)</t>
  </si>
  <si>
    <t>Trục 3(B-C)</t>
  </si>
  <si>
    <t>Trát má cạnh cửa, vữa XM M75, dày 1,5cm</t>
  </si>
  <si>
    <t>N*(L+2*W)*H</t>
  </si>
  <si>
    <t>N*2*(L+W)*H</t>
  </si>
  <si>
    <t>STT</t>
  </si>
  <si>
    <t>Nội dung</t>
  </si>
  <si>
    <t>KL</t>
  </si>
  <si>
    <t>Đơn giá</t>
  </si>
  <si>
    <t>Ghi chú</t>
  </si>
  <si>
    <t>TỔNG CỘNG</t>
  </si>
  <si>
    <t>DỰ ÁN: NHÀ ANH TRÍ - 6 TẦNG</t>
  </si>
  <si>
    <r>
      <rPr>
        <b/>
        <sz val="28"/>
        <rFont val="Segoe UI"/>
        <family val="2"/>
      </rPr>
      <t xml:space="preserve">BẢNG DIỄN GIẢI KHỐI LƯỢNG CÔNG VIỆC </t>
    </r>
    <r>
      <rPr>
        <b/>
        <sz val="24"/>
        <rFont val="Segoe UI"/>
        <family val="2"/>
      </rPr>
      <t xml:space="preserve">
</t>
    </r>
  </si>
  <si>
    <t>PHẦN HOÀN THIỆN</t>
  </si>
  <si>
    <t>BẢNG GIÁ VỐN THI CÔNG</t>
  </si>
  <si>
    <t>Vật liệu</t>
  </si>
  <si>
    <t>Nhân công</t>
  </si>
  <si>
    <t>Tổng giá</t>
  </si>
  <si>
    <t>(7)=(5)+(6)</t>
  </si>
  <si>
    <t>Thành tiền</t>
  </si>
  <si>
    <t>Lát gạch đất nung 300x300</t>
  </si>
  <si>
    <t>Lát bậc cầu thang bằng gạch vân gỗ</t>
  </si>
  <si>
    <t>Lát gạch vân gỗ</t>
  </si>
  <si>
    <t>Cầu thang</t>
  </si>
  <si>
    <t>(10)=(8)+(9)</t>
  </si>
  <si>
    <t>Bê tông cổ cột, M250, đá 1x2, thủ công</t>
  </si>
  <si>
    <t>Bê tông giằng tường, đá 1x2, mác 250, thủ công</t>
  </si>
  <si>
    <t>Cốt thép móng</t>
  </si>
  <si>
    <t>kg</t>
  </si>
  <si>
    <t>Cốt thép cột</t>
  </si>
  <si>
    <t>Cốt thép dầm</t>
  </si>
  <si>
    <t>Cốt thép sàn</t>
  </si>
  <si>
    <t>Cốt thép cầu thang</t>
  </si>
  <si>
    <t>bộ</t>
  </si>
  <si>
    <t>Cát đen</t>
  </si>
  <si>
    <t>Trát 1.5 #75</t>
  </si>
  <si>
    <t>Gạch chỉ</t>
  </si>
  <si>
    <t>Xây tường 220, gạch chỉ, vữa XM M75</t>
  </si>
  <si>
    <t>Xây tường 110, gạch chỉ, vữa XM M75</t>
  </si>
  <si>
    <t>Xây bậc cầu thang,gạch chỉ, vữa MX M75</t>
  </si>
  <si>
    <t>Bê tông lót M100</t>
  </si>
  <si>
    <t>Khối lượng</t>
  </si>
  <si>
    <t>Đá 4x6</t>
  </si>
  <si>
    <t>Cát vàng</t>
  </si>
  <si>
    <t>Đá 1x2</t>
  </si>
  <si>
    <t>Bê tông M250</t>
  </si>
  <si>
    <t>Xây gạch 220, M75</t>
  </si>
  <si>
    <t>Xây gạch 110, M75</t>
  </si>
  <si>
    <t>Xi măng PC30</t>
  </si>
  <si>
    <t>Cát đen xây dựng</t>
  </si>
  <si>
    <t>Trát 1.5 #75, má cửa</t>
  </si>
  <si>
    <t>Lát nền (chung)</t>
  </si>
  <si>
    <t>Khác</t>
  </si>
  <si>
    <t>viên</t>
  </si>
  <si>
    <t>m</t>
  </si>
  <si>
    <t>cái</t>
  </si>
  <si>
    <t>Bê tông lót móng M100, đá 1x2</t>
  </si>
  <si>
    <t>Phá dỡ, vẫn chuyển, tạo mặt bằng thi công</t>
  </si>
  <si>
    <t>Cung cấp, thi công cọc 200x200</t>
  </si>
  <si>
    <t>Đắp cát đen, độ chặt K90</t>
  </si>
  <si>
    <t>Thi công đào đất móng, vận chuyển ra khỏi công trường</t>
  </si>
  <si>
    <t>PHẦN XÂY THÔ</t>
  </si>
  <si>
    <t>Sơn chống thấm tường</t>
  </si>
  <si>
    <t>Vận chuyển phế thải thi công</t>
  </si>
  <si>
    <t>Vệ sinh tổng thể</t>
  </si>
  <si>
    <t>Lan can cầu thang</t>
  </si>
  <si>
    <t>Lan can ban công</t>
  </si>
  <si>
    <t>Ốp gạch nhà WC gạch chống trơn 300x300</t>
  </si>
  <si>
    <t>Trừ diện tích ốp gạch</t>
  </si>
  <si>
    <t>Ốp gạch thẻ ngoài nhà</t>
  </si>
  <si>
    <t>Bê tông móng M250, đá 1x2, bê tông thương phẩm</t>
  </si>
  <si>
    <t>Bê tông cột mác 250, đá 1x2, bê tông thương phẩm</t>
  </si>
  <si>
    <t>Bê tông dầm mác 250, đá 1x2, bê tông thương phẩm</t>
  </si>
  <si>
    <t>Bê tông cầu thang mác 250, đá 1x2, bê tông thương phẩm</t>
  </si>
  <si>
    <t>Bê tông sàn mái, mác 250, đá 1x2, bê tông thương phẩm</t>
  </si>
  <si>
    <t>Láng nền dày 4cm, vữa XM mác 100</t>
  </si>
  <si>
    <t>Trát trần, vữa XM M75, dày 1.5cm</t>
  </si>
  <si>
    <t xml:space="preserve">Sơn trong nhà chưa bả, 2 lót 1 phủ </t>
  </si>
  <si>
    <t>Tường xây</t>
  </si>
  <si>
    <t>Trát</t>
  </si>
  <si>
    <t>Thép</t>
  </si>
  <si>
    <t>Gạch lát 400 x400</t>
  </si>
  <si>
    <t>Cửa đi</t>
  </si>
  <si>
    <t>Của sổ</t>
  </si>
  <si>
    <t>CÔNG THỢ</t>
  </si>
  <si>
    <t>Mái tôn</t>
  </si>
  <si>
    <t>Vệ sinh</t>
  </si>
  <si>
    <t>Điện nước</t>
  </si>
  <si>
    <t>Công trình : Nhà Chú 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</si>
</sst>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0.000"/>
    <numFmt numFmtId="167" formatCode="#,##0.000;[Red]#,##0.000"/>
    <numFmt numFmtId="168" formatCode="0.0"/>
    <numFmt numFmtId="169" formatCode="_-* #,##0.00_-;\-* #,##0.00_-;_-* &quot;-&quot;??_-;_-@_-"/>
    <numFmt numFmtId="170" formatCode="#,##0.000"/>
    <numFmt numFmtId="171" formatCode="_(* #,##0.000_);_(* \(#,##0.000\);_(* &quot;-&quot;??_);_(@_)"/>
    <numFmt numFmtId="172" formatCode="#,##0.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.VnTime"/>
      <family val="2"/>
    </font>
    <font>
      <b/>
      <sz val="12"/>
      <color theme="1"/>
      <name val=".VnTimeH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4"/>
      <name val="Segoe UI"/>
      <family val="2"/>
    </font>
    <font>
      <b/>
      <sz val="28"/>
      <name val="Segoe UI"/>
      <family val="2"/>
    </font>
    <font>
      <sz val="24"/>
      <name val="Segoe UI"/>
      <family val="2"/>
    </font>
    <font>
      <sz val="15"/>
      <name val="Segoe UI"/>
      <family val="2"/>
    </font>
    <font>
      <i/>
      <sz val="15"/>
      <name val="Segoe UI"/>
      <family val="2"/>
    </font>
    <font>
      <b/>
      <sz val="14"/>
      <name val="Segoe UI"/>
      <family val="2"/>
    </font>
    <font>
      <sz val="14"/>
      <name val="Segoe UI"/>
      <family val="2"/>
    </font>
    <font>
      <b/>
      <sz val="12"/>
      <name val="Segoe UI"/>
      <family val="2"/>
    </font>
    <font>
      <sz val="12"/>
      <name val="Segoe UI"/>
      <family val="2"/>
    </font>
    <font>
      <b/>
      <sz val="13"/>
      <name val="Segoe UI"/>
      <family val="2"/>
    </font>
    <font>
      <sz val="13"/>
      <name val="Segoe UI"/>
      <family val="2"/>
    </font>
    <font>
      <b/>
      <sz val="13"/>
      <color rgb="FFFF0000"/>
      <name val="Segoe UI"/>
      <family val="2"/>
    </font>
    <font>
      <b/>
      <i/>
      <u/>
      <sz val="13"/>
      <name val="Segoe UI"/>
      <family val="2"/>
    </font>
    <font>
      <b/>
      <u/>
      <sz val="13"/>
      <name val="Segoe UI"/>
      <family val="2"/>
    </font>
    <font>
      <sz val="10"/>
      <name val="VNI-Avo"/>
    </font>
    <font>
      <sz val="11"/>
      <name val="Segoe UI"/>
      <family val="2"/>
    </font>
    <font>
      <sz val="10"/>
      <name val="Segoe UI"/>
      <family val="2"/>
    </font>
    <font>
      <b/>
      <sz val="16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1" fillId="0" borderId="0"/>
  </cellStyleXfs>
  <cellXfs count="26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4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0" fillId="0" borderId="0" xfId="2" applyFont="1">
      <alignment vertical="center"/>
    </xf>
    <xf numFmtId="0" fontId="10" fillId="0" borderId="0" xfId="2" quotePrefix="1" applyNumberFormat="1" applyFont="1" applyFill="1" applyBorder="1" applyAlignment="1">
      <alignment horizontal="left" vertical="center"/>
    </xf>
    <xf numFmtId="0" fontId="10" fillId="0" borderId="0" xfId="2" applyNumberFormat="1" applyFont="1" applyFill="1" applyBorder="1" applyAlignment="1">
      <alignment wrapText="1"/>
    </xf>
    <xf numFmtId="167" fontId="10" fillId="0" borderId="0" xfId="2" applyNumberFormat="1" applyFont="1" applyFill="1" applyBorder="1" applyAlignment="1">
      <alignment horizontal="right" wrapText="1"/>
    </xf>
    <xf numFmtId="167" fontId="10" fillId="0" borderId="0" xfId="2" applyNumberFormat="1" applyFont="1" applyFill="1" applyBorder="1" applyAlignment="1">
      <alignment horizontal="center" wrapText="1"/>
    </xf>
    <xf numFmtId="167" fontId="10" fillId="0" borderId="0" xfId="2" applyNumberFormat="1" applyFont="1" applyFill="1" applyBorder="1" applyAlignment="1">
      <alignment horizontal="right" vertical="center"/>
    </xf>
    <xf numFmtId="167" fontId="11" fillId="0" borderId="0" xfId="2" applyNumberFormat="1" applyFont="1" applyFill="1" applyBorder="1" applyAlignment="1">
      <alignment vertical="center"/>
    </xf>
    <xf numFmtId="166" fontId="11" fillId="0" borderId="0" xfId="2" applyNumberFormat="1" applyFont="1" applyFill="1" applyBorder="1" applyAlignment="1">
      <alignment vertical="center"/>
    </xf>
    <xf numFmtId="0" fontId="10" fillId="0" borderId="0" xfId="2" applyNumberFormat="1" applyFont="1" applyFill="1" applyBorder="1" applyAlignment="1">
      <alignment horizontal="left" wrapText="1"/>
    </xf>
    <xf numFmtId="0" fontId="13" fillId="0" borderId="0" xfId="2" applyFont="1">
      <alignment vertical="center"/>
    </xf>
    <xf numFmtId="0" fontId="12" fillId="3" borderId="0" xfId="2" applyFont="1" applyFill="1">
      <alignment vertical="center"/>
    </xf>
    <xf numFmtId="0" fontId="13" fillId="3" borderId="0" xfId="2" applyFont="1" applyFill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right" vertical="center"/>
    </xf>
    <xf numFmtId="166" fontId="10" fillId="0" borderId="0" xfId="2" applyNumberFormat="1" applyFont="1">
      <alignment vertical="center"/>
    </xf>
    <xf numFmtId="166" fontId="10" fillId="0" borderId="0" xfId="2" applyNumberFormat="1" applyFont="1" applyAlignment="1">
      <alignment horizontal="left" vertical="center"/>
    </xf>
    <xf numFmtId="167" fontId="16" fillId="3" borderId="15" xfId="2" applyNumberFormat="1" applyFont="1" applyFill="1" applyBorder="1" applyAlignment="1">
      <alignment horizontal="center" vertical="center" wrapText="1"/>
    </xf>
    <xf numFmtId="49" fontId="17" fillId="3" borderId="12" xfId="2" quotePrefix="1" applyNumberFormat="1" applyFont="1" applyFill="1" applyBorder="1" applyAlignment="1">
      <alignment horizontal="center" vertical="center"/>
    </xf>
    <xf numFmtId="49" fontId="17" fillId="3" borderId="13" xfId="2" applyNumberFormat="1" applyFont="1" applyFill="1" applyBorder="1" applyAlignment="1">
      <alignment horizontal="center" vertical="center"/>
    </xf>
    <xf numFmtId="49" fontId="17" fillId="3" borderId="13" xfId="2" applyNumberFormat="1" applyFont="1" applyFill="1" applyBorder="1" applyAlignment="1">
      <alignment horizontal="center" vertical="center" wrapText="1"/>
    </xf>
    <xf numFmtId="49" fontId="17" fillId="3" borderId="14" xfId="2" applyNumberFormat="1" applyFont="1" applyFill="1" applyBorder="1" applyAlignment="1">
      <alignment horizontal="center" vertical="center" wrapText="1"/>
    </xf>
    <xf numFmtId="49" fontId="17" fillId="4" borderId="41" xfId="2" quotePrefix="1" applyNumberFormat="1" applyFont="1" applyFill="1" applyBorder="1" applyAlignment="1">
      <alignment horizontal="center" vertical="center"/>
    </xf>
    <xf numFmtId="49" fontId="16" fillId="4" borderId="42" xfId="2" applyNumberFormat="1" applyFont="1" applyFill="1" applyBorder="1" applyAlignment="1">
      <alignment horizontal="center" vertical="center"/>
    </xf>
    <xf numFmtId="49" fontId="17" fillId="4" borderId="42" xfId="2" applyNumberFormat="1" applyFont="1" applyFill="1" applyBorder="1" applyAlignment="1">
      <alignment horizontal="center" vertical="center"/>
    </xf>
    <xf numFmtId="49" fontId="17" fillId="4" borderId="42" xfId="2" applyNumberFormat="1" applyFont="1" applyFill="1" applyBorder="1" applyAlignment="1">
      <alignment horizontal="center" vertical="center" wrapText="1"/>
    </xf>
    <xf numFmtId="49" fontId="17" fillId="4" borderId="43" xfId="2" applyNumberFormat="1" applyFont="1" applyFill="1" applyBorder="1" applyAlignment="1">
      <alignment horizontal="center" vertical="center" wrapText="1"/>
    </xf>
    <xf numFmtId="0" fontId="18" fillId="3" borderId="16" xfId="3" applyNumberFormat="1" applyFont="1" applyFill="1" applyBorder="1" applyAlignment="1">
      <alignment horizontal="center" vertical="center"/>
    </xf>
    <xf numFmtId="0" fontId="16" fillId="3" borderId="17" xfId="3" applyNumberFormat="1" applyFont="1" applyFill="1" applyBorder="1" applyAlignment="1">
      <alignment horizontal="left" vertical="center" wrapText="1"/>
    </xf>
    <xf numFmtId="0" fontId="19" fillId="3" borderId="17" xfId="3" applyNumberFormat="1" applyFont="1" applyFill="1" applyBorder="1" applyAlignment="1">
      <alignment horizontal="center" vertical="center"/>
    </xf>
    <xf numFmtId="0" fontId="16" fillId="3" borderId="17" xfId="3" applyNumberFormat="1" applyFont="1" applyFill="1" applyBorder="1" applyAlignment="1">
      <alignment horizontal="center" vertical="center"/>
    </xf>
    <xf numFmtId="167" fontId="20" fillId="3" borderId="17" xfId="3" applyNumberFormat="1" applyFont="1" applyFill="1" applyBorder="1" applyAlignment="1">
      <alignment horizontal="right" vertical="center"/>
    </xf>
    <xf numFmtId="167" fontId="20" fillId="3" borderId="17" xfId="3" applyNumberFormat="1" applyFont="1" applyFill="1" applyBorder="1" applyAlignment="1">
      <alignment vertical="center"/>
    </xf>
    <xf numFmtId="166" fontId="16" fillId="3" borderId="17" xfId="3" applyNumberFormat="1" applyFont="1" applyFill="1" applyBorder="1" applyAlignment="1">
      <alignment horizontal="right" vertical="center"/>
    </xf>
    <xf numFmtId="0" fontId="16" fillId="3" borderId="18" xfId="3" quotePrefix="1" applyNumberFormat="1" applyFont="1" applyFill="1" applyBorder="1" applyAlignment="1">
      <alignment horizontal="left" vertical="center"/>
    </xf>
    <xf numFmtId="0" fontId="16" fillId="3" borderId="16" xfId="3" applyNumberFormat="1" applyFont="1" applyFill="1" applyBorder="1" applyAlignment="1">
      <alignment horizontal="center" vertical="center"/>
    </xf>
    <xf numFmtId="49" fontId="16" fillId="3" borderId="18" xfId="3" quotePrefix="1" applyNumberFormat="1" applyFont="1" applyFill="1" applyBorder="1" applyAlignment="1">
      <alignment horizontal="left" vertical="center"/>
    </xf>
    <xf numFmtId="0" fontId="17" fillId="3" borderId="27" xfId="3" applyNumberFormat="1" applyFont="1" applyFill="1" applyBorder="1" applyAlignment="1">
      <alignment horizontal="center" vertical="center"/>
    </xf>
    <xf numFmtId="0" fontId="17" fillId="3" borderId="28" xfId="3" applyNumberFormat="1" applyFont="1" applyFill="1" applyBorder="1" applyAlignment="1">
      <alignment horizontal="left" vertical="center" wrapText="1"/>
    </xf>
    <xf numFmtId="0" fontId="17" fillId="3" borderId="28" xfId="3" applyNumberFormat="1" applyFont="1" applyFill="1" applyBorder="1" applyAlignment="1">
      <alignment horizontal="left" vertical="center"/>
    </xf>
    <xf numFmtId="0" fontId="17" fillId="3" borderId="28" xfId="3" applyNumberFormat="1" applyFont="1" applyFill="1" applyBorder="1" applyAlignment="1">
      <alignment horizontal="center" vertical="center"/>
    </xf>
    <xf numFmtId="168" fontId="17" fillId="3" borderId="28" xfId="3" applyNumberFormat="1" applyFont="1" applyFill="1" applyBorder="1" applyAlignment="1">
      <alignment horizontal="right" vertical="center" indent="1"/>
    </xf>
    <xf numFmtId="167" fontId="17" fillId="3" borderId="28" xfId="3" applyNumberFormat="1" applyFont="1" applyFill="1" applyBorder="1" applyAlignment="1">
      <alignment horizontal="right" vertical="center"/>
    </xf>
    <xf numFmtId="166" fontId="17" fillId="3" borderId="28" xfId="3" applyNumberFormat="1" applyFont="1" applyFill="1" applyBorder="1" applyAlignment="1">
      <alignment horizontal="right" vertical="center"/>
    </xf>
    <xf numFmtId="2" fontId="17" fillId="3" borderId="28" xfId="3" applyNumberFormat="1" applyFont="1" applyFill="1" applyBorder="1" applyAlignment="1">
      <alignment horizontal="right" vertical="center" indent="1"/>
    </xf>
    <xf numFmtId="49" fontId="17" fillId="3" borderId="29" xfId="3" applyNumberFormat="1" applyFont="1" applyFill="1" applyBorder="1" applyAlignment="1">
      <alignment horizontal="left" vertical="center"/>
    </xf>
    <xf numFmtId="0" fontId="17" fillId="3" borderId="30" xfId="3" applyNumberFormat="1" applyFont="1" applyFill="1" applyBorder="1" applyAlignment="1">
      <alignment horizontal="center" vertical="center"/>
    </xf>
    <xf numFmtId="0" fontId="17" fillId="3" borderId="1" xfId="3" applyNumberFormat="1" applyFont="1" applyFill="1" applyBorder="1" applyAlignment="1">
      <alignment horizontal="left" vertical="center" wrapText="1"/>
    </xf>
    <xf numFmtId="0" fontId="17" fillId="3" borderId="1" xfId="3" applyNumberFormat="1" applyFont="1" applyFill="1" applyBorder="1" applyAlignment="1">
      <alignment horizontal="left" vertical="center"/>
    </xf>
    <xf numFmtId="0" fontId="17" fillId="3" borderId="1" xfId="3" applyNumberFormat="1" applyFont="1" applyFill="1" applyBorder="1" applyAlignment="1">
      <alignment horizontal="center" vertical="center"/>
    </xf>
    <xf numFmtId="168" fontId="17" fillId="3" borderId="1" xfId="3" applyNumberFormat="1" applyFont="1" applyFill="1" applyBorder="1" applyAlignment="1">
      <alignment horizontal="right" vertical="center" indent="1"/>
    </xf>
    <xf numFmtId="167" fontId="17" fillId="3" borderId="1" xfId="3" applyNumberFormat="1" applyFont="1" applyFill="1" applyBorder="1" applyAlignment="1">
      <alignment horizontal="right" vertical="center"/>
    </xf>
    <xf numFmtId="166" fontId="17" fillId="3" borderId="1" xfId="3" applyNumberFormat="1" applyFont="1" applyFill="1" applyBorder="1" applyAlignment="1">
      <alignment horizontal="right" vertical="center"/>
    </xf>
    <xf numFmtId="2" fontId="17" fillId="3" borderId="1" xfId="3" applyNumberFormat="1" applyFont="1" applyFill="1" applyBorder="1" applyAlignment="1">
      <alignment horizontal="right" vertical="center" indent="1"/>
    </xf>
    <xf numFmtId="49" fontId="17" fillId="3" borderId="31" xfId="3" applyNumberFormat="1" applyFont="1" applyFill="1" applyBorder="1" applyAlignment="1">
      <alignment horizontal="left" vertical="center"/>
    </xf>
    <xf numFmtId="0" fontId="17" fillId="3" borderId="37" xfId="3" applyNumberFormat="1" applyFont="1" applyFill="1" applyBorder="1" applyAlignment="1">
      <alignment horizontal="center" vertical="center"/>
    </xf>
    <xf numFmtId="0" fontId="17" fillId="3" borderId="6" xfId="3" applyNumberFormat="1" applyFont="1" applyFill="1" applyBorder="1" applyAlignment="1">
      <alignment horizontal="left" vertical="center" wrapText="1"/>
    </xf>
    <xf numFmtId="0" fontId="17" fillId="3" borderId="6" xfId="3" applyNumberFormat="1" applyFont="1" applyFill="1" applyBorder="1" applyAlignment="1">
      <alignment horizontal="left" vertical="center"/>
    </xf>
    <xf numFmtId="49" fontId="17" fillId="3" borderId="38" xfId="3" applyNumberFormat="1" applyFont="1" applyFill="1" applyBorder="1" applyAlignment="1">
      <alignment horizontal="left" vertical="center"/>
    </xf>
    <xf numFmtId="0" fontId="17" fillId="3" borderId="32" xfId="3" applyNumberFormat="1" applyFont="1" applyFill="1" applyBorder="1" applyAlignment="1">
      <alignment horizontal="center" vertical="center"/>
    </xf>
    <xf numFmtId="0" fontId="17" fillId="3" borderId="33" xfId="3" applyNumberFormat="1" applyFont="1" applyFill="1" applyBorder="1" applyAlignment="1">
      <alignment horizontal="left" vertical="center" wrapText="1"/>
    </xf>
    <xf numFmtId="167" fontId="17" fillId="3" borderId="33" xfId="3" applyNumberFormat="1" applyFont="1" applyFill="1" applyBorder="1" applyAlignment="1">
      <alignment horizontal="right" vertical="center"/>
    </xf>
    <xf numFmtId="2" fontId="17" fillId="3" borderId="33" xfId="3" applyNumberFormat="1" applyFont="1" applyFill="1" applyBorder="1" applyAlignment="1">
      <alignment horizontal="right" vertical="center" indent="1"/>
    </xf>
    <xf numFmtId="166" fontId="17" fillId="3" borderId="33" xfId="3" applyNumberFormat="1" applyFont="1" applyFill="1" applyBorder="1" applyAlignment="1">
      <alignment horizontal="right" vertical="center"/>
    </xf>
    <xf numFmtId="49" fontId="17" fillId="3" borderId="34" xfId="3" applyNumberFormat="1" applyFont="1" applyFill="1" applyBorder="1" applyAlignment="1">
      <alignment horizontal="left" vertical="center"/>
    </xf>
    <xf numFmtId="0" fontId="17" fillId="3" borderId="35" xfId="3" applyNumberFormat="1" applyFont="1" applyFill="1" applyBorder="1" applyAlignment="1">
      <alignment horizontal="center" vertical="center"/>
    </xf>
    <xf numFmtId="0" fontId="17" fillId="3" borderId="2" xfId="3" applyNumberFormat="1" applyFont="1" applyFill="1" applyBorder="1" applyAlignment="1">
      <alignment horizontal="left" vertical="center" wrapText="1"/>
    </xf>
    <xf numFmtId="0" fontId="17" fillId="3" borderId="2" xfId="3" applyNumberFormat="1" applyFont="1" applyFill="1" applyBorder="1" applyAlignment="1">
      <alignment horizontal="left" vertical="center"/>
    </xf>
    <xf numFmtId="0" fontId="17" fillId="3" borderId="2" xfId="3" applyNumberFormat="1" applyFont="1" applyFill="1" applyBorder="1" applyAlignment="1">
      <alignment horizontal="center" vertical="center"/>
    </xf>
    <xf numFmtId="168" fontId="17" fillId="3" borderId="2" xfId="3" applyNumberFormat="1" applyFont="1" applyFill="1" applyBorder="1" applyAlignment="1">
      <alignment horizontal="right" vertical="center" indent="1"/>
    </xf>
    <xf numFmtId="167" fontId="17" fillId="3" borderId="2" xfId="3" applyNumberFormat="1" applyFont="1" applyFill="1" applyBorder="1" applyAlignment="1">
      <alignment horizontal="right" vertical="center"/>
    </xf>
    <xf numFmtId="166" fontId="17" fillId="3" borderId="2" xfId="3" applyNumberFormat="1" applyFont="1" applyFill="1" applyBorder="1" applyAlignment="1">
      <alignment horizontal="right" vertical="center"/>
    </xf>
    <xf numFmtId="2" fontId="17" fillId="3" borderId="2" xfId="3" applyNumberFormat="1" applyFont="1" applyFill="1" applyBorder="1" applyAlignment="1">
      <alignment horizontal="right" vertical="center" indent="1"/>
    </xf>
    <xf numFmtId="49" fontId="17" fillId="3" borderId="36" xfId="3" applyNumberFormat="1" applyFont="1" applyFill="1" applyBorder="1" applyAlignment="1">
      <alignment horizontal="left" vertical="center"/>
    </xf>
    <xf numFmtId="0" fontId="17" fillId="3" borderId="44" xfId="3" applyNumberFormat="1" applyFont="1" applyFill="1" applyBorder="1" applyAlignment="1">
      <alignment horizontal="center" vertical="center"/>
    </xf>
    <xf numFmtId="0" fontId="17" fillId="3" borderId="26" xfId="3" applyNumberFormat="1" applyFont="1" applyFill="1" applyBorder="1" applyAlignment="1">
      <alignment horizontal="left" vertical="center" wrapText="1"/>
    </xf>
    <xf numFmtId="49" fontId="17" fillId="3" borderId="45" xfId="3" applyNumberFormat="1" applyFont="1" applyFill="1" applyBorder="1" applyAlignment="1">
      <alignment horizontal="left" vertical="center"/>
    </xf>
    <xf numFmtId="0" fontId="17" fillId="3" borderId="11" xfId="3" applyNumberFormat="1" applyFont="1" applyFill="1" applyBorder="1" applyAlignment="1">
      <alignment horizontal="center" vertical="center"/>
    </xf>
    <xf numFmtId="0" fontId="17" fillId="3" borderId="10" xfId="3" applyNumberFormat="1" applyFont="1" applyFill="1" applyBorder="1" applyAlignment="1">
      <alignment horizontal="left" vertical="center" wrapText="1"/>
    </xf>
    <xf numFmtId="0" fontId="17" fillId="3" borderId="10" xfId="3" applyNumberFormat="1" applyFont="1" applyFill="1" applyBorder="1" applyAlignment="1">
      <alignment horizontal="left" vertical="center"/>
    </xf>
    <xf numFmtId="0" fontId="17" fillId="3" borderId="10" xfId="3" applyNumberFormat="1" applyFont="1" applyFill="1" applyBorder="1" applyAlignment="1">
      <alignment horizontal="center" vertical="center"/>
    </xf>
    <xf numFmtId="168" fontId="17" fillId="3" borderId="10" xfId="3" applyNumberFormat="1" applyFont="1" applyFill="1" applyBorder="1" applyAlignment="1">
      <alignment horizontal="right" vertical="center" indent="1"/>
    </xf>
    <xf numFmtId="167" fontId="17" fillId="3" borderId="10" xfId="3" applyNumberFormat="1" applyFont="1" applyFill="1" applyBorder="1" applyAlignment="1">
      <alignment horizontal="right" vertical="center"/>
    </xf>
    <xf numFmtId="166" fontId="17" fillId="3" borderId="10" xfId="3" applyNumberFormat="1" applyFont="1" applyFill="1" applyBorder="1" applyAlignment="1">
      <alignment horizontal="right" vertical="center"/>
    </xf>
    <xf numFmtId="2" fontId="17" fillId="3" borderId="10" xfId="3" applyNumberFormat="1" applyFont="1" applyFill="1" applyBorder="1" applyAlignment="1">
      <alignment horizontal="right" vertical="center" indent="1"/>
    </xf>
    <xf numFmtId="49" fontId="17" fillId="3" borderId="39" xfId="3" applyNumberFormat="1" applyFont="1" applyFill="1" applyBorder="1" applyAlignment="1">
      <alignment horizontal="left" vertical="center"/>
    </xf>
    <xf numFmtId="0" fontId="17" fillId="3" borderId="33" xfId="3" applyNumberFormat="1" applyFont="1" applyFill="1" applyBorder="1" applyAlignment="1">
      <alignment horizontal="left" vertical="center"/>
    </xf>
    <xf numFmtId="49" fontId="17" fillId="3" borderId="28" xfId="3" applyNumberFormat="1" applyFont="1" applyFill="1" applyBorder="1" applyAlignment="1">
      <alignment horizontal="left" vertical="center"/>
    </xf>
    <xf numFmtId="49" fontId="17" fillId="3" borderId="2" xfId="3" applyNumberFormat="1" applyFont="1" applyFill="1" applyBorder="1" applyAlignment="1">
      <alignment horizontal="left" vertical="center"/>
    </xf>
    <xf numFmtId="0" fontId="17" fillId="3" borderId="33" xfId="3" applyNumberFormat="1" applyFont="1" applyFill="1" applyBorder="1" applyAlignment="1">
      <alignment horizontal="center" vertical="center"/>
    </xf>
    <xf numFmtId="168" fontId="17" fillId="3" borderId="33" xfId="3" applyNumberFormat="1" applyFont="1" applyFill="1" applyBorder="1" applyAlignment="1">
      <alignment horizontal="right" vertical="center" indent="1"/>
    </xf>
    <xf numFmtId="0" fontId="17" fillId="3" borderId="22" xfId="3" applyNumberFormat="1" applyFont="1" applyFill="1" applyBorder="1" applyAlignment="1">
      <alignment horizontal="center" vertical="center"/>
    </xf>
    <xf numFmtId="0" fontId="17" fillId="3" borderId="23" xfId="3" applyNumberFormat="1" applyFont="1" applyFill="1" applyBorder="1" applyAlignment="1">
      <alignment horizontal="left" vertical="center" wrapText="1"/>
    </xf>
    <xf numFmtId="0" fontId="17" fillId="3" borderId="23" xfId="3" applyNumberFormat="1" applyFont="1" applyFill="1" applyBorder="1" applyAlignment="1">
      <alignment horizontal="left" vertical="center"/>
    </xf>
    <xf numFmtId="49" fontId="17" fillId="3" borderId="25" xfId="3" applyNumberFormat="1" applyFont="1" applyFill="1" applyBorder="1" applyAlignment="1">
      <alignment horizontal="left" vertical="center"/>
    </xf>
    <xf numFmtId="0" fontId="17" fillId="3" borderId="26" xfId="3" applyNumberFormat="1" applyFont="1" applyFill="1" applyBorder="1" applyAlignment="1">
      <alignment horizontal="left" vertical="center"/>
    </xf>
    <xf numFmtId="49" fontId="17" fillId="3" borderId="1" xfId="3" applyNumberFormat="1" applyFont="1" applyFill="1" applyBorder="1" applyAlignment="1">
      <alignment horizontal="left" vertical="center"/>
    </xf>
    <xf numFmtId="0" fontId="17" fillId="3" borderId="40" xfId="3" applyNumberFormat="1" applyFont="1" applyFill="1" applyBorder="1" applyAlignment="1">
      <alignment horizontal="center" vertical="center"/>
    </xf>
    <xf numFmtId="0" fontId="17" fillId="3" borderId="12" xfId="3" applyNumberFormat="1" applyFont="1" applyFill="1" applyBorder="1" applyAlignment="1">
      <alignment horizontal="center" vertical="center"/>
    </xf>
    <xf numFmtId="0" fontId="17" fillId="3" borderId="13" xfId="3" applyNumberFormat="1" applyFont="1" applyFill="1" applyBorder="1" applyAlignment="1">
      <alignment horizontal="left" vertical="center" wrapText="1"/>
    </xf>
    <xf numFmtId="0" fontId="17" fillId="3" borderId="13" xfId="3" applyNumberFormat="1" applyFont="1" applyFill="1" applyBorder="1" applyAlignment="1">
      <alignment horizontal="left" vertical="center"/>
    </xf>
    <xf numFmtId="0" fontId="17" fillId="3" borderId="13" xfId="3" applyNumberFormat="1" applyFont="1" applyFill="1" applyBorder="1" applyAlignment="1">
      <alignment horizontal="center" vertical="center"/>
    </xf>
    <xf numFmtId="168" fontId="17" fillId="3" borderId="13" xfId="3" applyNumberFormat="1" applyFont="1" applyFill="1" applyBorder="1" applyAlignment="1">
      <alignment horizontal="right" vertical="center" indent="1"/>
    </xf>
    <xf numFmtId="167" fontId="17" fillId="3" borderId="13" xfId="3" applyNumberFormat="1" applyFont="1" applyFill="1" applyBorder="1" applyAlignment="1">
      <alignment horizontal="right" vertical="center"/>
    </xf>
    <xf numFmtId="166" fontId="17" fillId="3" borderId="13" xfId="3" applyNumberFormat="1" applyFont="1" applyFill="1" applyBorder="1" applyAlignment="1">
      <alignment horizontal="right" vertical="center"/>
    </xf>
    <xf numFmtId="2" fontId="17" fillId="3" borderId="13" xfId="3" applyNumberFormat="1" applyFont="1" applyFill="1" applyBorder="1" applyAlignment="1">
      <alignment horizontal="right" vertical="center" indent="1"/>
    </xf>
    <xf numFmtId="49" fontId="17" fillId="3" borderId="14" xfId="3" applyNumberFormat="1" applyFont="1" applyFill="1" applyBorder="1" applyAlignment="1">
      <alignment horizontal="left" vertical="center"/>
    </xf>
    <xf numFmtId="0" fontId="17" fillId="3" borderId="6" xfId="3" applyNumberFormat="1" applyFont="1" applyFill="1" applyBorder="1" applyAlignment="1">
      <alignment horizontal="center" vertical="center"/>
    </xf>
    <xf numFmtId="168" fontId="17" fillId="3" borderId="6" xfId="3" applyNumberFormat="1" applyFont="1" applyFill="1" applyBorder="1" applyAlignment="1">
      <alignment horizontal="right" vertical="center" indent="1"/>
    </xf>
    <xf numFmtId="167" fontId="17" fillId="3" borderId="6" xfId="3" applyNumberFormat="1" applyFont="1" applyFill="1" applyBorder="1" applyAlignment="1">
      <alignment horizontal="right" vertical="center"/>
    </xf>
    <xf numFmtId="166" fontId="17" fillId="3" borderId="6" xfId="3" applyNumberFormat="1" applyFont="1" applyFill="1" applyBorder="1" applyAlignment="1">
      <alignment horizontal="right" vertical="center"/>
    </xf>
    <xf numFmtId="2" fontId="17" fillId="3" borderId="6" xfId="3" applyNumberFormat="1" applyFont="1" applyFill="1" applyBorder="1" applyAlignment="1">
      <alignment horizontal="right" vertical="center" indent="1"/>
    </xf>
    <xf numFmtId="0" fontId="17" fillId="3" borderId="23" xfId="3" applyNumberFormat="1" applyFont="1" applyFill="1" applyBorder="1" applyAlignment="1">
      <alignment horizontal="center" vertical="center"/>
    </xf>
    <xf numFmtId="168" fontId="17" fillId="3" borderId="23" xfId="3" applyNumberFormat="1" applyFont="1" applyFill="1" applyBorder="1" applyAlignment="1">
      <alignment horizontal="right" vertical="center" indent="1"/>
    </xf>
    <xf numFmtId="167" fontId="17" fillId="3" borderId="23" xfId="3" applyNumberFormat="1" applyFont="1" applyFill="1" applyBorder="1" applyAlignment="1">
      <alignment horizontal="right" vertical="center"/>
    </xf>
    <xf numFmtId="166" fontId="17" fillId="3" borderId="23" xfId="3" applyNumberFormat="1" applyFont="1" applyFill="1" applyBorder="1" applyAlignment="1">
      <alignment horizontal="right" vertical="center"/>
    </xf>
    <xf numFmtId="2" fontId="17" fillId="3" borderId="23" xfId="3" applyNumberFormat="1" applyFont="1" applyFill="1" applyBorder="1" applyAlignment="1">
      <alignment horizontal="right" vertical="center" indent="1"/>
    </xf>
    <xf numFmtId="0" fontId="16" fillId="3" borderId="19" xfId="3" applyNumberFormat="1" applyFont="1" applyFill="1" applyBorder="1" applyAlignment="1">
      <alignment horizontal="center" vertical="center"/>
    </xf>
    <xf numFmtId="0" fontId="16" fillId="3" borderId="20" xfId="3" applyNumberFormat="1" applyFont="1" applyFill="1" applyBorder="1" applyAlignment="1">
      <alignment horizontal="left" vertical="center" wrapText="1"/>
    </xf>
    <xf numFmtId="0" fontId="19" fillId="3" borderId="20" xfId="3" applyNumberFormat="1" applyFont="1" applyFill="1" applyBorder="1" applyAlignment="1">
      <alignment horizontal="center" vertical="center"/>
    </xf>
    <xf numFmtId="0" fontId="16" fillId="3" borderId="20" xfId="3" applyNumberFormat="1" applyFont="1" applyFill="1" applyBorder="1" applyAlignment="1">
      <alignment horizontal="center" vertical="center"/>
    </xf>
    <xf numFmtId="167" fontId="20" fillId="3" borderId="20" xfId="3" applyNumberFormat="1" applyFont="1" applyFill="1" applyBorder="1" applyAlignment="1">
      <alignment horizontal="right" vertical="center"/>
    </xf>
    <xf numFmtId="167" fontId="20" fillId="3" borderId="20" xfId="3" applyNumberFormat="1" applyFont="1" applyFill="1" applyBorder="1" applyAlignment="1">
      <alignment vertical="center"/>
    </xf>
    <xf numFmtId="166" fontId="16" fillId="3" borderId="20" xfId="3" applyNumberFormat="1" applyFont="1" applyFill="1" applyBorder="1" applyAlignment="1">
      <alignment horizontal="right" vertical="center"/>
    </xf>
    <xf numFmtId="49" fontId="16" fillId="3" borderId="21" xfId="3" quotePrefix="1" applyNumberFormat="1" applyFont="1" applyFill="1" applyBorder="1" applyAlignment="1">
      <alignment horizontal="left" vertical="center"/>
    </xf>
    <xf numFmtId="0" fontId="17" fillId="3" borderId="46" xfId="3" applyNumberFormat="1" applyFont="1" applyFill="1" applyBorder="1" applyAlignment="1">
      <alignment horizontal="center" vertical="center"/>
    </xf>
    <xf numFmtId="0" fontId="17" fillId="3" borderId="47" xfId="3" applyNumberFormat="1" applyFont="1" applyFill="1" applyBorder="1" applyAlignment="1">
      <alignment horizontal="left" vertical="center" wrapText="1"/>
    </xf>
    <xf numFmtId="0" fontId="17" fillId="3" borderId="47" xfId="3" applyNumberFormat="1" applyFont="1" applyFill="1" applyBorder="1" applyAlignment="1">
      <alignment horizontal="left" vertical="center"/>
    </xf>
    <xf numFmtId="0" fontId="17" fillId="3" borderId="47" xfId="3" applyNumberFormat="1" applyFont="1" applyFill="1" applyBorder="1" applyAlignment="1">
      <alignment horizontal="center" vertical="center"/>
    </xf>
    <xf numFmtId="168" fontId="17" fillId="3" borderId="47" xfId="3" applyNumberFormat="1" applyFont="1" applyFill="1" applyBorder="1" applyAlignment="1">
      <alignment horizontal="right" vertical="center" indent="1"/>
    </xf>
    <xf numFmtId="167" fontId="17" fillId="3" borderId="47" xfId="3" applyNumberFormat="1" applyFont="1" applyFill="1" applyBorder="1" applyAlignment="1">
      <alignment horizontal="right" vertical="center"/>
    </xf>
    <xf numFmtId="166" fontId="17" fillId="3" borderId="47" xfId="3" applyNumberFormat="1" applyFont="1" applyFill="1" applyBorder="1" applyAlignment="1">
      <alignment horizontal="right" vertical="center"/>
    </xf>
    <xf numFmtId="2" fontId="17" fillId="3" borderId="47" xfId="3" applyNumberFormat="1" applyFont="1" applyFill="1" applyBorder="1" applyAlignment="1">
      <alignment horizontal="right" vertical="center" indent="1"/>
    </xf>
    <xf numFmtId="49" fontId="17" fillId="3" borderId="48" xfId="3" applyNumberFormat="1" applyFont="1" applyFill="1" applyBorder="1" applyAlignment="1">
      <alignment horizontal="left" vertical="center"/>
    </xf>
    <xf numFmtId="0" fontId="22" fillId="0" borderId="49" xfId="7" applyFont="1" applyBorder="1" applyAlignment="1">
      <alignment vertical="center"/>
    </xf>
    <xf numFmtId="0" fontId="22" fillId="0" borderId="49" xfId="7" applyFont="1" applyBorder="1" applyAlignment="1">
      <alignment horizontal="center" vertical="center"/>
    </xf>
    <xf numFmtId="3" fontId="22" fillId="0" borderId="49" xfId="7" applyNumberFormat="1" applyFont="1" applyBorder="1" applyAlignment="1">
      <alignment horizontal="center" vertical="center"/>
    </xf>
    <xf numFmtId="0" fontId="15" fillId="0" borderId="0" xfId="7" applyFont="1" applyAlignment="1">
      <alignment vertical="center"/>
    </xf>
    <xf numFmtId="0" fontId="14" fillId="0" borderId="0" xfId="7" applyFont="1" applyAlignment="1">
      <alignment vertical="center"/>
    </xf>
    <xf numFmtId="0" fontId="23" fillId="0" borderId="0" xfId="7" applyFont="1" applyFill="1" applyAlignment="1">
      <alignment vertical="center"/>
    </xf>
    <xf numFmtId="0" fontId="15" fillId="0" borderId="0" xfId="7" applyFont="1" applyAlignment="1">
      <alignment horizontal="center" vertical="center"/>
    </xf>
    <xf numFmtId="3" fontId="15" fillId="0" borderId="0" xfId="7" applyNumberFormat="1" applyFont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7" fillId="0" borderId="0" xfId="2" applyNumberFormat="1" applyFont="1" applyFill="1" applyAlignment="1">
      <alignment vertical="center"/>
    </xf>
    <xf numFmtId="0" fontId="12" fillId="0" borderId="0" xfId="2" applyNumberFormat="1" applyFont="1" applyFill="1" applyAlignment="1">
      <alignment vertical="center"/>
    </xf>
    <xf numFmtId="0" fontId="24" fillId="0" borderId="0" xfId="2" applyNumberFormat="1" applyFont="1" applyFill="1" applyAlignment="1">
      <alignment vertical="center"/>
    </xf>
    <xf numFmtId="49" fontId="26" fillId="0" borderId="10" xfId="7" applyNumberFormat="1" applyFont="1" applyFill="1" applyBorder="1" applyAlignment="1">
      <alignment horizontal="center" vertical="center"/>
    </xf>
    <xf numFmtId="49" fontId="26" fillId="0" borderId="10" xfId="7" applyNumberFormat="1" applyFont="1" applyFill="1" applyBorder="1" applyAlignment="1">
      <alignment horizontal="center" vertical="center" wrapText="1"/>
    </xf>
    <xf numFmtId="49" fontId="15" fillId="0" borderId="10" xfId="4" applyNumberFormat="1" applyFont="1" applyBorder="1" applyAlignment="1">
      <alignment horizontal="center" vertical="center" wrapText="1"/>
    </xf>
    <xf numFmtId="0" fontId="15" fillId="0" borderId="28" xfId="7" applyFont="1" applyBorder="1" applyAlignment="1">
      <alignment horizontal="center" vertical="center"/>
    </xf>
    <xf numFmtId="0" fontId="15" fillId="0" borderId="28" xfId="7" applyFont="1" applyBorder="1" applyAlignment="1">
      <alignment horizontal="left" vertical="center" wrapText="1"/>
    </xf>
    <xf numFmtId="0" fontId="15" fillId="0" borderId="28" xfId="7" applyFont="1" applyBorder="1" applyAlignment="1">
      <alignment horizontal="center" vertical="center" wrapText="1"/>
    </xf>
    <xf numFmtId="0" fontId="15" fillId="0" borderId="28" xfId="7" applyFont="1" applyBorder="1" applyAlignment="1">
      <alignment vertical="center"/>
    </xf>
    <xf numFmtId="0" fontId="15" fillId="0" borderId="1" xfId="7" applyFont="1" applyBorder="1" applyAlignment="1">
      <alignment horizontal="center" vertical="center"/>
    </xf>
    <xf numFmtId="0" fontId="15" fillId="0" borderId="6" xfId="7" applyFont="1" applyBorder="1" applyAlignment="1">
      <alignment horizontal="left" vertical="center" wrapText="1"/>
    </xf>
    <xf numFmtId="0" fontId="15" fillId="0" borderId="6" xfId="7" applyFont="1" applyBorder="1" applyAlignment="1">
      <alignment horizontal="center" vertical="center" wrapText="1"/>
    </xf>
    <xf numFmtId="0" fontId="15" fillId="0" borderId="6" xfId="7" applyFont="1" applyBorder="1" applyAlignment="1">
      <alignment vertical="center"/>
    </xf>
    <xf numFmtId="0" fontId="15" fillId="0" borderId="1" xfId="7" applyFont="1" applyBorder="1" applyAlignment="1">
      <alignment horizontal="left" vertical="center" wrapText="1"/>
    </xf>
    <xf numFmtId="0" fontId="15" fillId="3" borderId="10" xfId="7" applyFont="1" applyFill="1" applyBorder="1" applyAlignment="1">
      <alignment horizontal="right" vertical="center"/>
    </xf>
    <xf numFmtId="0" fontId="14" fillId="3" borderId="9" xfId="7" applyFont="1" applyFill="1" applyBorder="1" applyAlignment="1">
      <alignment vertical="center"/>
    </xf>
    <xf numFmtId="0" fontId="15" fillId="3" borderId="10" xfId="7" applyFont="1" applyFill="1" applyBorder="1" applyAlignment="1">
      <alignment vertical="center"/>
    </xf>
    <xf numFmtId="3" fontId="15" fillId="0" borderId="28" xfId="5" applyNumberFormat="1" applyFont="1" applyBorder="1" applyAlignment="1">
      <alignment horizontal="right" vertical="center" indent="1"/>
    </xf>
    <xf numFmtId="3" fontId="15" fillId="0" borderId="6" xfId="5" applyNumberFormat="1" applyFont="1" applyBorder="1" applyAlignment="1">
      <alignment horizontal="right" vertical="center" indent="1"/>
    </xf>
    <xf numFmtId="170" fontId="15" fillId="3" borderId="10" xfId="5" applyNumberFormat="1" applyFont="1" applyFill="1" applyBorder="1" applyAlignment="1">
      <alignment horizontal="right" vertical="center" indent="1"/>
    </xf>
    <xf numFmtId="3" fontId="15" fillId="3" borderId="10" xfId="5" applyNumberFormat="1" applyFont="1" applyFill="1" applyBorder="1" applyAlignment="1">
      <alignment horizontal="right" vertical="center" indent="1"/>
    </xf>
    <xf numFmtId="3" fontId="25" fillId="4" borderId="10" xfId="7" applyNumberFormat="1" applyFont="1" applyFill="1" applyBorder="1" applyAlignment="1">
      <alignment horizontal="center" vertical="center" wrapText="1"/>
    </xf>
    <xf numFmtId="0" fontId="15" fillId="0" borderId="7" xfId="7" applyFont="1" applyBorder="1" applyAlignment="1">
      <alignment horizontal="center" vertical="center"/>
    </xf>
    <xf numFmtId="0" fontId="15" fillId="0" borderId="8" xfId="7" applyFont="1" applyBorder="1" applyAlignment="1">
      <alignment horizontal="center" vertical="center" wrapText="1"/>
    </xf>
    <xf numFmtId="170" fontId="15" fillId="0" borderId="8" xfId="5" applyNumberFormat="1" applyFont="1" applyBorder="1" applyAlignment="1">
      <alignment horizontal="right" vertical="center" indent="1"/>
    </xf>
    <xf numFmtId="3" fontId="15" fillId="0" borderId="8" xfId="5" applyNumberFormat="1" applyFont="1" applyBorder="1" applyAlignment="1">
      <alignment horizontal="right" vertical="center" indent="1"/>
    </xf>
    <xf numFmtId="0" fontId="15" fillId="0" borderId="9" xfId="7" applyFont="1" applyBorder="1" applyAlignment="1">
      <alignment vertical="center"/>
    </xf>
    <xf numFmtId="0" fontId="14" fillId="0" borderId="8" xfId="7" applyFont="1" applyBorder="1" applyAlignment="1">
      <alignment horizontal="center" vertical="center" wrapText="1"/>
    </xf>
    <xf numFmtId="3" fontId="14" fillId="0" borderId="10" xfId="5" applyNumberFormat="1" applyFont="1" applyBorder="1" applyAlignment="1">
      <alignment horizontal="right" vertical="center" indent="1"/>
    </xf>
    <xf numFmtId="0" fontId="27" fillId="0" borderId="0" xfId="0" applyFont="1"/>
    <xf numFmtId="165" fontId="27" fillId="0" borderId="0" xfId="1" applyNumberFormat="1" applyFont="1"/>
    <xf numFmtId="0" fontId="28" fillId="0" borderId="0" xfId="0" applyFont="1" applyAlignment="1">
      <alignment horizontal="right" indent="1"/>
    </xf>
    <xf numFmtId="0" fontId="29" fillId="0" borderId="0" xfId="0" applyFont="1" applyAlignment="1">
      <alignment horizontal="center"/>
    </xf>
    <xf numFmtId="165" fontId="29" fillId="0" borderId="0" xfId="0" applyNumberFormat="1" applyFont="1"/>
    <xf numFmtId="3" fontId="14" fillId="3" borderId="10" xfId="5" applyNumberFormat="1" applyFont="1" applyFill="1" applyBorder="1" applyAlignment="1">
      <alignment horizontal="right" vertical="center" indent="1"/>
    </xf>
    <xf numFmtId="0" fontId="27" fillId="0" borderId="0" xfId="0" applyFont="1" applyAlignment="1">
      <alignment horizontal="center"/>
    </xf>
    <xf numFmtId="171" fontId="27" fillId="0" borderId="0" xfId="1" applyNumberFormat="1" applyFont="1"/>
    <xf numFmtId="164" fontId="27" fillId="0" borderId="0" xfId="0" applyNumberFormat="1" applyFont="1"/>
    <xf numFmtId="0" fontId="15" fillId="0" borderId="1" xfId="7" applyFont="1" applyBorder="1" applyAlignment="1">
      <alignment horizontal="center" vertical="center" wrapText="1"/>
    </xf>
    <xf numFmtId="3" fontId="15" fillId="0" borderId="1" xfId="5" applyNumberFormat="1" applyFont="1" applyBorder="1" applyAlignment="1">
      <alignment horizontal="right" vertical="center" indent="1"/>
    </xf>
    <xf numFmtId="0" fontId="15" fillId="0" borderId="1" xfId="7" applyFont="1" applyBorder="1" applyAlignment="1">
      <alignment vertical="center"/>
    </xf>
    <xf numFmtId="3" fontId="14" fillId="4" borderId="7" xfId="7" applyNumberFormat="1" applyFont="1" applyFill="1" applyBorder="1" applyAlignment="1">
      <alignment horizontal="center" vertical="center"/>
    </xf>
    <xf numFmtId="3" fontId="14" fillId="4" borderId="7" xfId="7" applyNumberFormat="1" applyFont="1" applyFill="1" applyBorder="1" applyAlignment="1">
      <alignment vertical="center"/>
    </xf>
    <xf numFmtId="3" fontId="14" fillId="4" borderId="8" xfId="7" applyNumberFormat="1" applyFont="1" applyFill="1" applyBorder="1" applyAlignment="1">
      <alignment vertical="center"/>
    </xf>
    <xf numFmtId="165" fontId="14" fillId="0" borderId="0" xfId="1" applyNumberFormat="1" applyFont="1" applyAlignment="1">
      <alignment vertical="center"/>
    </xf>
    <xf numFmtId="3" fontId="15" fillId="0" borderId="0" xfId="7" applyNumberFormat="1" applyFont="1" applyAlignment="1">
      <alignment vertical="center"/>
    </xf>
    <xf numFmtId="165" fontId="15" fillId="0" borderId="0" xfId="1" applyNumberFormat="1" applyFont="1" applyAlignment="1">
      <alignment vertical="center"/>
    </xf>
    <xf numFmtId="0" fontId="16" fillId="3" borderId="20" xfId="2" applyNumberFormat="1" applyFont="1" applyFill="1" applyBorder="1" applyAlignment="1">
      <alignment horizontal="center" vertical="center" wrapText="1"/>
    </xf>
    <xf numFmtId="0" fontId="16" fillId="3" borderId="23" xfId="2" applyNumberFormat="1" applyFont="1" applyFill="1" applyBorder="1" applyAlignment="1">
      <alignment horizontal="center" vertical="center" wrapText="1"/>
    </xf>
    <xf numFmtId="166" fontId="16" fillId="3" borderId="20" xfId="2" applyNumberFormat="1" applyFont="1" applyFill="1" applyBorder="1" applyAlignment="1">
      <alignment horizontal="center" vertical="center" wrapText="1"/>
    </xf>
    <xf numFmtId="166" fontId="16" fillId="3" borderId="23" xfId="2" applyNumberFormat="1" applyFont="1" applyFill="1" applyBorder="1" applyAlignment="1">
      <alignment horizontal="center" vertical="center" wrapText="1"/>
    </xf>
    <xf numFmtId="0" fontId="16" fillId="3" borderId="21" xfId="2" applyNumberFormat="1" applyFont="1" applyFill="1" applyBorder="1" applyAlignment="1">
      <alignment horizontal="center" vertical="center" wrapText="1"/>
    </xf>
    <xf numFmtId="0" fontId="16" fillId="3" borderId="25" xfId="2" applyNumberFormat="1" applyFont="1" applyFill="1" applyBorder="1" applyAlignment="1">
      <alignment horizontal="center" vertical="center" wrapText="1"/>
    </xf>
    <xf numFmtId="0" fontId="16" fillId="3" borderId="19" xfId="2" applyNumberFormat="1" applyFont="1" applyFill="1" applyBorder="1" applyAlignment="1">
      <alignment horizontal="center" vertical="center" wrapText="1"/>
    </xf>
    <xf numFmtId="0" fontId="16" fillId="3" borderId="22" xfId="2" applyNumberFormat="1" applyFont="1" applyFill="1" applyBorder="1" applyAlignment="1">
      <alignment horizontal="center" vertical="center"/>
    </xf>
    <xf numFmtId="0" fontId="16" fillId="3" borderId="23" xfId="2" applyNumberFormat="1" applyFont="1" applyFill="1" applyBorder="1" applyAlignment="1">
      <alignment horizontal="center" vertical="center"/>
    </xf>
    <xf numFmtId="0" fontId="16" fillId="3" borderId="24" xfId="2" applyNumberFormat="1" applyFont="1" applyFill="1" applyBorder="1" applyAlignment="1">
      <alignment horizontal="center" vertical="center"/>
    </xf>
    <xf numFmtId="167" fontId="16" fillId="3" borderId="17" xfId="2" applyNumberFormat="1" applyFont="1" applyFill="1" applyBorder="1" applyAlignment="1">
      <alignment horizontal="center" vertical="center" wrapText="1"/>
    </xf>
    <xf numFmtId="167" fontId="16" fillId="3" borderId="17" xfId="2" applyNumberFormat="1" applyFont="1" applyFill="1" applyBorder="1" applyAlignment="1">
      <alignment wrapText="1"/>
    </xf>
    <xf numFmtId="0" fontId="14" fillId="4" borderId="15" xfId="7" applyFont="1" applyFill="1" applyBorder="1" applyAlignment="1">
      <alignment horizontal="center" vertical="center" wrapText="1"/>
    </xf>
    <xf numFmtId="0" fontId="14" fillId="4" borderId="24" xfId="7" applyFont="1" applyFill="1" applyBorder="1" applyAlignment="1">
      <alignment horizontal="center" vertical="center" wrapText="1"/>
    </xf>
    <xf numFmtId="0" fontId="25" fillId="4" borderId="15" xfId="7" applyFont="1" applyFill="1" applyBorder="1" applyAlignment="1">
      <alignment horizontal="center" vertical="center"/>
    </xf>
    <xf numFmtId="0" fontId="25" fillId="4" borderId="24" xfId="7" applyFont="1" applyFill="1" applyBorder="1" applyAlignment="1">
      <alignment horizontal="center" vertical="center"/>
    </xf>
    <xf numFmtId="3" fontId="25" fillId="4" borderId="15" xfId="7" applyNumberFormat="1" applyFont="1" applyFill="1" applyBorder="1" applyAlignment="1">
      <alignment horizontal="center" vertical="center" wrapText="1"/>
    </xf>
    <xf numFmtId="3" fontId="25" fillId="4" borderId="24" xfId="7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2" fontId="15" fillId="0" borderId="6" xfId="5" applyNumberFormat="1" applyFont="1" applyBorder="1" applyAlignment="1">
      <alignment horizontal="right" vertical="center" indent="1"/>
    </xf>
    <xf numFmtId="0" fontId="15" fillId="0" borderId="2" xfId="7" applyFont="1" applyBorder="1" applyAlignment="1">
      <alignment horizontal="center" vertical="center"/>
    </xf>
    <xf numFmtId="0" fontId="15" fillId="0" borderId="2" xfId="7" applyFont="1" applyBorder="1" applyAlignment="1">
      <alignment horizontal="left" vertical="center" wrapText="1"/>
    </xf>
    <xf numFmtId="0" fontId="15" fillId="0" borderId="2" xfId="7" applyFont="1" applyBorder="1" applyAlignment="1">
      <alignment horizontal="center" vertical="center" wrapText="1"/>
    </xf>
    <xf numFmtId="3" fontId="15" fillId="0" borderId="2" xfId="5" applyNumberFormat="1" applyFont="1" applyBorder="1" applyAlignment="1">
      <alignment horizontal="right" vertical="center" indent="1"/>
    </xf>
    <xf numFmtId="0" fontId="15" fillId="0" borderId="2" xfId="7" applyFont="1" applyBorder="1" applyAlignment="1">
      <alignment vertical="center"/>
    </xf>
    <xf numFmtId="0" fontId="15" fillId="0" borderId="26" xfId="7" applyFont="1" applyBorder="1" applyAlignment="1">
      <alignment horizontal="center" vertical="center"/>
    </xf>
    <xf numFmtId="0" fontId="15" fillId="0" borderId="26" xfId="7" applyFont="1" applyBorder="1" applyAlignment="1">
      <alignment horizontal="left" vertical="center" wrapText="1"/>
    </xf>
    <xf numFmtId="0" fontId="15" fillId="0" borderId="26" xfId="7" applyFont="1" applyBorder="1" applyAlignment="1">
      <alignment horizontal="center" vertical="center" wrapText="1"/>
    </xf>
    <xf numFmtId="3" fontId="15" fillId="0" borderId="26" xfId="5" applyNumberFormat="1" applyFont="1" applyBorder="1" applyAlignment="1">
      <alignment horizontal="right" vertical="center" indent="1"/>
    </xf>
    <xf numFmtId="0" fontId="15" fillId="0" borderId="26" xfId="7" applyFont="1" applyBorder="1" applyAlignment="1">
      <alignment vertical="center"/>
    </xf>
    <xf numFmtId="172" fontId="15" fillId="0" borderId="8" xfId="5" applyNumberFormat="1" applyFont="1" applyBorder="1" applyAlignment="1">
      <alignment horizontal="right" vertical="center" indent="1"/>
    </xf>
    <xf numFmtId="172" fontId="15" fillId="0" borderId="1" xfId="5" applyNumberFormat="1" applyFont="1" applyBorder="1" applyAlignment="1">
      <alignment horizontal="right" vertical="center" indent="1"/>
    </xf>
    <xf numFmtId="3" fontId="15" fillId="0" borderId="2" xfId="7" applyNumberFormat="1" applyFont="1" applyBorder="1" applyAlignment="1">
      <alignment horizontal="center" vertical="center"/>
    </xf>
    <xf numFmtId="3" fontId="14" fillId="3" borderId="2" xfId="5" applyNumberFormat="1" applyFont="1" applyFill="1" applyBorder="1" applyAlignment="1">
      <alignment horizontal="right" vertical="center" indent="1"/>
    </xf>
    <xf numFmtId="3" fontId="14" fillId="3" borderId="28" xfId="5" applyNumberFormat="1" applyFont="1" applyFill="1" applyBorder="1" applyAlignment="1">
      <alignment horizontal="right" vertical="center" indent="1"/>
    </xf>
    <xf numFmtId="0" fontId="30" fillId="0" borderId="28" xfId="7" applyFont="1" applyBorder="1" applyAlignment="1">
      <alignment vertical="center"/>
    </xf>
    <xf numFmtId="0" fontId="14" fillId="0" borderId="28" xfId="7" applyFont="1" applyBorder="1" applyAlignment="1">
      <alignment vertical="center"/>
    </xf>
    <xf numFmtId="0" fontId="14" fillId="0" borderId="28" xfId="7" applyFont="1" applyBorder="1" applyAlignment="1">
      <alignment horizontal="center" vertical="center"/>
    </xf>
    <xf numFmtId="3" fontId="14" fillId="0" borderId="28" xfId="7" applyNumberFormat="1" applyFont="1" applyBorder="1" applyAlignment="1">
      <alignment horizontal="center" vertical="center"/>
    </xf>
    <xf numFmtId="172" fontId="15" fillId="0" borderId="26" xfId="5" applyNumberFormat="1" applyFont="1" applyBorder="1" applyAlignment="1">
      <alignment horizontal="right" vertical="center" indent="1"/>
    </xf>
    <xf numFmtId="172" fontId="15" fillId="0" borderId="2" xfId="5" applyNumberFormat="1" applyFont="1" applyBorder="1" applyAlignment="1">
      <alignment horizontal="right" vertical="center" indent="1"/>
    </xf>
    <xf numFmtId="172" fontId="15" fillId="0" borderId="28" xfId="5" applyNumberFormat="1" applyFont="1" applyBorder="1" applyAlignment="1">
      <alignment horizontal="right" vertical="center" indent="1"/>
    </xf>
  </cellXfs>
  <cellStyles count="8">
    <cellStyle name="Comma" xfId="1" builtinId="3"/>
    <cellStyle name="Comma 2" xfId="5"/>
    <cellStyle name="Comma 2 2" xfId="6"/>
    <cellStyle name="Normal" xfId="0" builtinId="0"/>
    <cellStyle name="Normal 2" xfId="2"/>
    <cellStyle name="Normal 3" xfId="4"/>
    <cellStyle name="Normal_MAU GIAY TAM UNG" xfId="7"/>
    <cellStyle name="Normal_Phan phat sinh (tang 1)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outlinePr summaryBelow="0" summaryRight="0"/>
  </sheetPr>
  <dimension ref="A1:L9"/>
  <sheetViews>
    <sheetView zoomScale="85" zoomScaleNormal="85" workbookViewId="0">
      <selection activeCell="G15" sqref="G15"/>
    </sheetView>
  </sheetViews>
  <sheetFormatPr defaultRowHeight="15" outlineLevelRow="2" x14ac:dyDescent="0.25"/>
  <cols>
    <col min="1" max="1" width="7.7109375" customWidth="1"/>
    <col min="2" max="2" width="20.42578125" customWidth="1"/>
    <col min="5" max="5" width="12.42578125" customWidth="1"/>
    <col min="9" max="9" width="9.42578125" customWidth="1"/>
    <col min="10" max="10" width="13.5703125" customWidth="1"/>
    <col min="12" max="12" width="46.85546875" customWidth="1"/>
  </cols>
  <sheetData>
    <row r="1" spans="1:12" s="41" customFormat="1" ht="37.5" customHeight="1" x14ac:dyDescent="0.35">
      <c r="A1" s="228" t="s">
        <v>56</v>
      </c>
      <c r="B1" s="222" t="s">
        <v>57</v>
      </c>
      <c r="C1" s="222" t="s">
        <v>58</v>
      </c>
      <c r="D1" s="222" t="s">
        <v>59</v>
      </c>
      <c r="E1" s="222" t="s">
        <v>60</v>
      </c>
      <c r="F1" s="232" t="s">
        <v>61</v>
      </c>
      <c r="G1" s="233"/>
      <c r="H1" s="233"/>
      <c r="I1" s="233"/>
      <c r="J1" s="222" t="s">
        <v>74</v>
      </c>
      <c r="K1" s="224" t="s">
        <v>125</v>
      </c>
      <c r="L1" s="226" t="s">
        <v>62</v>
      </c>
    </row>
    <row r="2" spans="1:12" s="41" customFormat="1" ht="42" customHeight="1" x14ac:dyDescent="0.25">
      <c r="A2" s="229"/>
      <c r="B2" s="230"/>
      <c r="C2" s="231"/>
      <c r="D2" s="223"/>
      <c r="E2" s="223"/>
      <c r="F2" s="48" t="s">
        <v>76</v>
      </c>
      <c r="G2" s="48" t="s">
        <v>77</v>
      </c>
      <c r="H2" s="48" t="s">
        <v>78</v>
      </c>
      <c r="I2" s="48" t="s">
        <v>124</v>
      </c>
      <c r="J2" s="223"/>
      <c r="K2" s="225"/>
      <c r="L2" s="227"/>
    </row>
    <row r="3" spans="1:12" s="41" customFormat="1" ht="24.95" customHeight="1" thickBot="1" x14ac:dyDescent="0.3">
      <c r="A3" s="49" t="s">
        <v>63</v>
      </c>
      <c r="B3" s="50" t="s">
        <v>64</v>
      </c>
      <c r="C3" s="50" t="s">
        <v>65</v>
      </c>
      <c r="D3" s="51" t="s">
        <v>66</v>
      </c>
      <c r="E3" s="51" t="s">
        <v>67</v>
      </c>
      <c r="F3" s="50" t="s">
        <v>68</v>
      </c>
      <c r="G3" s="50" t="s">
        <v>69</v>
      </c>
      <c r="H3" s="50" t="s">
        <v>123</v>
      </c>
      <c r="I3" s="50" t="s">
        <v>70</v>
      </c>
      <c r="J3" s="51" t="s">
        <v>71</v>
      </c>
      <c r="K3" s="51" t="s">
        <v>72</v>
      </c>
      <c r="L3" s="52" t="s">
        <v>73</v>
      </c>
    </row>
    <row r="4" spans="1:12" s="42" customFormat="1" ht="36.75" customHeight="1" thickBot="1" x14ac:dyDescent="0.3">
      <c r="A4" s="58">
        <v>1</v>
      </c>
      <c r="B4" s="59" t="s">
        <v>265</v>
      </c>
      <c r="C4" s="60"/>
      <c r="D4" s="61" t="s">
        <v>4</v>
      </c>
      <c r="E4" s="61"/>
      <c r="F4" s="62"/>
      <c r="G4" s="62"/>
      <c r="H4" s="62"/>
      <c r="I4" s="63"/>
      <c r="J4" s="61"/>
      <c r="K4" s="64"/>
      <c r="L4" s="65"/>
    </row>
    <row r="5" spans="1:12" s="42" customFormat="1" ht="24.95" customHeight="1" outlineLevel="1" x14ac:dyDescent="0.25">
      <c r="A5" s="66">
        <v>1.1000000000000001</v>
      </c>
      <c r="B5" s="59" t="s">
        <v>167</v>
      </c>
      <c r="C5" s="60"/>
      <c r="D5" s="61" t="s">
        <v>4</v>
      </c>
      <c r="E5" s="61"/>
      <c r="F5" s="62"/>
      <c r="G5" s="62"/>
      <c r="H5" s="62"/>
      <c r="I5" s="63"/>
      <c r="J5" s="61"/>
      <c r="K5" s="64"/>
      <c r="L5" s="67"/>
    </row>
    <row r="6" spans="1:12" s="43" customFormat="1" ht="20.100000000000001" customHeight="1" outlineLevel="2" x14ac:dyDescent="0.25">
      <c r="A6" s="68"/>
      <c r="B6" s="69"/>
      <c r="C6" s="70" t="s">
        <v>271</v>
      </c>
      <c r="D6" s="71" t="s">
        <v>4</v>
      </c>
      <c r="E6" s="72">
        <v>1</v>
      </c>
      <c r="F6" s="73">
        <v>2.4</v>
      </c>
      <c r="G6" s="73">
        <v>2.6</v>
      </c>
      <c r="H6" s="74"/>
      <c r="I6" s="73"/>
      <c r="J6" s="75" t="s">
        <v>75</v>
      </c>
      <c r="K6" s="74">
        <f t="shared" ref="K6:K9" si="0">ROUND(PRODUCT(E6:J6),3)</f>
        <v>6.24</v>
      </c>
      <c r="L6" s="76" t="s">
        <v>266</v>
      </c>
    </row>
    <row r="7" spans="1:12" s="43" customFormat="1" ht="20.100000000000001" customHeight="1" outlineLevel="2" x14ac:dyDescent="0.25">
      <c r="A7" s="77"/>
      <c r="B7" s="78"/>
      <c r="C7" s="79" t="s">
        <v>270</v>
      </c>
      <c r="D7" s="80" t="s">
        <v>4</v>
      </c>
      <c r="E7" s="81">
        <v>1</v>
      </c>
      <c r="F7" s="82">
        <v>2.4</v>
      </c>
      <c r="G7" s="82">
        <v>2.6</v>
      </c>
      <c r="H7" s="83"/>
      <c r="I7" s="82"/>
      <c r="J7" s="84" t="s">
        <v>75</v>
      </c>
      <c r="K7" s="83">
        <f t="shared" si="0"/>
        <v>6.24</v>
      </c>
      <c r="L7" s="85" t="s">
        <v>267</v>
      </c>
    </row>
    <row r="8" spans="1:12" s="43" customFormat="1" ht="20.100000000000001" customHeight="1" outlineLevel="2" x14ac:dyDescent="0.25">
      <c r="A8" s="77"/>
      <c r="B8" s="78"/>
      <c r="C8" s="79" t="s">
        <v>272</v>
      </c>
      <c r="D8" s="80" t="s">
        <v>4</v>
      </c>
      <c r="E8" s="81">
        <v>1</v>
      </c>
      <c r="F8" s="82">
        <v>1.2</v>
      </c>
      <c r="G8" s="82">
        <v>1.2</v>
      </c>
      <c r="H8" s="83"/>
      <c r="I8" s="82"/>
      <c r="J8" s="84" t="s">
        <v>75</v>
      </c>
      <c r="K8" s="83">
        <f t="shared" si="0"/>
        <v>1.44</v>
      </c>
      <c r="L8" s="85" t="s">
        <v>268</v>
      </c>
    </row>
    <row r="9" spans="1:12" s="43" customFormat="1" ht="20.100000000000001" customHeight="1" outlineLevel="2" x14ac:dyDescent="0.25">
      <c r="A9" s="77"/>
      <c r="B9" s="78"/>
      <c r="C9" s="79" t="s">
        <v>273</v>
      </c>
      <c r="D9" s="80" t="s">
        <v>4</v>
      </c>
      <c r="E9" s="81">
        <v>1</v>
      </c>
      <c r="F9" s="82">
        <v>0.8</v>
      </c>
      <c r="G9" s="82">
        <v>2.1</v>
      </c>
      <c r="H9" s="83"/>
      <c r="I9" s="82"/>
      <c r="J9" s="84" t="s">
        <v>75</v>
      </c>
      <c r="K9" s="83">
        <f t="shared" si="0"/>
        <v>1.68</v>
      </c>
      <c r="L9" s="85" t="s">
        <v>268</v>
      </c>
    </row>
  </sheetData>
  <mergeCells count="9">
    <mergeCell ref="J1:J2"/>
    <mergeCell ref="K1:K2"/>
    <mergeCell ref="L1:L2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  <outlinePr summaryBelow="0" summaryRight="0"/>
  </sheetPr>
  <dimension ref="A1:L713"/>
  <sheetViews>
    <sheetView showGridLines="0" showRuler="0" view="pageBreakPreview" topLeftCell="A252" zoomScale="70" zoomScaleNormal="55" zoomScaleSheetLayoutView="70" zoomScalePageLayoutView="55" workbookViewId="0">
      <selection activeCell="B41" sqref="B41"/>
    </sheetView>
  </sheetViews>
  <sheetFormatPr defaultRowHeight="15" customHeight="1" outlineLevelRow="2" x14ac:dyDescent="0.25"/>
  <cols>
    <col min="1" max="1" width="7" style="32" customWidth="1"/>
    <col min="2" max="2" width="65.140625" style="32" customWidth="1"/>
    <col min="3" max="3" width="27.140625" style="32" customWidth="1"/>
    <col min="4" max="4" width="9.7109375" style="32" customWidth="1"/>
    <col min="5" max="5" width="10" style="44" customWidth="1"/>
    <col min="6" max="6" width="10.7109375" style="32" customWidth="1"/>
    <col min="7" max="9" width="10.7109375" style="45" customWidth="1"/>
    <col min="10" max="10" width="31.140625" style="44" customWidth="1"/>
    <col min="11" max="11" width="12.7109375" style="46" customWidth="1"/>
    <col min="12" max="12" width="43.5703125" style="47" customWidth="1"/>
    <col min="13" max="13" width="17" style="32" customWidth="1"/>
    <col min="14" max="256" width="9.140625" style="32"/>
    <col min="257" max="257" width="7.7109375" style="32" customWidth="1"/>
    <col min="258" max="258" width="44.7109375" style="32" customWidth="1"/>
    <col min="259" max="259" width="19.85546875" style="32" customWidth="1"/>
    <col min="260" max="260" width="12.7109375" style="32" customWidth="1"/>
    <col min="261" max="261" width="13" style="32" customWidth="1"/>
    <col min="262" max="264" width="12.7109375" style="32" customWidth="1"/>
    <col min="265" max="265" width="13" style="32" customWidth="1"/>
    <col min="266" max="266" width="12.7109375" style="32" customWidth="1"/>
    <col min="267" max="267" width="15.28515625" style="32" customWidth="1"/>
    <col min="268" max="268" width="33.28515625" style="32" customWidth="1"/>
    <col min="269" max="269" width="17" style="32" customWidth="1"/>
    <col min="270" max="512" width="9.140625" style="32"/>
    <col min="513" max="513" width="7.7109375" style="32" customWidth="1"/>
    <col min="514" max="514" width="44.7109375" style="32" customWidth="1"/>
    <col min="515" max="515" width="19.85546875" style="32" customWidth="1"/>
    <col min="516" max="516" width="12.7109375" style="32" customWidth="1"/>
    <col min="517" max="517" width="13" style="32" customWidth="1"/>
    <col min="518" max="520" width="12.7109375" style="32" customWidth="1"/>
    <col min="521" max="521" width="13" style="32" customWidth="1"/>
    <col min="522" max="522" width="12.7109375" style="32" customWidth="1"/>
    <col min="523" max="523" width="15.28515625" style="32" customWidth="1"/>
    <col min="524" max="524" width="33.28515625" style="32" customWidth="1"/>
    <col min="525" max="525" width="17" style="32" customWidth="1"/>
    <col min="526" max="768" width="9.140625" style="32"/>
    <col min="769" max="769" width="7.7109375" style="32" customWidth="1"/>
    <col min="770" max="770" width="44.7109375" style="32" customWidth="1"/>
    <col min="771" max="771" width="19.85546875" style="32" customWidth="1"/>
    <col min="772" max="772" width="12.7109375" style="32" customWidth="1"/>
    <col min="773" max="773" width="13" style="32" customWidth="1"/>
    <col min="774" max="776" width="12.7109375" style="32" customWidth="1"/>
    <col min="777" max="777" width="13" style="32" customWidth="1"/>
    <col min="778" max="778" width="12.7109375" style="32" customWidth="1"/>
    <col min="779" max="779" width="15.28515625" style="32" customWidth="1"/>
    <col min="780" max="780" width="33.28515625" style="32" customWidth="1"/>
    <col min="781" max="781" width="17" style="32" customWidth="1"/>
    <col min="782" max="1024" width="9.140625" style="32"/>
    <col min="1025" max="1025" width="7.7109375" style="32" customWidth="1"/>
    <col min="1026" max="1026" width="44.7109375" style="32" customWidth="1"/>
    <col min="1027" max="1027" width="19.85546875" style="32" customWidth="1"/>
    <col min="1028" max="1028" width="12.7109375" style="32" customWidth="1"/>
    <col min="1029" max="1029" width="13" style="32" customWidth="1"/>
    <col min="1030" max="1032" width="12.7109375" style="32" customWidth="1"/>
    <col min="1033" max="1033" width="13" style="32" customWidth="1"/>
    <col min="1034" max="1034" width="12.7109375" style="32" customWidth="1"/>
    <col min="1035" max="1035" width="15.28515625" style="32" customWidth="1"/>
    <col min="1036" max="1036" width="33.28515625" style="32" customWidth="1"/>
    <col min="1037" max="1037" width="17" style="32" customWidth="1"/>
    <col min="1038" max="1280" width="9.140625" style="32"/>
    <col min="1281" max="1281" width="7.7109375" style="32" customWidth="1"/>
    <col min="1282" max="1282" width="44.7109375" style="32" customWidth="1"/>
    <col min="1283" max="1283" width="19.85546875" style="32" customWidth="1"/>
    <col min="1284" max="1284" width="12.7109375" style="32" customWidth="1"/>
    <col min="1285" max="1285" width="13" style="32" customWidth="1"/>
    <col min="1286" max="1288" width="12.7109375" style="32" customWidth="1"/>
    <col min="1289" max="1289" width="13" style="32" customWidth="1"/>
    <col min="1290" max="1290" width="12.7109375" style="32" customWidth="1"/>
    <col min="1291" max="1291" width="15.28515625" style="32" customWidth="1"/>
    <col min="1292" max="1292" width="33.28515625" style="32" customWidth="1"/>
    <col min="1293" max="1293" width="17" style="32" customWidth="1"/>
    <col min="1294" max="1536" width="9.140625" style="32"/>
    <col min="1537" max="1537" width="7.7109375" style="32" customWidth="1"/>
    <col min="1538" max="1538" width="44.7109375" style="32" customWidth="1"/>
    <col min="1539" max="1539" width="19.85546875" style="32" customWidth="1"/>
    <col min="1540" max="1540" width="12.7109375" style="32" customWidth="1"/>
    <col min="1541" max="1541" width="13" style="32" customWidth="1"/>
    <col min="1542" max="1544" width="12.7109375" style="32" customWidth="1"/>
    <col min="1545" max="1545" width="13" style="32" customWidth="1"/>
    <col min="1546" max="1546" width="12.7109375" style="32" customWidth="1"/>
    <col min="1547" max="1547" width="15.28515625" style="32" customWidth="1"/>
    <col min="1548" max="1548" width="33.28515625" style="32" customWidth="1"/>
    <col min="1549" max="1549" width="17" style="32" customWidth="1"/>
    <col min="1550" max="1792" width="9.140625" style="32"/>
    <col min="1793" max="1793" width="7.7109375" style="32" customWidth="1"/>
    <col min="1794" max="1794" width="44.7109375" style="32" customWidth="1"/>
    <col min="1795" max="1795" width="19.85546875" style="32" customWidth="1"/>
    <col min="1796" max="1796" width="12.7109375" style="32" customWidth="1"/>
    <col min="1797" max="1797" width="13" style="32" customWidth="1"/>
    <col min="1798" max="1800" width="12.7109375" style="32" customWidth="1"/>
    <col min="1801" max="1801" width="13" style="32" customWidth="1"/>
    <col min="1802" max="1802" width="12.7109375" style="32" customWidth="1"/>
    <col min="1803" max="1803" width="15.28515625" style="32" customWidth="1"/>
    <col min="1804" max="1804" width="33.28515625" style="32" customWidth="1"/>
    <col min="1805" max="1805" width="17" style="32" customWidth="1"/>
    <col min="1806" max="2048" width="9.140625" style="32"/>
    <col min="2049" max="2049" width="7.7109375" style="32" customWidth="1"/>
    <col min="2050" max="2050" width="44.7109375" style="32" customWidth="1"/>
    <col min="2051" max="2051" width="19.85546875" style="32" customWidth="1"/>
    <col min="2052" max="2052" width="12.7109375" style="32" customWidth="1"/>
    <col min="2053" max="2053" width="13" style="32" customWidth="1"/>
    <col min="2054" max="2056" width="12.7109375" style="32" customWidth="1"/>
    <col min="2057" max="2057" width="13" style="32" customWidth="1"/>
    <col min="2058" max="2058" width="12.7109375" style="32" customWidth="1"/>
    <col min="2059" max="2059" width="15.28515625" style="32" customWidth="1"/>
    <col min="2060" max="2060" width="33.28515625" style="32" customWidth="1"/>
    <col min="2061" max="2061" width="17" style="32" customWidth="1"/>
    <col min="2062" max="2304" width="9.140625" style="32"/>
    <col min="2305" max="2305" width="7.7109375" style="32" customWidth="1"/>
    <col min="2306" max="2306" width="44.7109375" style="32" customWidth="1"/>
    <col min="2307" max="2307" width="19.85546875" style="32" customWidth="1"/>
    <col min="2308" max="2308" width="12.7109375" style="32" customWidth="1"/>
    <col min="2309" max="2309" width="13" style="32" customWidth="1"/>
    <col min="2310" max="2312" width="12.7109375" style="32" customWidth="1"/>
    <col min="2313" max="2313" width="13" style="32" customWidth="1"/>
    <col min="2314" max="2314" width="12.7109375" style="32" customWidth="1"/>
    <col min="2315" max="2315" width="15.28515625" style="32" customWidth="1"/>
    <col min="2316" max="2316" width="33.28515625" style="32" customWidth="1"/>
    <col min="2317" max="2317" width="17" style="32" customWidth="1"/>
    <col min="2318" max="2560" width="9.140625" style="32"/>
    <col min="2561" max="2561" width="7.7109375" style="32" customWidth="1"/>
    <col min="2562" max="2562" width="44.7109375" style="32" customWidth="1"/>
    <col min="2563" max="2563" width="19.85546875" style="32" customWidth="1"/>
    <col min="2564" max="2564" width="12.7109375" style="32" customWidth="1"/>
    <col min="2565" max="2565" width="13" style="32" customWidth="1"/>
    <col min="2566" max="2568" width="12.7109375" style="32" customWidth="1"/>
    <col min="2569" max="2569" width="13" style="32" customWidth="1"/>
    <col min="2570" max="2570" width="12.7109375" style="32" customWidth="1"/>
    <col min="2571" max="2571" width="15.28515625" style="32" customWidth="1"/>
    <col min="2572" max="2572" width="33.28515625" style="32" customWidth="1"/>
    <col min="2573" max="2573" width="17" style="32" customWidth="1"/>
    <col min="2574" max="2816" width="9.140625" style="32"/>
    <col min="2817" max="2817" width="7.7109375" style="32" customWidth="1"/>
    <col min="2818" max="2818" width="44.7109375" style="32" customWidth="1"/>
    <col min="2819" max="2819" width="19.85546875" style="32" customWidth="1"/>
    <col min="2820" max="2820" width="12.7109375" style="32" customWidth="1"/>
    <col min="2821" max="2821" width="13" style="32" customWidth="1"/>
    <col min="2822" max="2824" width="12.7109375" style="32" customWidth="1"/>
    <col min="2825" max="2825" width="13" style="32" customWidth="1"/>
    <col min="2826" max="2826" width="12.7109375" style="32" customWidth="1"/>
    <col min="2827" max="2827" width="15.28515625" style="32" customWidth="1"/>
    <col min="2828" max="2828" width="33.28515625" style="32" customWidth="1"/>
    <col min="2829" max="2829" width="17" style="32" customWidth="1"/>
    <col min="2830" max="3072" width="9.140625" style="32"/>
    <col min="3073" max="3073" width="7.7109375" style="32" customWidth="1"/>
    <col min="3074" max="3074" width="44.7109375" style="32" customWidth="1"/>
    <col min="3075" max="3075" width="19.85546875" style="32" customWidth="1"/>
    <col min="3076" max="3076" width="12.7109375" style="32" customWidth="1"/>
    <col min="3077" max="3077" width="13" style="32" customWidth="1"/>
    <col min="3078" max="3080" width="12.7109375" style="32" customWidth="1"/>
    <col min="3081" max="3081" width="13" style="32" customWidth="1"/>
    <col min="3082" max="3082" width="12.7109375" style="32" customWidth="1"/>
    <col min="3083" max="3083" width="15.28515625" style="32" customWidth="1"/>
    <col min="3084" max="3084" width="33.28515625" style="32" customWidth="1"/>
    <col min="3085" max="3085" width="17" style="32" customWidth="1"/>
    <col min="3086" max="3328" width="9.140625" style="32"/>
    <col min="3329" max="3329" width="7.7109375" style="32" customWidth="1"/>
    <col min="3330" max="3330" width="44.7109375" style="32" customWidth="1"/>
    <col min="3331" max="3331" width="19.85546875" style="32" customWidth="1"/>
    <col min="3332" max="3332" width="12.7109375" style="32" customWidth="1"/>
    <col min="3333" max="3333" width="13" style="32" customWidth="1"/>
    <col min="3334" max="3336" width="12.7109375" style="32" customWidth="1"/>
    <col min="3337" max="3337" width="13" style="32" customWidth="1"/>
    <col min="3338" max="3338" width="12.7109375" style="32" customWidth="1"/>
    <col min="3339" max="3339" width="15.28515625" style="32" customWidth="1"/>
    <col min="3340" max="3340" width="33.28515625" style="32" customWidth="1"/>
    <col min="3341" max="3341" width="17" style="32" customWidth="1"/>
    <col min="3342" max="3584" width="9.140625" style="32"/>
    <col min="3585" max="3585" width="7.7109375" style="32" customWidth="1"/>
    <col min="3586" max="3586" width="44.7109375" style="32" customWidth="1"/>
    <col min="3587" max="3587" width="19.85546875" style="32" customWidth="1"/>
    <col min="3588" max="3588" width="12.7109375" style="32" customWidth="1"/>
    <col min="3589" max="3589" width="13" style="32" customWidth="1"/>
    <col min="3590" max="3592" width="12.7109375" style="32" customWidth="1"/>
    <col min="3593" max="3593" width="13" style="32" customWidth="1"/>
    <col min="3594" max="3594" width="12.7109375" style="32" customWidth="1"/>
    <col min="3595" max="3595" width="15.28515625" style="32" customWidth="1"/>
    <col min="3596" max="3596" width="33.28515625" style="32" customWidth="1"/>
    <col min="3597" max="3597" width="17" style="32" customWidth="1"/>
    <col min="3598" max="3840" width="9.140625" style="32"/>
    <col min="3841" max="3841" width="7.7109375" style="32" customWidth="1"/>
    <col min="3842" max="3842" width="44.7109375" style="32" customWidth="1"/>
    <col min="3843" max="3843" width="19.85546875" style="32" customWidth="1"/>
    <col min="3844" max="3844" width="12.7109375" style="32" customWidth="1"/>
    <col min="3845" max="3845" width="13" style="32" customWidth="1"/>
    <col min="3846" max="3848" width="12.7109375" style="32" customWidth="1"/>
    <col min="3849" max="3849" width="13" style="32" customWidth="1"/>
    <col min="3850" max="3850" width="12.7109375" style="32" customWidth="1"/>
    <col min="3851" max="3851" width="15.28515625" style="32" customWidth="1"/>
    <col min="3852" max="3852" width="33.28515625" style="32" customWidth="1"/>
    <col min="3853" max="3853" width="17" style="32" customWidth="1"/>
    <col min="3854" max="4096" width="9.140625" style="32"/>
    <col min="4097" max="4097" width="7.7109375" style="32" customWidth="1"/>
    <col min="4098" max="4098" width="44.7109375" style="32" customWidth="1"/>
    <col min="4099" max="4099" width="19.85546875" style="32" customWidth="1"/>
    <col min="4100" max="4100" width="12.7109375" style="32" customWidth="1"/>
    <col min="4101" max="4101" width="13" style="32" customWidth="1"/>
    <col min="4102" max="4104" width="12.7109375" style="32" customWidth="1"/>
    <col min="4105" max="4105" width="13" style="32" customWidth="1"/>
    <col min="4106" max="4106" width="12.7109375" style="32" customWidth="1"/>
    <col min="4107" max="4107" width="15.28515625" style="32" customWidth="1"/>
    <col min="4108" max="4108" width="33.28515625" style="32" customWidth="1"/>
    <col min="4109" max="4109" width="17" style="32" customWidth="1"/>
    <col min="4110" max="4352" width="9.140625" style="32"/>
    <col min="4353" max="4353" width="7.7109375" style="32" customWidth="1"/>
    <col min="4354" max="4354" width="44.7109375" style="32" customWidth="1"/>
    <col min="4355" max="4355" width="19.85546875" style="32" customWidth="1"/>
    <col min="4356" max="4356" width="12.7109375" style="32" customWidth="1"/>
    <col min="4357" max="4357" width="13" style="32" customWidth="1"/>
    <col min="4358" max="4360" width="12.7109375" style="32" customWidth="1"/>
    <col min="4361" max="4361" width="13" style="32" customWidth="1"/>
    <col min="4362" max="4362" width="12.7109375" style="32" customWidth="1"/>
    <col min="4363" max="4363" width="15.28515625" style="32" customWidth="1"/>
    <col min="4364" max="4364" width="33.28515625" style="32" customWidth="1"/>
    <col min="4365" max="4365" width="17" style="32" customWidth="1"/>
    <col min="4366" max="4608" width="9.140625" style="32"/>
    <col min="4609" max="4609" width="7.7109375" style="32" customWidth="1"/>
    <col min="4610" max="4610" width="44.7109375" style="32" customWidth="1"/>
    <col min="4611" max="4611" width="19.85546875" style="32" customWidth="1"/>
    <col min="4612" max="4612" width="12.7109375" style="32" customWidth="1"/>
    <col min="4613" max="4613" width="13" style="32" customWidth="1"/>
    <col min="4614" max="4616" width="12.7109375" style="32" customWidth="1"/>
    <col min="4617" max="4617" width="13" style="32" customWidth="1"/>
    <col min="4618" max="4618" width="12.7109375" style="32" customWidth="1"/>
    <col min="4619" max="4619" width="15.28515625" style="32" customWidth="1"/>
    <col min="4620" max="4620" width="33.28515625" style="32" customWidth="1"/>
    <col min="4621" max="4621" width="17" style="32" customWidth="1"/>
    <col min="4622" max="4864" width="9.140625" style="32"/>
    <col min="4865" max="4865" width="7.7109375" style="32" customWidth="1"/>
    <col min="4866" max="4866" width="44.7109375" style="32" customWidth="1"/>
    <col min="4867" max="4867" width="19.85546875" style="32" customWidth="1"/>
    <col min="4868" max="4868" width="12.7109375" style="32" customWidth="1"/>
    <col min="4869" max="4869" width="13" style="32" customWidth="1"/>
    <col min="4870" max="4872" width="12.7109375" style="32" customWidth="1"/>
    <col min="4873" max="4873" width="13" style="32" customWidth="1"/>
    <col min="4874" max="4874" width="12.7109375" style="32" customWidth="1"/>
    <col min="4875" max="4875" width="15.28515625" style="32" customWidth="1"/>
    <col min="4876" max="4876" width="33.28515625" style="32" customWidth="1"/>
    <col min="4877" max="4877" width="17" style="32" customWidth="1"/>
    <col min="4878" max="5120" width="9.140625" style="32"/>
    <col min="5121" max="5121" width="7.7109375" style="32" customWidth="1"/>
    <col min="5122" max="5122" width="44.7109375" style="32" customWidth="1"/>
    <col min="5123" max="5123" width="19.85546875" style="32" customWidth="1"/>
    <col min="5124" max="5124" width="12.7109375" style="32" customWidth="1"/>
    <col min="5125" max="5125" width="13" style="32" customWidth="1"/>
    <col min="5126" max="5128" width="12.7109375" style="32" customWidth="1"/>
    <col min="5129" max="5129" width="13" style="32" customWidth="1"/>
    <col min="5130" max="5130" width="12.7109375" style="32" customWidth="1"/>
    <col min="5131" max="5131" width="15.28515625" style="32" customWidth="1"/>
    <col min="5132" max="5132" width="33.28515625" style="32" customWidth="1"/>
    <col min="5133" max="5133" width="17" style="32" customWidth="1"/>
    <col min="5134" max="5376" width="9.140625" style="32"/>
    <col min="5377" max="5377" width="7.7109375" style="32" customWidth="1"/>
    <col min="5378" max="5378" width="44.7109375" style="32" customWidth="1"/>
    <col min="5379" max="5379" width="19.85546875" style="32" customWidth="1"/>
    <col min="5380" max="5380" width="12.7109375" style="32" customWidth="1"/>
    <col min="5381" max="5381" width="13" style="32" customWidth="1"/>
    <col min="5382" max="5384" width="12.7109375" style="32" customWidth="1"/>
    <col min="5385" max="5385" width="13" style="32" customWidth="1"/>
    <col min="5386" max="5386" width="12.7109375" style="32" customWidth="1"/>
    <col min="5387" max="5387" width="15.28515625" style="32" customWidth="1"/>
    <col min="5388" max="5388" width="33.28515625" style="32" customWidth="1"/>
    <col min="5389" max="5389" width="17" style="32" customWidth="1"/>
    <col min="5390" max="5632" width="9.140625" style="32"/>
    <col min="5633" max="5633" width="7.7109375" style="32" customWidth="1"/>
    <col min="5634" max="5634" width="44.7109375" style="32" customWidth="1"/>
    <col min="5635" max="5635" width="19.85546875" style="32" customWidth="1"/>
    <col min="5636" max="5636" width="12.7109375" style="32" customWidth="1"/>
    <col min="5637" max="5637" width="13" style="32" customWidth="1"/>
    <col min="5638" max="5640" width="12.7109375" style="32" customWidth="1"/>
    <col min="5641" max="5641" width="13" style="32" customWidth="1"/>
    <col min="5642" max="5642" width="12.7109375" style="32" customWidth="1"/>
    <col min="5643" max="5643" width="15.28515625" style="32" customWidth="1"/>
    <col min="5644" max="5644" width="33.28515625" style="32" customWidth="1"/>
    <col min="5645" max="5645" width="17" style="32" customWidth="1"/>
    <col min="5646" max="5888" width="9.140625" style="32"/>
    <col min="5889" max="5889" width="7.7109375" style="32" customWidth="1"/>
    <col min="5890" max="5890" width="44.7109375" style="32" customWidth="1"/>
    <col min="5891" max="5891" width="19.85546875" style="32" customWidth="1"/>
    <col min="5892" max="5892" width="12.7109375" style="32" customWidth="1"/>
    <col min="5893" max="5893" width="13" style="32" customWidth="1"/>
    <col min="5894" max="5896" width="12.7109375" style="32" customWidth="1"/>
    <col min="5897" max="5897" width="13" style="32" customWidth="1"/>
    <col min="5898" max="5898" width="12.7109375" style="32" customWidth="1"/>
    <col min="5899" max="5899" width="15.28515625" style="32" customWidth="1"/>
    <col min="5900" max="5900" width="33.28515625" style="32" customWidth="1"/>
    <col min="5901" max="5901" width="17" style="32" customWidth="1"/>
    <col min="5902" max="6144" width="9.140625" style="32"/>
    <col min="6145" max="6145" width="7.7109375" style="32" customWidth="1"/>
    <col min="6146" max="6146" width="44.7109375" style="32" customWidth="1"/>
    <col min="6147" max="6147" width="19.85546875" style="32" customWidth="1"/>
    <col min="6148" max="6148" width="12.7109375" style="32" customWidth="1"/>
    <col min="6149" max="6149" width="13" style="32" customWidth="1"/>
    <col min="6150" max="6152" width="12.7109375" style="32" customWidth="1"/>
    <col min="6153" max="6153" width="13" style="32" customWidth="1"/>
    <col min="6154" max="6154" width="12.7109375" style="32" customWidth="1"/>
    <col min="6155" max="6155" width="15.28515625" style="32" customWidth="1"/>
    <col min="6156" max="6156" width="33.28515625" style="32" customWidth="1"/>
    <col min="6157" max="6157" width="17" style="32" customWidth="1"/>
    <col min="6158" max="6400" width="9.140625" style="32"/>
    <col min="6401" max="6401" width="7.7109375" style="32" customWidth="1"/>
    <col min="6402" max="6402" width="44.7109375" style="32" customWidth="1"/>
    <col min="6403" max="6403" width="19.85546875" style="32" customWidth="1"/>
    <col min="6404" max="6404" width="12.7109375" style="32" customWidth="1"/>
    <col min="6405" max="6405" width="13" style="32" customWidth="1"/>
    <col min="6406" max="6408" width="12.7109375" style="32" customWidth="1"/>
    <col min="6409" max="6409" width="13" style="32" customWidth="1"/>
    <col min="6410" max="6410" width="12.7109375" style="32" customWidth="1"/>
    <col min="6411" max="6411" width="15.28515625" style="32" customWidth="1"/>
    <col min="6412" max="6412" width="33.28515625" style="32" customWidth="1"/>
    <col min="6413" max="6413" width="17" style="32" customWidth="1"/>
    <col min="6414" max="6656" width="9.140625" style="32"/>
    <col min="6657" max="6657" width="7.7109375" style="32" customWidth="1"/>
    <col min="6658" max="6658" width="44.7109375" style="32" customWidth="1"/>
    <col min="6659" max="6659" width="19.85546875" style="32" customWidth="1"/>
    <col min="6660" max="6660" width="12.7109375" style="32" customWidth="1"/>
    <col min="6661" max="6661" width="13" style="32" customWidth="1"/>
    <col min="6662" max="6664" width="12.7109375" style="32" customWidth="1"/>
    <col min="6665" max="6665" width="13" style="32" customWidth="1"/>
    <col min="6666" max="6666" width="12.7109375" style="32" customWidth="1"/>
    <col min="6667" max="6667" width="15.28515625" style="32" customWidth="1"/>
    <col min="6668" max="6668" width="33.28515625" style="32" customWidth="1"/>
    <col min="6669" max="6669" width="17" style="32" customWidth="1"/>
    <col min="6670" max="6912" width="9.140625" style="32"/>
    <col min="6913" max="6913" width="7.7109375" style="32" customWidth="1"/>
    <col min="6914" max="6914" width="44.7109375" style="32" customWidth="1"/>
    <col min="6915" max="6915" width="19.85546875" style="32" customWidth="1"/>
    <col min="6916" max="6916" width="12.7109375" style="32" customWidth="1"/>
    <col min="6917" max="6917" width="13" style="32" customWidth="1"/>
    <col min="6918" max="6920" width="12.7109375" style="32" customWidth="1"/>
    <col min="6921" max="6921" width="13" style="32" customWidth="1"/>
    <col min="6922" max="6922" width="12.7109375" style="32" customWidth="1"/>
    <col min="6923" max="6923" width="15.28515625" style="32" customWidth="1"/>
    <col min="6924" max="6924" width="33.28515625" style="32" customWidth="1"/>
    <col min="6925" max="6925" width="17" style="32" customWidth="1"/>
    <col min="6926" max="7168" width="9.140625" style="32"/>
    <col min="7169" max="7169" width="7.7109375" style="32" customWidth="1"/>
    <col min="7170" max="7170" width="44.7109375" style="32" customWidth="1"/>
    <col min="7171" max="7171" width="19.85546875" style="32" customWidth="1"/>
    <col min="7172" max="7172" width="12.7109375" style="32" customWidth="1"/>
    <col min="7173" max="7173" width="13" style="32" customWidth="1"/>
    <col min="7174" max="7176" width="12.7109375" style="32" customWidth="1"/>
    <col min="7177" max="7177" width="13" style="32" customWidth="1"/>
    <col min="7178" max="7178" width="12.7109375" style="32" customWidth="1"/>
    <col min="7179" max="7179" width="15.28515625" style="32" customWidth="1"/>
    <col min="7180" max="7180" width="33.28515625" style="32" customWidth="1"/>
    <col min="7181" max="7181" width="17" style="32" customWidth="1"/>
    <col min="7182" max="7424" width="9.140625" style="32"/>
    <col min="7425" max="7425" width="7.7109375" style="32" customWidth="1"/>
    <col min="7426" max="7426" width="44.7109375" style="32" customWidth="1"/>
    <col min="7427" max="7427" width="19.85546875" style="32" customWidth="1"/>
    <col min="7428" max="7428" width="12.7109375" style="32" customWidth="1"/>
    <col min="7429" max="7429" width="13" style="32" customWidth="1"/>
    <col min="7430" max="7432" width="12.7109375" style="32" customWidth="1"/>
    <col min="7433" max="7433" width="13" style="32" customWidth="1"/>
    <col min="7434" max="7434" width="12.7109375" style="32" customWidth="1"/>
    <col min="7435" max="7435" width="15.28515625" style="32" customWidth="1"/>
    <col min="7436" max="7436" width="33.28515625" style="32" customWidth="1"/>
    <col min="7437" max="7437" width="17" style="32" customWidth="1"/>
    <col min="7438" max="7680" width="9.140625" style="32"/>
    <col min="7681" max="7681" width="7.7109375" style="32" customWidth="1"/>
    <col min="7682" max="7682" width="44.7109375" style="32" customWidth="1"/>
    <col min="7683" max="7683" width="19.85546875" style="32" customWidth="1"/>
    <col min="7684" max="7684" width="12.7109375" style="32" customWidth="1"/>
    <col min="7685" max="7685" width="13" style="32" customWidth="1"/>
    <col min="7686" max="7688" width="12.7109375" style="32" customWidth="1"/>
    <col min="7689" max="7689" width="13" style="32" customWidth="1"/>
    <col min="7690" max="7690" width="12.7109375" style="32" customWidth="1"/>
    <col min="7691" max="7691" width="15.28515625" style="32" customWidth="1"/>
    <col min="7692" max="7692" width="33.28515625" style="32" customWidth="1"/>
    <col min="7693" max="7693" width="17" style="32" customWidth="1"/>
    <col min="7694" max="7936" width="9.140625" style="32"/>
    <col min="7937" max="7937" width="7.7109375" style="32" customWidth="1"/>
    <col min="7938" max="7938" width="44.7109375" style="32" customWidth="1"/>
    <col min="7939" max="7939" width="19.85546875" style="32" customWidth="1"/>
    <col min="7940" max="7940" width="12.7109375" style="32" customWidth="1"/>
    <col min="7941" max="7941" width="13" style="32" customWidth="1"/>
    <col min="7942" max="7944" width="12.7109375" style="32" customWidth="1"/>
    <col min="7945" max="7945" width="13" style="32" customWidth="1"/>
    <col min="7946" max="7946" width="12.7109375" style="32" customWidth="1"/>
    <col min="7947" max="7947" width="15.28515625" style="32" customWidth="1"/>
    <col min="7948" max="7948" width="33.28515625" style="32" customWidth="1"/>
    <col min="7949" max="7949" width="17" style="32" customWidth="1"/>
    <col min="7950" max="8192" width="9.140625" style="32"/>
    <col min="8193" max="8193" width="7.7109375" style="32" customWidth="1"/>
    <col min="8194" max="8194" width="44.7109375" style="32" customWidth="1"/>
    <col min="8195" max="8195" width="19.85546875" style="32" customWidth="1"/>
    <col min="8196" max="8196" width="12.7109375" style="32" customWidth="1"/>
    <col min="8197" max="8197" width="13" style="32" customWidth="1"/>
    <col min="8198" max="8200" width="12.7109375" style="32" customWidth="1"/>
    <col min="8201" max="8201" width="13" style="32" customWidth="1"/>
    <col min="8202" max="8202" width="12.7109375" style="32" customWidth="1"/>
    <col min="8203" max="8203" width="15.28515625" style="32" customWidth="1"/>
    <col min="8204" max="8204" width="33.28515625" style="32" customWidth="1"/>
    <col min="8205" max="8205" width="17" style="32" customWidth="1"/>
    <col min="8206" max="8448" width="9.140625" style="32"/>
    <col min="8449" max="8449" width="7.7109375" style="32" customWidth="1"/>
    <col min="8450" max="8450" width="44.7109375" style="32" customWidth="1"/>
    <col min="8451" max="8451" width="19.85546875" style="32" customWidth="1"/>
    <col min="8452" max="8452" width="12.7109375" style="32" customWidth="1"/>
    <col min="8453" max="8453" width="13" style="32" customWidth="1"/>
    <col min="8454" max="8456" width="12.7109375" style="32" customWidth="1"/>
    <col min="8457" max="8457" width="13" style="32" customWidth="1"/>
    <col min="8458" max="8458" width="12.7109375" style="32" customWidth="1"/>
    <col min="8459" max="8459" width="15.28515625" style="32" customWidth="1"/>
    <col min="8460" max="8460" width="33.28515625" style="32" customWidth="1"/>
    <col min="8461" max="8461" width="17" style="32" customWidth="1"/>
    <col min="8462" max="8704" width="9.140625" style="32"/>
    <col min="8705" max="8705" width="7.7109375" style="32" customWidth="1"/>
    <col min="8706" max="8706" width="44.7109375" style="32" customWidth="1"/>
    <col min="8707" max="8707" width="19.85546875" style="32" customWidth="1"/>
    <col min="8708" max="8708" width="12.7109375" style="32" customWidth="1"/>
    <col min="8709" max="8709" width="13" style="32" customWidth="1"/>
    <col min="8710" max="8712" width="12.7109375" style="32" customWidth="1"/>
    <col min="8713" max="8713" width="13" style="32" customWidth="1"/>
    <col min="8714" max="8714" width="12.7109375" style="32" customWidth="1"/>
    <col min="8715" max="8715" width="15.28515625" style="32" customWidth="1"/>
    <col min="8716" max="8716" width="33.28515625" style="32" customWidth="1"/>
    <col min="8717" max="8717" width="17" style="32" customWidth="1"/>
    <col min="8718" max="8960" width="9.140625" style="32"/>
    <col min="8961" max="8961" width="7.7109375" style="32" customWidth="1"/>
    <col min="8962" max="8962" width="44.7109375" style="32" customWidth="1"/>
    <col min="8963" max="8963" width="19.85546875" style="32" customWidth="1"/>
    <col min="8964" max="8964" width="12.7109375" style="32" customWidth="1"/>
    <col min="8965" max="8965" width="13" style="32" customWidth="1"/>
    <col min="8966" max="8968" width="12.7109375" style="32" customWidth="1"/>
    <col min="8969" max="8969" width="13" style="32" customWidth="1"/>
    <col min="8970" max="8970" width="12.7109375" style="32" customWidth="1"/>
    <col min="8971" max="8971" width="15.28515625" style="32" customWidth="1"/>
    <col min="8972" max="8972" width="33.28515625" style="32" customWidth="1"/>
    <col min="8973" max="8973" width="17" style="32" customWidth="1"/>
    <col min="8974" max="9216" width="9.140625" style="32"/>
    <col min="9217" max="9217" width="7.7109375" style="32" customWidth="1"/>
    <col min="9218" max="9218" width="44.7109375" style="32" customWidth="1"/>
    <col min="9219" max="9219" width="19.85546875" style="32" customWidth="1"/>
    <col min="9220" max="9220" width="12.7109375" style="32" customWidth="1"/>
    <col min="9221" max="9221" width="13" style="32" customWidth="1"/>
    <col min="9222" max="9224" width="12.7109375" style="32" customWidth="1"/>
    <col min="9225" max="9225" width="13" style="32" customWidth="1"/>
    <col min="9226" max="9226" width="12.7109375" style="32" customWidth="1"/>
    <col min="9227" max="9227" width="15.28515625" style="32" customWidth="1"/>
    <col min="9228" max="9228" width="33.28515625" style="32" customWidth="1"/>
    <col min="9229" max="9229" width="17" style="32" customWidth="1"/>
    <col min="9230" max="9472" width="9.140625" style="32"/>
    <col min="9473" max="9473" width="7.7109375" style="32" customWidth="1"/>
    <col min="9474" max="9474" width="44.7109375" style="32" customWidth="1"/>
    <col min="9475" max="9475" width="19.85546875" style="32" customWidth="1"/>
    <col min="9476" max="9476" width="12.7109375" style="32" customWidth="1"/>
    <col min="9477" max="9477" width="13" style="32" customWidth="1"/>
    <col min="9478" max="9480" width="12.7109375" style="32" customWidth="1"/>
    <col min="9481" max="9481" width="13" style="32" customWidth="1"/>
    <col min="9482" max="9482" width="12.7109375" style="32" customWidth="1"/>
    <col min="9483" max="9483" width="15.28515625" style="32" customWidth="1"/>
    <col min="9484" max="9484" width="33.28515625" style="32" customWidth="1"/>
    <col min="9485" max="9485" width="17" style="32" customWidth="1"/>
    <col min="9486" max="9728" width="9.140625" style="32"/>
    <col min="9729" max="9729" width="7.7109375" style="32" customWidth="1"/>
    <col min="9730" max="9730" width="44.7109375" style="32" customWidth="1"/>
    <col min="9731" max="9731" width="19.85546875" style="32" customWidth="1"/>
    <col min="9732" max="9732" width="12.7109375" style="32" customWidth="1"/>
    <col min="9733" max="9733" width="13" style="32" customWidth="1"/>
    <col min="9734" max="9736" width="12.7109375" style="32" customWidth="1"/>
    <col min="9737" max="9737" width="13" style="32" customWidth="1"/>
    <col min="9738" max="9738" width="12.7109375" style="32" customWidth="1"/>
    <col min="9739" max="9739" width="15.28515625" style="32" customWidth="1"/>
    <col min="9740" max="9740" width="33.28515625" style="32" customWidth="1"/>
    <col min="9741" max="9741" width="17" style="32" customWidth="1"/>
    <col min="9742" max="9984" width="9.140625" style="32"/>
    <col min="9985" max="9985" width="7.7109375" style="32" customWidth="1"/>
    <col min="9986" max="9986" width="44.7109375" style="32" customWidth="1"/>
    <col min="9987" max="9987" width="19.85546875" style="32" customWidth="1"/>
    <col min="9988" max="9988" width="12.7109375" style="32" customWidth="1"/>
    <col min="9989" max="9989" width="13" style="32" customWidth="1"/>
    <col min="9990" max="9992" width="12.7109375" style="32" customWidth="1"/>
    <col min="9993" max="9993" width="13" style="32" customWidth="1"/>
    <col min="9994" max="9994" width="12.7109375" style="32" customWidth="1"/>
    <col min="9995" max="9995" width="15.28515625" style="32" customWidth="1"/>
    <col min="9996" max="9996" width="33.28515625" style="32" customWidth="1"/>
    <col min="9997" max="9997" width="17" style="32" customWidth="1"/>
    <col min="9998" max="10240" width="9.140625" style="32"/>
    <col min="10241" max="10241" width="7.7109375" style="32" customWidth="1"/>
    <col min="10242" max="10242" width="44.7109375" style="32" customWidth="1"/>
    <col min="10243" max="10243" width="19.85546875" style="32" customWidth="1"/>
    <col min="10244" max="10244" width="12.7109375" style="32" customWidth="1"/>
    <col min="10245" max="10245" width="13" style="32" customWidth="1"/>
    <col min="10246" max="10248" width="12.7109375" style="32" customWidth="1"/>
    <col min="10249" max="10249" width="13" style="32" customWidth="1"/>
    <col min="10250" max="10250" width="12.7109375" style="32" customWidth="1"/>
    <col min="10251" max="10251" width="15.28515625" style="32" customWidth="1"/>
    <col min="10252" max="10252" width="33.28515625" style="32" customWidth="1"/>
    <col min="10253" max="10253" width="17" style="32" customWidth="1"/>
    <col min="10254" max="10496" width="9.140625" style="32"/>
    <col min="10497" max="10497" width="7.7109375" style="32" customWidth="1"/>
    <col min="10498" max="10498" width="44.7109375" style="32" customWidth="1"/>
    <col min="10499" max="10499" width="19.85546875" style="32" customWidth="1"/>
    <col min="10500" max="10500" width="12.7109375" style="32" customWidth="1"/>
    <col min="10501" max="10501" width="13" style="32" customWidth="1"/>
    <col min="10502" max="10504" width="12.7109375" style="32" customWidth="1"/>
    <col min="10505" max="10505" width="13" style="32" customWidth="1"/>
    <col min="10506" max="10506" width="12.7109375" style="32" customWidth="1"/>
    <col min="10507" max="10507" width="15.28515625" style="32" customWidth="1"/>
    <col min="10508" max="10508" width="33.28515625" style="32" customWidth="1"/>
    <col min="10509" max="10509" width="17" style="32" customWidth="1"/>
    <col min="10510" max="10752" width="9.140625" style="32"/>
    <col min="10753" max="10753" width="7.7109375" style="32" customWidth="1"/>
    <col min="10754" max="10754" width="44.7109375" style="32" customWidth="1"/>
    <col min="10755" max="10755" width="19.85546875" style="32" customWidth="1"/>
    <col min="10756" max="10756" width="12.7109375" style="32" customWidth="1"/>
    <col min="10757" max="10757" width="13" style="32" customWidth="1"/>
    <col min="10758" max="10760" width="12.7109375" style="32" customWidth="1"/>
    <col min="10761" max="10761" width="13" style="32" customWidth="1"/>
    <col min="10762" max="10762" width="12.7109375" style="32" customWidth="1"/>
    <col min="10763" max="10763" width="15.28515625" style="32" customWidth="1"/>
    <col min="10764" max="10764" width="33.28515625" style="32" customWidth="1"/>
    <col min="10765" max="10765" width="17" style="32" customWidth="1"/>
    <col min="10766" max="11008" width="9.140625" style="32"/>
    <col min="11009" max="11009" width="7.7109375" style="32" customWidth="1"/>
    <col min="11010" max="11010" width="44.7109375" style="32" customWidth="1"/>
    <col min="11011" max="11011" width="19.85546875" style="32" customWidth="1"/>
    <col min="11012" max="11012" width="12.7109375" style="32" customWidth="1"/>
    <col min="11013" max="11013" width="13" style="32" customWidth="1"/>
    <col min="11014" max="11016" width="12.7109375" style="32" customWidth="1"/>
    <col min="11017" max="11017" width="13" style="32" customWidth="1"/>
    <col min="11018" max="11018" width="12.7109375" style="32" customWidth="1"/>
    <col min="11019" max="11019" width="15.28515625" style="32" customWidth="1"/>
    <col min="11020" max="11020" width="33.28515625" style="32" customWidth="1"/>
    <col min="11021" max="11021" width="17" style="32" customWidth="1"/>
    <col min="11022" max="11264" width="9.140625" style="32"/>
    <col min="11265" max="11265" width="7.7109375" style="32" customWidth="1"/>
    <col min="11266" max="11266" width="44.7109375" style="32" customWidth="1"/>
    <col min="11267" max="11267" width="19.85546875" style="32" customWidth="1"/>
    <col min="11268" max="11268" width="12.7109375" style="32" customWidth="1"/>
    <col min="11269" max="11269" width="13" style="32" customWidth="1"/>
    <col min="11270" max="11272" width="12.7109375" style="32" customWidth="1"/>
    <col min="11273" max="11273" width="13" style="32" customWidth="1"/>
    <col min="11274" max="11274" width="12.7109375" style="32" customWidth="1"/>
    <col min="11275" max="11275" width="15.28515625" style="32" customWidth="1"/>
    <col min="11276" max="11276" width="33.28515625" style="32" customWidth="1"/>
    <col min="11277" max="11277" width="17" style="32" customWidth="1"/>
    <col min="11278" max="11520" width="9.140625" style="32"/>
    <col min="11521" max="11521" width="7.7109375" style="32" customWidth="1"/>
    <col min="11522" max="11522" width="44.7109375" style="32" customWidth="1"/>
    <col min="11523" max="11523" width="19.85546875" style="32" customWidth="1"/>
    <col min="11524" max="11524" width="12.7109375" style="32" customWidth="1"/>
    <col min="11525" max="11525" width="13" style="32" customWidth="1"/>
    <col min="11526" max="11528" width="12.7109375" style="32" customWidth="1"/>
    <col min="11529" max="11529" width="13" style="32" customWidth="1"/>
    <col min="11530" max="11530" width="12.7109375" style="32" customWidth="1"/>
    <col min="11531" max="11531" width="15.28515625" style="32" customWidth="1"/>
    <col min="11532" max="11532" width="33.28515625" style="32" customWidth="1"/>
    <col min="11533" max="11533" width="17" style="32" customWidth="1"/>
    <col min="11534" max="11776" width="9.140625" style="32"/>
    <col min="11777" max="11777" width="7.7109375" style="32" customWidth="1"/>
    <col min="11778" max="11778" width="44.7109375" style="32" customWidth="1"/>
    <col min="11779" max="11779" width="19.85546875" style="32" customWidth="1"/>
    <col min="11780" max="11780" width="12.7109375" style="32" customWidth="1"/>
    <col min="11781" max="11781" width="13" style="32" customWidth="1"/>
    <col min="11782" max="11784" width="12.7109375" style="32" customWidth="1"/>
    <col min="11785" max="11785" width="13" style="32" customWidth="1"/>
    <col min="11786" max="11786" width="12.7109375" style="32" customWidth="1"/>
    <col min="11787" max="11787" width="15.28515625" style="32" customWidth="1"/>
    <col min="11788" max="11788" width="33.28515625" style="32" customWidth="1"/>
    <col min="11789" max="11789" width="17" style="32" customWidth="1"/>
    <col min="11790" max="12032" width="9.140625" style="32"/>
    <col min="12033" max="12033" width="7.7109375" style="32" customWidth="1"/>
    <col min="12034" max="12034" width="44.7109375" style="32" customWidth="1"/>
    <col min="12035" max="12035" width="19.85546875" style="32" customWidth="1"/>
    <col min="12036" max="12036" width="12.7109375" style="32" customWidth="1"/>
    <col min="12037" max="12037" width="13" style="32" customWidth="1"/>
    <col min="12038" max="12040" width="12.7109375" style="32" customWidth="1"/>
    <col min="12041" max="12041" width="13" style="32" customWidth="1"/>
    <col min="12042" max="12042" width="12.7109375" style="32" customWidth="1"/>
    <col min="12043" max="12043" width="15.28515625" style="32" customWidth="1"/>
    <col min="12044" max="12044" width="33.28515625" style="32" customWidth="1"/>
    <col min="12045" max="12045" width="17" style="32" customWidth="1"/>
    <col min="12046" max="12288" width="9.140625" style="32"/>
    <col min="12289" max="12289" width="7.7109375" style="32" customWidth="1"/>
    <col min="12290" max="12290" width="44.7109375" style="32" customWidth="1"/>
    <col min="12291" max="12291" width="19.85546875" style="32" customWidth="1"/>
    <col min="12292" max="12292" width="12.7109375" style="32" customWidth="1"/>
    <col min="12293" max="12293" width="13" style="32" customWidth="1"/>
    <col min="12294" max="12296" width="12.7109375" style="32" customWidth="1"/>
    <col min="12297" max="12297" width="13" style="32" customWidth="1"/>
    <col min="12298" max="12298" width="12.7109375" style="32" customWidth="1"/>
    <col min="12299" max="12299" width="15.28515625" style="32" customWidth="1"/>
    <col min="12300" max="12300" width="33.28515625" style="32" customWidth="1"/>
    <col min="12301" max="12301" width="17" style="32" customWidth="1"/>
    <col min="12302" max="12544" width="9.140625" style="32"/>
    <col min="12545" max="12545" width="7.7109375" style="32" customWidth="1"/>
    <col min="12546" max="12546" width="44.7109375" style="32" customWidth="1"/>
    <col min="12547" max="12547" width="19.85546875" style="32" customWidth="1"/>
    <col min="12548" max="12548" width="12.7109375" style="32" customWidth="1"/>
    <col min="12549" max="12549" width="13" style="32" customWidth="1"/>
    <col min="12550" max="12552" width="12.7109375" style="32" customWidth="1"/>
    <col min="12553" max="12553" width="13" style="32" customWidth="1"/>
    <col min="12554" max="12554" width="12.7109375" style="32" customWidth="1"/>
    <col min="12555" max="12555" width="15.28515625" style="32" customWidth="1"/>
    <col min="12556" max="12556" width="33.28515625" style="32" customWidth="1"/>
    <col min="12557" max="12557" width="17" style="32" customWidth="1"/>
    <col min="12558" max="12800" width="9.140625" style="32"/>
    <col min="12801" max="12801" width="7.7109375" style="32" customWidth="1"/>
    <col min="12802" max="12802" width="44.7109375" style="32" customWidth="1"/>
    <col min="12803" max="12803" width="19.85546875" style="32" customWidth="1"/>
    <col min="12804" max="12804" width="12.7109375" style="32" customWidth="1"/>
    <col min="12805" max="12805" width="13" style="32" customWidth="1"/>
    <col min="12806" max="12808" width="12.7109375" style="32" customWidth="1"/>
    <col min="12809" max="12809" width="13" style="32" customWidth="1"/>
    <col min="12810" max="12810" width="12.7109375" style="32" customWidth="1"/>
    <col min="12811" max="12811" width="15.28515625" style="32" customWidth="1"/>
    <col min="12812" max="12812" width="33.28515625" style="32" customWidth="1"/>
    <col min="12813" max="12813" width="17" style="32" customWidth="1"/>
    <col min="12814" max="13056" width="9.140625" style="32"/>
    <col min="13057" max="13057" width="7.7109375" style="32" customWidth="1"/>
    <col min="13058" max="13058" width="44.7109375" style="32" customWidth="1"/>
    <col min="13059" max="13059" width="19.85546875" style="32" customWidth="1"/>
    <col min="13060" max="13060" width="12.7109375" style="32" customWidth="1"/>
    <col min="13061" max="13061" width="13" style="32" customWidth="1"/>
    <col min="13062" max="13064" width="12.7109375" style="32" customWidth="1"/>
    <col min="13065" max="13065" width="13" style="32" customWidth="1"/>
    <col min="13066" max="13066" width="12.7109375" style="32" customWidth="1"/>
    <col min="13067" max="13067" width="15.28515625" style="32" customWidth="1"/>
    <col min="13068" max="13068" width="33.28515625" style="32" customWidth="1"/>
    <col min="13069" max="13069" width="17" style="32" customWidth="1"/>
    <col min="13070" max="13312" width="9.140625" style="32"/>
    <col min="13313" max="13313" width="7.7109375" style="32" customWidth="1"/>
    <col min="13314" max="13314" width="44.7109375" style="32" customWidth="1"/>
    <col min="13315" max="13315" width="19.85546875" style="32" customWidth="1"/>
    <col min="13316" max="13316" width="12.7109375" style="32" customWidth="1"/>
    <col min="13317" max="13317" width="13" style="32" customWidth="1"/>
    <col min="13318" max="13320" width="12.7109375" style="32" customWidth="1"/>
    <col min="13321" max="13321" width="13" style="32" customWidth="1"/>
    <col min="13322" max="13322" width="12.7109375" style="32" customWidth="1"/>
    <col min="13323" max="13323" width="15.28515625" style="32" customWidth="1"/>
    <col min="13324" max="13324" width="33.28515625" style="32" customWidth="1"/>
    <col min="13325" max="13325" width="17" style="32" customWidth="1"/>
    <col min="13326" max="13568" width="9.140625" style="32"/>
    <col min="13569" max="13569" width="7.7109375" style="32" customWidth="1"/>
    <col min="13570" max="13570" width="44.7109375" style="32" customWidth="1"/>
    <col min="13571" max="13571" width="19.85546875" style="32" customWidth="1"/>
    <col min="13572" max="13572" width="12.7109375" style="32" customWidth="1"/>
    <col min="13573" max="13573" width="13" style="32" customWidth="1"/>
    <col min="13574" max="13576" width="12.7109375" style="32" customWidth="1"/>
    <col min="13577" max="13577" width="13" style="32" customWidth="1"/>
    <col min="13578" max="13578" width="12.7109375" style="32" customWidth="1"/>
    <col min="13579" max="13579" width="15.28515625" style="32" customWidth="1"/>
    <col min="13580" max="13580" width="33.28515625" style="32" customWidth="1"/>
    <col min="13581" max="13581" width="17" style="32" customWidth="1"/>
    <col min="13582" max="13824" width="9.140625" style="32"/>
    <col min="13825" max="13825" width="7.7109375" style="32" customWidth="1"/>
    <col min="13826" max="13826" width="44.7109375" style="32" customWidth="1"/>
    <col min="13827" max="13827" width="19.85546875" style="32" customWidth="1"/>
    <col min="13828" max="13828" width="12.7109375" style="32" customWidth="1"/>
    <col min="13829" max="13829" width="13" style="32" customWidth="1"/>
    <col min="13830" max="13832" width="12.7109375" style="32" customWidth="1"/>
    <col min="13833" max="13833" width="13" style="32" customWidth="1"/>
    <col min="13834" max="13834" width="12.7109375" style="32" customWidth="1"/>
    <col min="13835" max="13835" width="15.28515625" style="32" customWidth="1"/>
    <col min="13836" max="13836" width="33.28515625" style="32" customWidth="1"/>
    <col min="13837" max="13837" width="17" style="32" customWidth="1"/>
    <col min="13838" max="14080" width="9.140625" style="32"/>
    <col min="14081" max="14081" width="7.7109375" style="32" customWidth="1"/>
    <col min="14082" max="14082" width="44.7109375" style="32" customWidth="1"/>
    <col min="14083" max="14083" width="19.85546875" style="32" customWidth="1"/>
    <col min="14084" max="14084" width="12.7109375" style="32" customWidth="1"/>
    <col min="14085" max="14085" width="13" style="32" customWidth="1"/>
    <col min="14086" max="14088" width="12.7109375" style="32" customWidth="1"/>
    <col min="14089" max="14089" width="13" style="32" customWidth="1"/>
    <col min="14090" max="14090" width="12.7109375" style="32" customWidth="1"/>
    <col min="14091" max="14091" width="15.28515625" style="32" customWidth="1"/>
    <col min="14092" max="14092" width="33.28515625" style="32" customWidth="1"/>
    <col min="14093" max="14093" width="17" style="32" customWidth="1"/>
    <col min="14094" max="14336" width="9.140625" style="32"/>
    <col min="14337" max="14337" width="7.7109375" style="32" customWidth="1"/>
    <col min="14338" max="14338" width="44.7109375" style="32" customWidth="1"/>
    <col min="14339" max="14339" width="19.85546875" style="32" customWidth="1"/>
    <col min="14340" max="14340" width="12.7109375" style="32" customWidth="1"/>
    <col min="14341" max="14341" width="13" style="32" customWidth="1"/>
    <col min="14342" max="14344" width="12.7109375" style="32" customWidth="1"/>
    <col min="14345" max="14345" width="13" style="32" customWidth="1"/>
    <col min="14346" max="14346" width="12.7109375" style="32" customWidth="1"/>
    <col min="14347" max="14347" width="15.28515625" style="32" customWidth="1"/>
    <col min="14348" max="14348" width="33.28515625" style="32" customWidth="1"/>
    <col min="14349" max="14349" width="17" style="32" customWidth="1"/>
    <col min="14350" max="14592" width="9.140625" style="32"/>
    <col min="14593" max="14593" width="7.7109375" style="32" customWidth="1"/>
    <col min="14594" max="14594" width="44.7109375" style="32" customWidth="1"/>
    <col min="14595" max="14595" width="19.85546875" style="32" customWidth="1"/>
    <col min="14596" max="14596" width="12.7109375" style="32" customWidth="1"/>
    <col min="14597" max="14597" width="13" style="32" customWidth="1"/>
    <col min="14598" max="14600" width="12.7109375" style="32" customWidth="1"/>
    <col min="14601" max="14601" width="13" style="32" customWidth="1"/>
    <col min="14602" max="14602" width="12.7109375" style="32" customWidth="1"/>
    <col min="14603" max="14603" width="15.28515625" style="32" customWidth="1"/>
    <col min="14604" max="14604" width="33.28515625" style="32" customWidth="1"/>
    <col min="14605" max="14605" width="17" style="32" customWidth="1"/>
    <col min="14606" max="14848" width="9.140625" style="32"/>
    <col min="14849" max="14849" width="7.7109375" style="32" customWidth="1"/>
    <col min="14850" max="14850" width="44.7109375" style="32" customWidth="1"/>
    <col min="14851" max="14851" width="19.85546875" style="32" customWidth="1"/>
    <col min="14852" max="14852" width="12.7109375" style="32" customWidth="1"/>
    <col min="14853" max="14853" width="13" style="32" customWidth="1"/>
    <col min="14854" max="14856" width="12.7109375" style="32" customWidth="1"/>
    <col min="14857" max="14857" width="13" style="32" customWidth="1"/>
    <col min="14858" max="14858" width="12.7109375" style="32" customWidth="1"/>
    <col min="14859" max="14859" width="15.28515625" style="32" customWidth="1"/>
    <col min="14860" max="14860" width="33.28515625" style="32" customWidth="1"/>
    <col min="14861" max="14861" width="17" style="32" customWidth="1"/>
    <col min="14862" max="15104" width="9.140625" style="32"/>
    <col min="15105" max="15105" width="7.7109375" style="32" customWidth="1"/>
    <col min="15106" max="15106" width="44.7109375" style="32" customWidth="1"/>
    <col min="15107" max="15107" width="19.85546875" style="32" customWidth="1"/>
    <col min="15108" max="15108" width="12.7109375" style="32" customWidth="1"/>
    <col min="15109" max="15109" width="13" style="32" customWidth="1"/>
    <col min="15110" max="15112" width="12.7109375" style="32" customWidth="1"/>
    <col min="15113" max="15113" width="13" style="32" customWidth="1"/>
    <col min="15114" max="15114" width="12.7109375" style="32" customWidth="1"/>
    <col min="15115" max="15115" width="15.28515625" style="32" customWidth="1"/>
    <col min="15116" max="15116" width="33.28515625" style="32" customWidth="1"/>
    <col min="15117" max="15117" width="17" style="32" customWidth="1"/>
    <col min="15118" max="15360" width="9.140625" style="32"/>
    <col min="15361" max="15361" width="7.7109375" style="32" customWidth="1"/>
    <col min="15362" max="15362" width="44.7109375" style="32" customWidth="1"/>
    <col min="15363" max="15363" width="19.85546875" style="32" customWidth="1"/>
    <col min="15364" max="15364" width="12.7109375" style="32" customWidth="1"/>
    <col min="15365" max="15365" width="13" style="32" customWidth="1"/>
    <col min="15366" max="15368" width="12.7109375" style="32" customWidth="1"/>
    <col min="15369" max="15369" width="13" style="32" customWidth="1"/>
    <col min="15370" max="15370" width="12.7109375" style="32" customWidth="1"/>
    <col min="15371" max="15371" width="15.28515625" style="32" customWidth="1"/>
    <col min="15372" max="15372" width="33.28515625" style="32" customWidth="1"/>
    <col min="15373" max="15373" width="17" style="32" customWidth="1"/>
    <col min="15374" max="15616" width="9.140625" style="32"/>
    <col min="15617" max="15617" width="7.7109375" style="32" customWidth="1"/>
    <col min="15618" max="15618" width="44.7109375" style="32" customWidth="1"/>
    <col min="15619" max="15619" width="19.85546875" style="32" customWidth="1"/>
    <col min="15620" max="15620" width="12.7109375" style="32" customWidth="1"/>
    <col min="15621" max="15621" width="13" style="32" customWidth="1"/>
    <col min="15622" max="15624" width="12.7109375" style="32" customWidth="1"/>
    <col min="15625" max="15625" width="13" style="32" customWidth="1"/>
    <col min="15626" max="15626" width="12.7109375" style="32" customWidth="1"/>
    <col min="15627" max="15627" width="15.28515625" style="32" customWidth="1"/>
    <col min="15628" max="15628" width="33.28515625" style="32" customWidth="1"/>
    <col min="15629" max="15629" width="17" style="32" customWidth="1"/>
    <col min="15630" max="15872" width="9.140625" style="32"/>
    <col min="15873" max="15873" width="7.7109375" style="32" customWidth="1"/>
    <col min="15874" max="15874" width="44.7109375" style="32" customWidth="1"/>
    <col min="15875" max="15875" width="19.85546875" style="32" customWidth="1"/>
    <col min="15876" max="15876" width="12.7109375" style="32" customWidth="1"/>
    <col min="15877" max="15877" width="13" style="32" customWidth="1"/>
    <col min="15878" max="15880" width="12.7109375" style="32" customWidth="1"/>
    <col min="15881" max="15881" width="13" style="32" customWidth="1"/>
    <col min="15882" max="15882" width="12.7109375" style="32" customWidth="1"/>
    <col min="15883" max="15883" width="15.28515625" style="32" customWidth="1"/>
    <col min="15884" max="15884" width="33.28515625" style="32" customWidth="1"/>
    <col min="15885" max="15885" width="17" style="32" customWidth="1"/>
    <col min="15886" max="16128" width="9.140625" style="32"/>
    <col min="16129" max="16129" width="7.7109375" style="32" customWidth="1"/>
    <col min="16130" max="16130" width="44.7109375" style="32" customWidth="1"/>
    <col min="16131" max="16131" width="19.85546875" style="32" customWidth="1"/>
    <col min="16132" max="16132" width="12.7109375" style="32" customWidth="1"/>
    <col min="16133" max="16133" width="13" style="32" customWidth="1"/>
    <col min="16134" max="16136" width="12.7109375" style="32" customWidth="1"/>
    <col min="16137" max="16137" width="13" style="32" customWidth="1"/>
    <col min="16138" max="16138" width="12.7109375" style="32" customWidth="1"/>
    <col min="16139" max="16139" width="15.28515625" style="32" customWidth="1"/>
    <col min="16140" max="16140" width="33.28515625" style="32" customWidth="1"/>
    <col min="16141" max="16141" width="17" style="32" customWidth="1"/>
    <col min="16142" max="16384" width="9.140625" style="32"/>
  </cols>
  <sheetData>
    <row r="1" spans="1:12" ht="48.75" customHeight="1" x14ac:dyDescent="0.25">
      <c r="A1" s="174" t="s">
        <v>305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28.5" customHeight="1" x14ac:dyDescent="0.25">
      <c r="A2" s="176" t="s">
        <v>304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</row>
    <row r="3" spans="1:12" ht="12.75" customHeight="1" thickBot="1" x14ac:dyDescent="0.5">
      <c r="A3" s="33" t="s">
        <v>121</v>
      </c>
      <c r="B3" s="34"/>
      <c r="C3" s="34"/>
      <c r="D3" s="35"/>
      <c r="E3" s="36"/>
      <c r="F3" s="35"/>
      <c r="G3" s="37"/>
      <c r="H3" s="37"/>
      <c r="I3" s="38"/>
      <c r="J3" s="36"/>
      <c r="K3" s="39"/>
      <c r="L3" s="40"/>
    </row>
    <row r="4" spans="1:12" s="41" customFormat="1" ht="37.5" customHeight="1" x14ac:dyDescent="0.35">
      <c r="A4" s="228" t="s">
        <v>56</v>
      </c>
      <c r="B4" s="222" t="s">
        <v>57</v>
      </c>
      <c r="C4" s="222" t="s">
        <v>58</v>
      </c>
      <c r="D4" s="222" t="s">
        <v>59</v>
      </c>
      <c r="E4" s="222" t="s">
        <v>60</v>
      </c>
      <c r="F4" s="232" t="s">
        <v>61</v>
      </c>
      <c r="G4" s="233"/>
      <c r="H4" s="233"/>
      <c r="I4" s="233"/>
      <c r="J4" s="222" t="s">
        <v>74</v>
      </c>
      <c r="K4" s="224" t="s">
        <v>125</v>
      </c>
      <c r="L4" s="226" t="s">
        <v>62</v>
      </c>
    </row>
    <row r="5" spans="1:12" s="41" customFormat="1" ht="42" customHeight="1" x14ac:dyDescent="0.25">
      <c r="A5" s="229"/>
      <c r="B5" s="230"/>
      <c r="C5" s="231"/>
      <c r="D5" s="223"/>
      <c r="E5" s="223"/>
      <c r="F5" s="48" t="s">
        <v>76</v>
      </c>
      <c r="G5" s="48" t="s">
        <v>77</v>
      </c>
      <c r="H5" s="48" t="s">
        <v>78</v>
      </c>
      <c r="I5" s="48" t="s">
        <v>124</v>
      </c>
      <c r="J5" s="223"/>
      <c r="K5" s="225"/>
      <c r="L5" s="227"/>
    </row>
    <row r="6" spans="1:12" s="41" customFormat="1" ht="24.95" customHeight="1" thickBot="1" x14ac:dyDescent="0.3">
      <c r="A6" s="49" t="s">
        <v>63</v>
      </c>
      <c r="B6" s="50" t="s">
        <v>64</v>
      </c>
      <c r="C6" s="50" t="s">
        <v>65</v>
      </c>
      <c r="D6" s="51" t="s">
        <v>66</v>
      </c>
      <c r="E6" s="51" t="s">
        <v>67</v>
      </c>
      <c r="F6" s="50" t="s">
        <v>68</v>
      </c>
      <c r="G6" s="50" t="s">
        <v>69</v>
      </c>
      <c r="H6" s="50" t="s">
        <v>123</v>
      </c>
      <c r="I6" s="50" t="s">
        <v>70</v>
      </c>
      <c r="J6" s="51" t="s">
        <v>71</v>
      </c>
      <c r="K6" s="51" t="s">
        <v>72</v>
      </c>
      <c r="L6" s="52" t="s">
        <v>73</v>
      </c>
    </row>
    <row r="7" spans="1:12" s="41" customFormat="1" ht="30" customHeight="1" thickBot="1" x14ac:dyDescent="0.3">
      <c r="A7" s="53"/>
      <c r="B7" s="54" t="s">
        <v>143</v>
      </c>
      <c r="C7" s="55"/>
      <c r="D7" s="56"/>
      <c r="E7" s="56"/>
      <c r="F7" s="55"/>
      <c r="G7" s="55"/>
      <c r="H7" s="55"/>
      <c r="I7" s="55"/>
      <c r="J7" s="56"/>
      <c r="K7" s="56"/>
      <c r="L7" s="57"/>
    </row>
    <row r="8" spans="1:12" s="42" customFormat="1" ht="30" customHeight="1" collapsed="1" thickBot="1" x14ac:dyDescent="0.3">
      <c r="A8" s="58">
        <v>1</v>
      </c>
      <c r="B8" s="59" t="s">
        <v>350</v>
      </c>
      <c r="C8" s="60"/>
      <c r="D8" s="61" t="s">
        <v>347</v>
      </c>
      <c r="E8" s="61"/>
      <c r="F8" s="62"/>
      <c r="G8" s="62"/>
      <c r="H8" s="62"/>
      <c r="I8" s="63"/>
      <c r="J8" s="61"/>
      <c r="K8" s="64">
        <f>SUBTOTAL(9,K9:K11)</f>
        <v>180</v>
      </c>
      <c r="L8" s="65"/>
    </row>
    <row r="9" spans="1:12" s="42" customFormat="1" ht="30" customHeight="1" thickBot="1" x14ac:dyDescent="0.3">
      <c r="A9" s="58">
        <v>2</v>
      </c>
      <c r="B9" s="59" t="s">
        <v>351</v>
      </c>
      <c r="C9" s="60"/>
      <c r="D9" s="61" t="s">
        <v>347</v>
      </c>
      <c r="E9" s="61"/>
      <c r="F9" s="62"/>
      <c r="G9" s="62"/>
      <c r="H9" s="62"/>
      <c r="I9" s="63"/>
      <c r="J9" s="61"/>
      <c r="K9" s="64">
        <f>SUBTOTAL(9,K10:K12)</f>
        <v>420</v>
      </c>
      <c r="L9" s="65"/>
    </row>
    <row r="10" spans="1:12" s="42" customFormat="1" ht="24.95" customHeight="1" outlineLevel="1" x14ac:dyDescent="0.25">
      <c r="A10" s="66">
        <v>1.1000000000000001</v>
      </c>
      <c r="B10" s="59" t="s">
        <v>127</v>
      </c>
      <c r="C10" s="60"/>
      <c r="D10" s="61" t="s">
        <v>348</v>
      </c>
      <c r="E10" s="61"/>
      <c r="F10" s="62"/>
      <c r="G10" s="62"/>
      <c r="H10" s="62"/>
      <c r="I10" s="63"/>
      <c r="J10" s="61"/>
      <c r="K10" s="64">
        <f>SUBTOTAL(9,K11:K12)</f>
        <v>420</v>
      </c>
      <c r="L10" s="67"/>
    </row>
    <row r="11" spans="1:12" s="43" customFormat="1" ht="20.100000000000001" customHeight="1" outlineLevel="2" x14ac:dyDescent="0.25">
      <c r="A11" s="68"/>
      <c r="B11" s="69"/>
      <c r="C11" s="70" t="s">
        <v>128</v>
      </c>
      <c r="D11" s="71" t="s">
        <v>348</v>
      </c>
      <c r="E11" s="72">
        <v>4</v>
      </c>
      <c r="F11" s="73">
        <v>3</v>
      </c>
      <c r="G11" s="73">
        <v>15</v>
      </c>
      <c r="H11" s="74"/>
      <c r="I11" s="73"/>
      <c r="J11" s="75" t="s">
        <v>75</v>
      </c>
      <c r="K11" s="74">
        <f t="shared" ref="K11:K12" si="0">ROUND(PRODUCT(E11:J11),3)</f>
        <v>180</v>
      </c>
      <c r="L11" s="76"/>
    </row>
    <row r="12" spans="1:12" s="43" customFormat="1" ht="20.100000000000001" customHeight="1" outlineLevel="2" thickBot="1" x14ac:dyDescent="0.3">
      <c r="A12" s="77"/>
      <c r="B12" s="78"/>
      <c r="C12" s="79" t="s">
        <v>129</v>
      </c>
      <c r="D12" s="80" t="s">
        <v>348</v>
      </c>
      <c r="E12" s="81">
        <v>4</v>
      </c>
      <c r="F12" s="82">
        <v>4</v>
      </c>
      <c r="G12" s="82">
        <v>15</v>
      </c>
      <c r="H12" s="83"/>
      <c r="I12" s="82"/>
      <c r="J12" s="84" t="s">
        <v>75</v>
      </c>
      <c r="K12" s="83">
        <f t="shared" si="0"/>
        <v>240</v>
      </c>
      <c r="L12" s="85"/>
    </row>
    <row r="13" spans="1:12" s="42" customFormat="1" ht="30" customHeight="1" collapsed="1" thickBot="1" x14ac:dyDescent="0.3">
      <c r="A13" s="58">
        <v>3</v>
      </c>
      <c r="B13" s="59" t="s">
        <v>353</v>
      </c>
      <c r="C13" s="60"/>
      <c r="D13" s="61" t="s">
        <v>2</v>
      </c>
      <c r="E13" s="61"/>
      <c r="F13" s="62"/>
      <c r="G13" s="62"/>
      <c r="H13" s="62"/>
      <c r="I13" s="63"/>
      <c r="J13" s="61"/>
      <c r="K13" s="64">
        <f>SUBTOTAL(9,K14:K22)</f>
        <v>38.351000000000006</v>
      </c>
      <c r="L13" s="65"/>
    </row>
    <row r="14" spans="1:12" s="42" customFormat="1" ht="24.75" hidden="1" customHeight="1" outlineLevel="1" x14ac:dyDescent="0.25">
      <c r="A14" s="66">
        <v>2.1</v>
      </c>
      <c r="B14" s="59" t="s">
        <v>127</v>
      </c>
      <c r="C14" s="60"/>
      <c r="D14" s="61" t="s">
        <v>2</v>
      </c>
      <c r="E14" s="61"/>
      <c r="F14" s="62"/>
      <c r="G14" s="62"/>
      <c r="H14" s="62"/>
      <c r="I14" s="63"/>
      <c r="J14" s="61"/>
      <c r="K14" s="64">
        <f>SUBTOTAL(9,K15:K19)</f>
        <v>22.331000000000003</v>
      </c>
      <c r="L14" s="67"/>
    </row>
    <row r="15" spans="1:12" s="43" customFormat="1" ht="20.100000000000001" hidden="1" customHeight="1" outlineLevel="2" x14ac:dyDescent="0.25">
      <c r="A15" s="68"/>
      <c r="B15" s="69"/>
      <c r="C15" s="70" t="s">
        <v>128</v>
      </c>
      <c r="D15" s="71" t="s">
        <v>2</v>
      </c>
      <c r="E15" s="72">
        <v>4</v>
      </c>
      <c r="F15" s="73">
        <v>1.1000000000000001</v>
      </c>
      <c r="G15" s="73">
        <v>1.1000000000000001</v>
      </c>
      <c r="H15" s="74">
        <v>0.75</v>
      </c>
      <c r="I15" s="73"/>
      <c r="J15" s="75" t="s">
        <v>75</v>
      </c>
      <c r="K15" s="74">
        <f t="shared" ref="K15:K19" si="1">ROUND(PRODUCT(E15:J15),3)</f>
        <v>3.63</v>
      </c>
      <c r="L15" s="76"/>
    </row>
    <row r="16" spans="1:12" s="43" customFormat="1" ht="20.100000000000001" hidden="1" customHeight="1" outlineLevel="2" x14ac:dyDescent="0.25">
      <c r="A16" s="77"/>
      <c r="B16" s="78"/>
      <c r="C16" s="79" t="s">
        <v>129</v>
      </c>
      <c r="D16" s="80" t="s">
        <v>2</v>
      </c>
      <c r="E16" s="81">
        <v>4</v>
      </c>
      <c r="F16" s="82">
        <v>1.4</v>
      </c>
      <c r="G16" s="82">
        <v>1.3</v>
      </c>
      <c r="H16" s="83">
        <v>1.2</v>
      </c>
      <c r="I16" s="82"/>
      <c r="J16" s="84" t="s">
        <v>75</v>
      </c>
      <c r="K16" s="83">
        <f t="shared" si="1"/>
        <v>8.7360000000000007</v>
      </c>
      <c r="L16" s="85"/>
    </row>
    <row r="17" spans="1:12" s="43" customFormat="1" ht="20.100000000000001" hidden="1" customHeight="1" outlineLevel="2" x14ac:dyDescent="0.25">
      <c r="A17" s="77"/>
      <c r="B17" s="78"/>
      <c r="C17" s="79" t="s">
        <v>130</v>
      </c>
      <c r="D17" s="80" t="s">
        <v>2</v>
      </c>
      <c r="E17" s="81">
        <v>2</v>
      </c>
      <c r="F17" s="82">
        <f>3.09+3.18+2.11-0.6</f>
        <v>7.7799999999999994</v>
      </c>
      <c r="G17" s="82">
        <v>0.4</v>
      </c>
      <c r="H17" s="83">
        <v>1.2</v>
      </c>
      <c r="I17" s="82"/>
      <c r="J17" s="84" t="s">
        <v>75</v>
      </c>
      <c r="K17" s="83">
        <f t="shared" si="1"/>
        <v>7.4690000000000003</v>
      </c>
      <c r="L17" s="85"/>
    </row>
    <row r="18" spans="1:12" s="43" customFormat="1" ht="20.100000000000001" hidden="1" customHeight="1" outlineLevel="2" x14ac:dyDescent="0.25">
      <c r="A18" s="77"/>
      <c r="B18" s="78"/>
      <c r="C18" s="79" t="s">
        <v>131</v>
      </c>
      <c r="D18" s="80" t="s">
        <v>2</v>
      </c>
      <c r="E18" s="81">
        <v>2</v>
      </c>
      <c r="F18" s="82">
        <f>2-0.4</f>
        <v>1.6</v>
      </c>
      <c r="G18" s="82">
        <v>0.4</v>
      </c>
      <c r="H18" s="83">
        <v>1.2</v>
      </c>
      <c r="I18" s="82"/>
      <c r="J18" s="84" t="s">
        <v>75</v>
      </c>
      <c r="K18" s="83">
        <f t="shared" si="1"/>
        <v>1.536</v>
      </c>
      <c r="L18" s="85"/>
    </row>
    <row r="19" spans="1:12" s="43" customFormat="1" ht="20.100000000000001" hidden="1" customHeight="1" outlineLevel="2" thickBot="1" x14ac:dyDescent="0.3">
      <c r="A19" s="77"/>
      <c r="B19" s="78"/>
      <c r="C19" s="79"/>
      <c r="D19" s="80" t="s">
        <v>2</v>
      </c>
      <c r="E19" s="81">
        <v>2</v>
      </c>
      <c r="F19" s="82">
        <v>0.8</v>
      </c>
      <c r="G19" s="82">
        <v>0.5</v>
      </c>
      <c r="H19" s="83">
        <v>1.2</v>
      </c>
      <c r="I19" s="82"/>
      <c r="J19" s="84" t="s">
        <v>75</v>
      </c>
      <c r="K19" s="83">
        <f t="shared" si="1"/>
        <v>0.96</v>
      </c>
      <c r="L19" s="85"/>
    </row>
    <row r="20" spans="1:12" s="42" customFormat="1" ht="24.75" hidden="1" customHeight="1" outlineLevel="1" x14ac:dyDescent="0.25">
      <c r="A20" s="66">
        <v>2.2000000000000002</v>
      </c>
      <c r="B20" s="59" t="s">
        <v>144</v>
      </c>
      <c r="C20" s="60"/>
      <c r="D20" s="61" t="s">
        <v>2</v>
      </c>
      <c r="E20" s="61"/>
      <c r="F20" s="62"/>
      <c r="G20" s="62"/>
      <c r="H20" s="62"/>
      <c r="I20" s="63"/>
      <c r="J20" s="61"/>
      <c r="K20" s="64">
        <f>SUBTOTAL(9,K21:K22)</f>
        <v>16.02</v>
      </c>
      <c r="L20" s="67"/>
    </row>
    <row r="21" spans="1:12" s="43" customFormat="1" ht="20.100000000000001" hidden="1" customHeight="1" outlineLevel="2" x14ac:dyDescent="0.25">
      <c r="A21" s="77"/>
      <c r="B21" s="78"/>
      <c r="C21" s="79" t="s">
        <v>132</v>
      </c>
      <c r="D21" s="80" t="s">
        <v>2</v>
      </c>
      <c r="E21" s="81">
        <v>1</v>
      </c>
      <c r="F21" s="82">
        <f>3.09+0.1*2</f>
        <v>3.29</v>
      </c>
      <c r="G21" s="82">
        <f>1.9+0.1*2</f>
        <v>2.1</v>
      </c>
      <c r="H21" s="83">
        <v>1.2</v>
      </c>
      <c r="I21" s="82"/>
      <c r="J21" s="84" t="s">
        <v>75</v>
      </c>
      <c r="K21" s="83">
        <f t="shared" ref="K21:K22" si="2">ROUND(PRODUCT(E21:J21),3)</f>
        <v>8.2910000000000004</v>
      </c>
      <c r="L21" s="85"/>
    </row>
    <row r="22" spans="1:12" s="43" customFormat="1" ht="20.100000000000001" hidden="1" customHeight="1" outlineLevel="2" thickBot="1" x14ac:dyDescent="0.3">
      <c r="A22" s="96"/>
      <c r="B22" s="97"/>
      <c r="C22" s="98" t="s">
        <v>133</v>
      </c>
      <c r="D22" s="99" t="s">
        <v>2</v>
      </c>
      <c r="E22" s="100">
        <v>1</v>
      </c>
      <c r="F22" s="101">
        <f>2.65+0.1*2</f>
        <v>2.85</v>
      </c>
      <c r="G22" s="101">
        <f>2.06+0.1*2</f>
        <v>2.2600000000000002</v>
      </c>
      <c r="H22" s="102">
        <v>1.2</v>
      </c>
      <c r="I22" s="101"/>
      <c r="J22" s="103" t="s">
        <v>75</v>
      </c>
      <c r="K22" s="102">
        <f t="shared" si="2"/>
        <v>7.7290000000000001</v>
      </c>
      <c r="L22" s="104"/>
    </row>
    <row r="23" spans="1:12" s="42" customFormat="1" ht="42" customHeight="1" collapsed="1" thickBot="1" x14ac:dyDescent="0.3">
      <c r="A23" s="58">
        <v>4</v>
      </c>
      <c r="B23" s="59" t="s">
        <v>352</v>
      </c>
      <c r="C23" s="60"/>
      <c r="D23" s="61" t="s">
        <v>2</v>
      </c>
      <c r="E23" s="61"/>
      <c r="F23" s="62"/>
      <c r="G23" s="62"/>
      <c r="H23" s="62"/>
      <c r="I23" s="63"/>
      <c r="J23" s="61"/>
      <c r="K23" s="64">
        <f>SUBTOTAL(9,K24:K36)</f>
        <v>22.910000000000011</v>
      </c>
      <c r="L23" s="65"/>
    </row>
    <row r="24" spans="1:12" s="43" customFormat="1" ht="20.100000000000001" hidden="1" customHeight="1" outlineLevel="2" x14ac:dyDescent="0.25">
      <c r="A24" s="68"/>
      <c r="B24" s="69"/>
      <c r="C24" s="70" t="s">
        <v>126</v>
      </c>
      <c r="D24" s="71" t="s">
        <v>2</v>
      </c>
      <c r="E24" s="72">
        <v>1</v>
      </c>
      <c r="F24" s="73">
        <f>K13</f>
        <v>38.351000000000006</v>
      </c>
      <c r="G24" s="73"/>
      <c r="H24" s="74"/>
      <c r="I24" s="73"/>
      <c r="J24" s="75" t="s">
        <v>75</v>
      </c>
      <c r="K24" s="74">
        <f t="shared" ref="K24:K36" si="3">ROUND(PRODUCT(E24:J24),3)</f>
        <v>38.350999999999999</v>
      </c>
      <c r="L24" s="76"/>
    </row>
    <row r="25" spans="1:12" s="43" customFormat="1" ht="20.100000000000001" hidden="1" customHeight="1" outlineLevel="2" x14ac:dyDescent="0.25">
      <c r="A25" s="86"/>
      <c r="B25" s="87"/>
      <c r="C25" s="79" t="s">
        <v>161</v>
      </c>
      <c r="D25" s="80" t="s">
        <v>2</v>
      </c>
      <c r="E25" s="81">
        <v>1</v>
      </c>
      <c r="F25" s="82">
        <f>K20</f>
        <v>16.02</v>
      </c>
      <c r="G25" s="82"/>
      <c r="H25" s="83"/>
      <c r="I25" s="82"/>
      <c r="J25" s="84" t="s">
        <v>75</v>
      </c>
      <c r="K25" s="83">
        <f t="shared" ref="K25" si="4">ROUND(PRODUCT(E25:J25),3)</f>
        <v>16.02</v>
      </c>
      <c r="L25" s="89"/>
    </row>
    <row r="26" spans="1:12" s="43" customFormat="1" ht="20.100000000000001" hidden="1" customHeight="1" outlineLevel="2" x14ac:dyDescent="0.25">
      <c r="A26" s="86"/>
      <c r="B26" s="87"/>
      <c r="C26" s="79" t="s">
        <v>162</v>
      </c>
      <c r="D26" s="80" t="s">
        <v>2</v>
      </c>
      <c r="E26" s="81">
        <v>1</v>
      </c>
      <c r="F26" s="82">
        <v>1.77</v>
      </c>
      <c r="G26" s="82">
        <v>1.5249999999999999</v>
      </c>
      <c r="H26" s="83">
        <v>0.875</v>
      </c>
      <c r="I26" s="82"/>
      <c r="J26" s="84" t="s">
        <v>75</v>
      </c>
      <c r="K26" s="83">
        <f t="shared" ref="K26" si="5">ROUND(PRODUCT(E26:J26),3)</f>
        <v>2.3620000000000001</v>
      </c>
      <c r="L26" s="89"/>
    </row>
    <row r="27" spans="1:12" s="43" customFormat="1" ht="20.100000000000001" hidden="1" customHeight="1" outlineLevel="2" x14ac:dyDescent="0.25">
      <c r="A27" s="86"/>
      <c r="B27" s="87"/>
      <c r="C27" s="79"/>
      <c r="D27" s="80" t="s">
        <v>2</v>
      </c>
      <c r="E27" s="81">
        <v>1</v>
      </c>
      <c r="F27" s="82">
        <v>2.56</v>
      </c>
      <c r="G27" s="82">
        <v>5.4</v>
      </c>
      <c r="H27" s="83">
        <v>0.875</v>
      </c>
      <c r="I27" s="82"/>
      <c r="J27" s="84" t="s">
        <v>75</v>
      </c>
      <c r="K27" s="83">
        <f t="shared" ref="K27" si="6">ROUND(PRODUCT(E27:J27),3)</f>
        <v>12.096</v>
      </c>
      <c r="L27" s="89"/>
    </row>
    <row r="28" spans="1:12" s="43" customFormat="1" ht="20.100000000000001" hidden="1" customHeight="1" outlineLevel="2" x14ac:dyDescent="0.25">
      <c r="A28" s="86"/>
      <c r="B28" s="87"/>
      <c r="C28" s="79"/>
      <c r="D28" s="80" t="s">
        <v>2</v>
      </c>
      <c r="E28" s="81">
        <v>0.5</v>
      </c>
      <c r="F28" s="82">
        <v>1.53</v>
      </c>
      <c r="G28" s="82">
        <v>0.9</v>
      </c>
      <c r="H28" s="83">
        <v>0.875</v>
      </c>
      <c r="I28" s="82"/>
      <c r="J28" s="84" t="s">
        <v>75</v>
      </c>
      <c r="K28" s="83">
        <f t="shared" ref="K28" si="7">ROUND(PRODUCT(E28:J28),3)</f>
        <v>0.60199999999999998</v>
      </c>
      <c r="L28" s="89"/>
    </row>
    <row r="29" spans="1:12" s="43" customFormat="1" ht="20.100000000000001" hidden="1" customHeight="1" outlineLevel="2" x14ac:dyDescent="0.25">
      <c r="A29" s="77"/>
      <c r="B29" s="78"/>
      <c r="C29" s="79" t="s">
        <v>155</v>
      </c>
      <c r="D29" s="80" t="s">
        <v>2</v>
      </c>
      <c r="E29" s="81">
        <v>-1</v>
      </c>
      <c r="F29" s="82">
        <f>K38</f>
        <v>2.3960000000000004</v>
      </c>
      <c r="G29" s="82"/>
      <c r="H29" s="83"/>
      <c r="I29" s="82"/>
      <c r="J29" s="84" t="s">
        <v>75</v>
      </c>
      <c r="K29" s="83">
        <f t="shared" si="3"/>
        <v>-2.3959999999999999</v>
      </c>
      <c r="L29" s="85"/>
    </row>
    <row r="30" spans="1:12" s="43" customFormat="1" ht="20.100000000000001" hidden="1" customHeight="1" outlineLevel="2" x14ac:dyDescent="0.25">
      <c r="A30" s="77"/>
      <c r="B30" s="78"/>
      <c r="C30" s="79" t="s">
        <v>156</v>
      </c>
      <c r="D30" s="80" t="s">
        <v>2</v>
      </c>
      <c r="E30" s="81">
        <v>-1</v>
      </c>
      <c r="F30" s="82">
        <f>K45</f>
        <v>1.335</v>
      </c>
      <c r="G30" s="82"/>
      <c r="H30" s="83"/>
      <c r="I30" s="82"/>
      <c r="J30" s="84" t="s">
        <v>75</v>
      </c>
      <c r="K30" s="83">
        <f t="shared" si="3"/>
        <v>-1.335</v>
      </c>
      <c r="L30" s="85"/>
    </row>
    <row r="31" spans="1:12" s="43" customFormat="1" ht="20.100000000000001" hidden="1" customHeight="1" outlineLevel="2" x14ac:dyDescent="0.25">
      <c r="A31" s="77"/>
      <c r="B31" s="78"/>
      <c r="C31" s="79" t="s">
        <v>157</v>
      </c>
      <c r="D31" s="80" t="s">
        <v>2</v>
      </c>
      <c r="E31" s="81">
        <v>-1</v>
      </c>
      <c r="F31" s="82">
        <f>K49</f>
        <v>11.079999999999998</v>
      </c>
      <c r="G31" s="82"/>
      <c r="H31" s="83"/>
      <c r="I31" s="82"/>
      <c r="J31" s="84" t="s">
        <v>75</v>
      </c>
      <c r="K31" s="83">
        <f t="shared" ref="K31:K34" si="8">ROUND(PRODUCT(E31:J31),3)</f>
        <v>-11.08</v>
      </c>
      <c r="L31" s="85"/>
    </row>
    <row r="32" spans="1:12" s="43" customFormat="1" ht="20.100000000000001" hidden="1" customHeight="1" outlineLevel="2" x14ac:dyDescent="0.25">
      <c r="A32" s="77"/>
      <c r="B32" s="78"/>
      <c r="C32" s="79" t="s">
        <v>132</v>
      </c>
      <c r="D32" s="80" t="s">
        <v>2</v>
      </c>
      <c r="E32" s="81">
        <v>-1</v>
      </c>
      <c r="F32" s="82">
        <v>1.9</v>
      </c>
      <c r="G32" s="82">
        <v>3.09</v>
      </c>
      <c r="H32" s="83">
        <v>1.65</v>
      </c>
      <c r="I32" s="82"/>
      <c r="J32" s="84" t="s">
        <v>75</v>
      </c>
      <c r="K32" s="83">
        <f t="shared" si="8"/>
        <v>-9.6869999999999994</v>
      </c>
      <c r="L32" s="85"/>
    </row>
    <row r="33" spans="1:12" s="43" customFormat="1" ht="20.100000000000001" hidden="1" customHeight="1" outlineLevel="2" x14ac:dyDescent="0.25">
      <c r="A33" s="77"/>
      <c r="B33" s="78"/>
      <c r="C33" s="79" t="s">
        <v>133</v>
      </c>
      <c r="D33" s="80"/>
      <c r="E33" s="81">
        <v>-1</v>
      </c>
      <c r="F33" s="82">
        <v>2.65</v>
      </c>
      <c r="G33" s="82">
        <v>2.06</v>
      </c>
      <c r="H33" s="83">
        <v>1.72</v>
      </c>
      <c r="I33" s="82"/>
      <c r="J33" s="84" t="s">
        <v>75</v>
      </c>
      <c r="K33" s="83">
        <f t="shared" ref="K33" si="9">ROUND(PRODUCT(E33:J33),3)</f>
        <v>-9.3889999999999993</v>
      </c>
      <c r="L33" s="85"/>
    </row>
    <row r="34" spans="1:12" s="43" customFormat="1" ht="20.100000000000001" hidden="1" customHeight="1" outlineLevel="2" x14ac:dyDescent="0.25">
      <c r="A34" s="77"/>
      <c r="B34" s="78"/>
      <c r="C34" s="79" t="s">
        <v>158</v>
      </c>
      <c r="D34" s="80" t="s">
        <v>2</v>
      </c>
      <c r="E34" s="81">
        <v>1</v>
      </c>
      <c r="F34" s="82">
        <f>K85</f>
        <v>0.75800000000000001</v>
      </c>
      <c r="G34" s="82"/>
      <c r="H34" s="83"/>
      <c r="I34" s="82"/>
      <c r="J34" s="84" t="s">
        <v>75</v>
      </c>
      <c r="K34" s="83">
        <f t="shared" si="8"/>
        <v>0.75800000000000001</v>
      </c>
      <c r="L34" s="85"/>
    </row>
    <row r="35" spans="1:12" s="43" customFormat="1" ht="20.100000000000001" hidden="1" customHeight="1" outlineLevel="2" x14ac:dyDescent="0.25">
      <c r="A35" s="77"/>
      <c r="B35" s="78"/>
      <c r="C35" s="79" t="s">
        <v>159</v>
      </c>
      <c r="D35" s="80" t="s">
        <v>2</v>
      </c>
      <c r="E35" s="81">
        <v>-1</v>
      </c>
      <c r="F35" s="82">
        <f>K77</f>
        <v>0.34399999999999997</v>
      </c>
      <c r="G35" s="82"/>
      <c r="H35" s="83"/>
      <c r="I35" s="82"/>
      <c r="J35" s="84" t="s">
        <v>75</v>
      </c>
      <c r="K35" s="83">
        <f t="shared" ref="K35" si="10">ROUND(PRODUCT(E35:J35),3)</f>
        <v>-0.34399999999999997</v>
      </c>
      <c r="L35" s="85"/>
    </row>
    <row r="36" spans="1:12" s="43" customFormat="1" ht="20.100000000000001" hidden="1" customHeight="1" outlineLevel="2" thickBot="1" x14ac:dyDescent="0.3">
      <c r="A36" s="77"/>
      <c r="B36" s="78"/>
      <c r="C36" s="79" t="s">
        <v>160</v>
      </c>
      <c r="D36" s="80" t="s">
        <v>2</v>
      </c>
      <c r="E36" s="81">
        <v>-1</v>
      </c>
      <c r="F36" s="82">
        <f>K99</f>
        <v>13.048</v>
      </c>
      <c r="G36" s="82"/>
      <c r="H36" s="83"/>
      <c r="I36" s="82"/>
      <c r="J36" s="84" t="s">
        <v>75</v>
      </c>
      <c r="K36" s="83">
        <f t="shared" si="3"/>
        <v>-13.048</v>
      </c>
      <c r="L36" s="85"/>
    </row>
    <row r="37" spans="1:12" s="41" customFormat="1" ht="30" customHeight="1" thickBot="1" x14ac:dyDescent="0.3">
      <c r="A37" s="53"/>
      <c r="B37" s="54" t="s">
        <v>354</v>
      </c>
      <c r="C37" s="55"/>
      <c r="D37" s="56"/>
      <c r="E37" s="56"/>
      <c r="F37" s="55"/>
      <c r="G37" s="55"/>
      <c r="H37" s="55"/>
      <c r="I37" s="55"/>
      <c r="J37" s="56"/>
      <c r="K37" s="56"/>
      <c r="L37" s="57"/>
    </row>
    <row r="38" spans="1:12" s="42" customFormat="1" ht="30" customHeight="1" thickBot="1" x14ac:dyDescent="0.3">
      <c r="A38" s="58">
        <v>5</v>
      </c>
      <c r="B38" s="59" t="s">
        <v>349</v>
      </c>
      <c r="C38" s="60"/>
      <c r="D38" s="61" t="s">
        <v>2</v>
      </c>
      <c r="E38" s="61"/>
      <c r="F38" s="62"/>
      <c r="G38" s="62"/>
      <c r="H38" s="62"/>
      <c r="I38" s="63"/>
      <c r="J38" s="61"/>
      <c r="K38" s="64">
        <f>SUBTOTAL(9,K39:K47)</f>
        <v>2.3960000000000004</v>
      </c>
      <c r="L38" s="65"/>
    </row>
    <row r="39" spans="1:12" s="42" customFormat="1" ht="24.95" customHeight="1" outlineLevel="1" x14ac:dyDescent="0.25">
      <c r="A39" s="66">
        <v>3.1</v>
      </c>
      <c r="B39" s="59" t="s">
        <v>127</v>
      </c>
      <c r="C39" s="60"/>
      <c r="D39" s="61" t="s">
        <v>2</v>
      </c>
      <c r="E39" s="61"/>
      <c r="F39" s="62"/>
      <c r="G39" s="62"/>
      <c r="H39" s="62"/>
      <c r="I39" s="63"/>
      <c r="J39" s="61"/>
      <c r="K39" s="64">
        <f>SUBTOTAL(9,K40:K44)</f>
        <v>1.0610000000000002</v>
      </c>
      <c r="L39" s="67"/>
    </row>
    <row r="40" spans="1:12" s="43" customFormat="1" ht="20.100000000000001" customHeight="1" outlineLevel="2" x14ac:dyDescent="0.25">
      <c r="A40" s="68"/>
      <c r="B40" s="69"/>
      <c r="C40" s="70" t="s">
        <v>128</v>
      </c>
      <c r="D40" s="71" t="s">
        <v>2</v>
      </c>
      <c r="E40" s="72">
        <v>4</v>
      </c>
      <c r="F40" s="73">
        <v>1.1000000000000001</v>
      </c>
      <c r="G40" s="73">
        <v>1.1000000000000001</v>
      </c>
      <c r="H40" s="74">
        <v>0.05</v>
      </c>
      <c r="I40" s="73"/>
      <c r="J40" s="75" t="s">
        <v>75</v>
      </c>
      <c r="K40" s="74">
        <f t="shared" ref="K40:K44" si="11">ROUND(PRODUCT(E40:J40),3)</f>
        <v>0.24199999999999999</v>
      </c>
      <c r="L40" s="76"/>
    </row>
    <row r="41" spans="1:12" s="43" customFormat="1" ht="20.100000000000001" customHeight="1" outlineLevel="2" x14ac:dyDescent="0.25">
      <c r="A41" s="77"/>
      <c r="B41" s="78"/>
      <c r="C41" s="79" t="s">
        <v>129</v>
      </c>
      <c r="D41" s="80" t="s">
        <v>2</v>
      </c>
      <c r="E41" s="81">
        <v>4</v>
      </c>
      <c r="F41" s="82">
        <v>1.4</v>
      </c>
      <c r="G41" s="82">
        <v>1.3</v>
      </c>
      <c r="H41" s="83">
        <v>0.05</v>
      </c>
      <c r="I41" s="82"/>
      <c r="J41" s="84" t="s">
        <v>75</v>
      </c>
      <c r="K41" s="83">
        <f t="shared" si="11"/>
        <v>0.36399999999999999</v>
      </c>
      <c r="L41" s="85"/>
    </row>
    <row r="42" spans="1:12" s="43" customFormat="1" ht="20.100000000000001" customHeight="1" outlineLevel="2" x14ac:dyDescent="0.25">
      <c r="A42" s="77"/>
      <c r="B42" s="78"/>
      <c r="C42" s="79" t="s">
        <v>130</v>
      </c>
      <c r="D42" s="80" t="s">
        <v>2</v>
      </c>
      <c r="E42" s="81">
        <v>2</v>
      </c>
      <c r="F42" s="82">
        <f>3.09+3.18+2.11</f>
        <v>8.379999999999999</v>
      </c>
      <c r="G42" s="82">
        <v>0.4</v>
      </c>
      <c r="H42" s="83">
        <v>0.05</v>
      </c>
      <c r="I42" s="82"/>
      <c r="J42" s="84" t="s">
        <v>75</v>
      </c>
      <c r="K42" s="83">
        <f t="shared" si="11"/>
        <v>0.33500000000000002</v>
      </c>
      <c r="L42" s="85"/>
    </row>
    <row r="43" spans="1:12" s="43" customFormat="1" ht="20.100000000000001" customHeight="1" outlineLevel="2" x14ac:dyDescent="0.25">
      <c r="A43" s="77"/>
      <c r="B43" s="78"/>
      <c r="C43" s="79" t="s">
        <v>131</v>
      </c>
      <c r="D43" s="80" t="s">
        <v>2</v>
      </c>
      <c r="E43" s="81">
        <v>2</v>
      </c>
      <c r="F43" s="82">
        <f>2</f>
        <v>2</v>
      </c>
      <c r="G43" s="82">
        <v>0.4</v>
      </c>
      <c r="H43" s="83">
        <v>0.05</v>
      </c>
      <c r="I43" s="82"/>
      <c r="J43" s="84" t="s">
        <v>75</v>
      </c>
      <c r="K43" s="83">
        <f t="shared" si="11"/>
        <v>0.08</v>
      </c>
      <c r="L43" s="85"/>
    </row>
    <row r="44" spans="1:12" s="43" customFormat="1" ht="20.100000000000001" customHeight="1" outlineLevel="2" thickBot="1" x14ac:dyDescent="0.3">
      <c r="A44" s="77"/>
      <c r="B44" s="78"/>
      <c r="C44" s="79"/>
      <c r="D44" s="80" t="s">
        <v>2</v>
      </c>
      <c r="E44" s="81">
        <v>2</v>
      </c>
      <c r="F44" s="82">
        <v>0.8</v>
      </c>
      <c r="G44" s="82">
        <v>0.5</v>
      </c>
      <c r="H44" s="83">
        <v>0.05</v>
      </c>
      <c r="I44" s="82"/>
      <c r="J44" s="84" t="s">
        <v>75</v>
      </c>
      <c r="K44" s="83">
        <f t="shared" si="11"/>
        <v>0.04</v>
      </c>
      <c r="L44" s="85"/>
    </row>
    <row r="45" spans="1:12" s="42" customFormat="1" ht="24.95" customHeight="1" outlineLevel="1" x14ac:dyDescent="0.25">
      <c r="A45" s="66">
        <v>3.1</v>
      </c>
      <c r="B45" s="59" t="s">
        <v>144</v>
      </c>
      <c r="C45" s="60"/>
      <c r="D45" s="61" t="s">
        <v>2</v>
      </c>
      <c r="E45" s="61"/>
      <c r="F45" s="62"/>
      <c r="G45" s="62"/>
      <c r="H45" s="62"/>
      <c r="I45" s="63"/>
      <c r="J45" s="61"/>
      <c r="K45" s="64">
        <f>SUBTOTAL(9,K46:K47)</f>
        <v>1.335</v>
      </c>
      <c r="L45" s="67"/>
    </row>
    <row r="46" spans="1:12" s="43" customFormat="1" ht="20.100000000000001" customHeight="1" outlineLevel="2" x14ac:dyDescent="0.25">
      <c r="A46" s="77"/>
      <c r="B46" s="78"/>
      <c r="C46" s="79" t="s">
        <v>132</v>
      </c>
      <c r="D46" s="80" t="s">
        <v>2</v>
      </c>
      <c r="E46" s="81">
        <v>1</v>
      </c>
      <c r="F46" s="82">
        <f>3.09+0.1*2</f>
        <v>3.29</v>
      </c>
      <c r="G46" s="82">
        <f>1.9+0.1*2</f>
        <v>2.1</v>
      </c>
      <c r="H46" s="83">
        <v>0.1</v>
      </c>
      <c r="I46" s="82"/>
      <c r="J46" s="84" t="s">
        <v>75</v>
      </c>
      <c r="K46" s="83">
        <f t="shared" ref="K46:K47" si="12">ROUND(PRODUCT(E46:J46),3)</f>
        <v>0.69099999999999995</v>
      </c>
      <c r="L46" s="85"/>
    </row>
    <row r="47" spans="1:12" s="43" customFormat="1" ht="20.100000000000001" customHeight="1" outlineLevel="2" thickBot="1" x14ac:dyDescent="0.3">
      <c r="A47" s="96"/>
      <c r="B47" s="97"/>
      <c r="C47" s="98" t="s">
        <v>133</v>
      </c>
      <c r="D47" s="99" t="s">
        <v>2</v>
      </c>
      <c r="E47" s="100">
        <v>1</v>
      </c>
      <c r="F47" s="101">
        <f>2.65+0.1*2</f>
        <v>2.85</v>
      </c>
      <c r="G47" s="101">
        <f>2.06+0.1*2</f>
        <v>2.2600000000000002</v>
      </c>
      <c r="H47" s="102">
        <v>0.1</v>
      </c>
      <c r="I47" s="101"/>
      <c r="J47" s="103" t="s">
        <v>75</v>
      </c>
      <c r="K47" s="102">
        <f t="shared" si="12"/>
        <v>0.64400000000000002</v>
      </c>
      <c r="L47" s="104"/>
    </row>
    <row r="48" spans="1:12" s="42" customFormat="1" ht="30" customHeight="1" collapsed="1" thickBot="1" x14ac:dyDescent="0.3">
      <c r="A48" s="58">
        <v>6</v>
      </c>
      <c r="B48" s="59" t="s">
        <v>363</v>
      </c>
      <c r="C48" s="60"/>
      <c r="D48" s="61" t="s">
        <v>2</v>
      </c>
      <c r="E48" s="61"/>
      <c r="F48" s="62"/>
      <c r="G48" s="62"/>
      <c r="H48" s="62"/>
      <c r="I48" s="63"/>
      <c r="J48" s="61"/>
      <c r="K48" s="64">
        <f>SUBTOTAL(9,K49:K59)</f>
        <v>13.748999999999997</v>
      </c>
      <c r="L48" s="65"/>
    </row>
    <row r="49" spans="1:12" s="42" customFormat="1" ht="24.95" hidden="1" customHeight="1" outlineLevel="1" x14ac:dyDescent="0.25">
      <c r="A49" s="66">
        <v>4.0999999999999996</v>
      </c>
      <c r="B49" s="59" t="s">
        <v>127</v>
      </c>
      <c r="C49" s="60"/>
      <c r="D49" s="61" t="s">
        <v>2</v>
      </c>
      <c r="E49" s="61"/>
      <c r="F49" s="62"/>
      <c r="G49" s="62"/>
      <c r="H49" s="62"/>
      <c r="I49" s="63"/>
      <c r="J49" s="61"/>
      <c r="K49" s="64">
        <f>SUBTOTAL(9,K50:K54)</f>
        <v>11.079999999999998</v>
      </c>
      <c r="L49" s="67"/>
    </row>
    <row r="50" spans="1:12" s="43" customFormat="1" ht="20.100000000000001" hidden="1" customHeight="1" outlineLevel="2" x14ac:dyDescent="0.25">
      <c r="A50" s="68"/>
      <c r="B50" s="69"/>
      <c r="C50" s="70" t="s">
        <v>128</v>
      </c>
      <c r="D50" s="71" t="s">
        <v>2</v>
      </c>
      <c r="E50" s="72">
        <v>4</v>
      </c>
      <c r="F50" s="73">
        <v>1</v>
      </c>
      <c r="G50" s="73">
        <v>1</v>
      </c>
      <c r="H50" s="74">
        <v>0.7</v>
      </c>
      <c r="I50" s="73"/>
      <c r="J50" s="75" t="s">
        <v>75</v>
      </c>
      <c r="K50" s="74">
        <f t="shared" ref="K50:K54" si="13">ROUND(PRODUCT(E50:J50),3)</f>
        <v>2.8</v>
      </c>
      <c r="L50" s="76"/>
    </row>
    <row r="51" spans="1:12" s="43" customFormat="1" ht="20.100000000000001" hidden="1" customHeight="1" outlineLevel="2" x14ac:dyDescent="0.25">
      <c r="A51" s="77"/>
      <c r="B51" s="78"/>
      <c r="C51" s="79" t="s">
        <v>129</v>
      </c>
      <c r="D51" s="80" t="s">
        <v>2</v>
      </c>
      <c r="E51" s="81">
        <v>4</v>
      </c>
      <c r="F51" s="82">
        <v>1.4</v>
      </c>
      <c r="G51" s="82">
        <v>1</v>
      </c>
      <c r="H51" s="83">
        <v>0.7</v>
      </c>
      <c r="I51" s="82"/>
      <c r="J51" s="84" t="s">
        <v>75</v>
      </c>
      <c r="K51" s="83">
        <f t="shared" si="13"/>
        <v>3.92</v>
      </c>
      <c r="L51" s="85"/>
    </row>
    <row r="52" spans="1:12" s="43" customFormat="1" ht="20.100000000000001" hidden="1" customHeight="1" outlineLevel="2" x14ac:dyDescent="0.25">
      <c r="A52" s="77"/>
      <c r="B52" s="78"/>
      <c r="C52" s="79" t="s">
        <v>130</v>
      </c>
      <c r="D52" s="80" t="s">
        <v>2</v>
      </c>
      <c r="E52" s="81">
        <v>2</v>
      </c>
      <c r="F52" s="82">
        <f>3.09+3.18+2.11</f>
        <v>8.379999999999999</v>
      </c>
      <c r="G52" s="82">
        <v>0.3</v>
      </c>
      <c r="H52" s="83">
        <v>0.65</v>
      </c>
      <c r="I52" s="82"/>
      <c r="J52" s="84" t="s">
        <v>75</v>
      </c>
      <c r="K52" s="83">
        <f t="shared" si="13"/>
        <v>3.2679999999999998</v>
      </c>
      <c r="L52" s="85"/>
    </row>
    <row r="53" spans="1:12" s="43" customFormat="1" ht="20.100000000000001" hidden="1" customHeight="1" outlineLevel="2" x14ac:dyDescent="0.25">
      <c r="A53" s="77"/>
      <c r="B53" s="78"/>
      <c r="C53" s="79" t="s">
        <v>131</v>
      </c>
      <c r="D53" s="80" t="s">
        <v>2</v>
      </c>
      <c r="E53" s="81">
        <v>2</v>
      </c>
      <c r="F53" s="82">
        <f>2</f>
        <v>2</v>
      </c>
      <c r="G53" s="82">
        <v>0.3</v>
      </c>
      <c r="H53" s="83">
        <v>0.65</v>
      </c>
      <c r="I53" s="82"/>
      <c r="J53" s="84" t="s">
        <v>75</v>
      </c>
      <c r="K53" s="83">
        <f t="shared" si="13"/>
        <v>0.78</v>
      </c>
      <c r="L53" s="85"/>
    </row>
    <row r="54" spans="1:12" s="43" customFormat="1" ht="20.100000000000001" hidden="1" customHeight="1" outlineLevel="2" thickBot="1" x14ac:dyDescent="0.3">
      <c r="A54" s="77"/>
      <c r="B54" s="78"/>
      <c r="C54" s="79"/>
      <c r="D54" s="80" t="s">
        <v>2</v>
      </c>
      <c r="E54" s="81">
        <v>2</v>
      </c>
      <c r="F54" s="82">
        <v>0.8</v>
      </c>
      <c r="G54" s="82">
        <v>0.3</v>
      </c>
      <c r="H54" s="83">
        <v>0.65</v>
      </c>
      <c r="I54" s="82"/>
      <c r="J54" s="84" t="s">
        <v>75</v>
      </c>
      <c r="K54" s="83">
        <f t="shared" si="13"/>
        <v>0.312</v>
      </c>
      <c r="L54" s="85"/>
    </row>
    <row r="55" spans="1:12" s="42" customFormat="1" ht="24.95" hidden="1" customHeight="1" outlineLevel="1" x14ac:dyDescent="0.25">
      <c r="A55" s="66">
        <v>4.2</v>
      </c>
      <c r="B55" s="59" t="s">
        <v>144</v>
      </c>
      <c r="C55" s="60"/>
      <c r="D55" s="61" t="s">
        <v>2</v>
      </c>
      <c r="E55" s="61"/>
      <c r="F55" s="62"/>
      <c r="G55" s="62"/>
      <c r="H55" s="62"/>
      <c r="I55" s="63"/>
      <c r="J55" s="61"/>
      <c r="K55" s="64">
        <f>SUBTOTAL(9,K56:K59)</f>
        <v>2.6690000000000005</v>
      </c>
      <c r="L55" s="67"/>
    </row>
    <row r="56" spans="1:12" s="43" customFormat="1" ht="20.100000000000001" hidden="1" customHeight="1" outlineLevel="2" x14ac:dyDescent="0.25">
      <c r="A56" s="68"/>
      <c r="B56" s="69"/>
      <c r="C56" s="70" t="s">
        <v>146</v>
      </c>
      <c r="D56" s="71" t="s">
        <v>2</v>
      </c>
      <c r="E56" s="72">
        <v>1</v>
      </c>
      <c r="F56" s="73">
        <f>3.09</f>
        <v>3.09</v>
      </c>
      <c r="G56" s="73">
        <f>1.9</f>
        <v>1.9</v>
      </c>
      <c r="H56" s="74">
        <v>0.15</v>
      </c>
      <c r="I56" s="73"/>
      <c r="J56" s="75" t="s">
        <v>75</v>
      </c>
      <c r="K56" s="74">
        <f t="shared" ref="K56:K57" si="14">ROUND(PRODUCT(E56:J56),3)</f>
        <v>0.88100000000000001</v>
      </c>
      <c r="L56" s="76"/>
    </row>
    <row r="57" spans="1:12" s="43" customFormat="1" ht="20.100000000000001" hidden="1" customHeight="1" outlineLevel="2" x14ac:dyDescent="0.25">
      <c r="A57" s="77"/>
      <c r="B57" s="78"/>
      <c r="C57" s="79" t="s">
        <v>145</v>
      </c>
      <c r="D57" s="80" t="s">
        <v>2</v>
      </c>
      <c r="E57" s="81">
        <v>1</v>
      </c>
      <c r="F57" s="82">
        <f>2.65</f>
        <v>2.65</v>
      </c>
      <c r="G57" s="82">
        <f>2.06</f>
        <v>2.06</v>
      </c>
      <c r="H57" s="83">
        <v>0.12</v>
      </c>
      <c r="I57" s="82"/>
      <c r="J57" s="84" t="s">
        <v>75</v>
      </c>
      <c r="K57" s="83">
        <f t="shared" si="14"/>
        <v>0.65500000000000003</v>
      </c>
      <c r="L57" s="85"/>
    </row>
    <row r="58" spans="1:12" s="43" customFormat="1" ht="20.100000000000001" hidden="1" customHeight="1" outlineLevel="2" x14ac:dyDescent="0.25">
      <c r="A58" s="77"/>
      <c r="B58" s="78"/>
      <c r="C58" s="79" t="s">
        <v>147</v>
      </c>
      <c r="D58" s="80" t="s">
        <v>2</v>
      </c>
      <c r="E58" s="81">
        <v>1</v>
      </c>
      <c r="F58" s="82">
        <f>3.09</f>
        <v>3.09</v>
      </c>
      <c r="G58" s="82">
        <f>1.9</f>
        <v>1.9</v>
      </c>
      <c r="H58" s="83">
        <v>0.1</v>
      </c>
      <c r="I58" s="82"/>
      <c r="J58" s="84" t="s">
        <v>75</v>
      </c>
      <c r="K58" s="83">
        <f t="shared" ref="K58" si="15">ROUND(PRODUCT(E58:J58),3)</f>
        <v>0.58699999999999997</v>
      </c>
      <c r="L58" s="85"/>
    </row>
    <row r="59" spans="1:12" s="43" customFormat="1" ht="20.100000000000001" hidden="1" customHeight="1" outlineLevel="2" thickBot="1" x14ac:dyDescent="0.3">
      <c r="A59" s="105"/>
      <c r="B59" s="106"/>
      <c r="C59" s="79" t="s">
        <v>149</v>
      </c>
      <c r="D59" s="80" t="s">
        <v>2</v>
      </c>
      <c r="E59" s="81">
        <v>1</v>
      </c>
      <c r="F59" s="82">
        <f>2.65</f>
        <v>2.65</v>
      </c>
      <c r="G59" s="82">
        <f>2.06</f>
        <v>2.06</v>
      </c>
      <c r="H59" s="83">
        <v>0.1</v>
      </c>
      <c r="I59" s="82"/>
      <c r="J59" s="84" t="s">
        <v>75</v>
      </c>
      <c r="K59" s="83">
        <f t="shared" ref="K59" si="16">ROUND(PRODUCT(E59:J59),3)</f>
        <v>0.54600000000000004</v>
      </c>
      <c r="L59" s="107"/>
    </row>
    <row r="60" spans="1:12" s="42" customFormat="1" ht="30" customHeight="1" collapsed="1" thickBot="1" x14ac:dyDescent="0.3">
      <c r="A60" s="58">
        <v>7</v>
      </c>
      <c r="B60" s="59" t="s">
        <v>137</v>
      </c>
      <c r="C60" s="60"/>
      <c r="D60" s="61" t="s">
        <v>4</v>
      </c>
      <c r="E60" s="61"/>
      <c r="F60" s="62"/>
      <c r="G60" s="62"/>
      <c r="H60" s="62"/>
      <c r="I60" s="63"/>
      <c r="J60" s="61"/>
      <c r="K60" s="64">
        <f>SUBTOTAL(9,K61:K76)</f>
        <v>55.00500000000001</v>
      </c>
      <c r="L60" s="65"/>
    </row>
    <row r="61" spans="1:12" s="42" customFormat="1" ht="24.95" hidden="1" customHeight="1" outlineLevel="1" x14ac:dyDescent="0.25">
      <c r="A61" s="66">
        <v>5.0999999999999996</v>
      </c>
      <c r="B61" s="59" t="s">
        <v>127</v>
      </c>
      <c r="C61" s="60"/>
      <c r="D61" s="61" t="s">
        <v>4</v>
      </c>
      <c r="E61" s="61"/>
      <c r="F61" s="62"/>
      <c r="G61" s="62"/>
      <c r="H61" s="62"/>
      <c r="I61" s="63"/>
      <c r="J61" s="61"/>
      <c r="K61" s="64">
        <f>SUBTOTAL(9,K62:K68)</f>
        <v>49.676000000000002</v>
      </c>
      <c r="L61" s="67"/>
    </row>
    <row r="62" spans="1:12" s="43" customFormat="1" ht="20.100000000000001" hidden="1" customHeight="1" outlineLevel="2" x14ac:dyDescent="0.25">
      <c r="A62" s="68"/>
      <c r="B62" s="69"/>
      <c r="C62" s="70" t="s">
        <v>128</v>
      </c>
      <c r="D62" s="71" t="s">
        <v>4</v>
      </c>
      <c r="E62" s="72">
        <v>4</v>
      </c>
      <c r="F62" s="73">
        <v>1</v>
      </c>
      <c r="G62" s="73">
        <v>1</v>
      </c>
      <c r="H62" s="74">
        <v>0.7</v>
      </c>
      <c r="I62" s="73"/>
      <c r="J62" s="75" t="s">
        <v>134</v>
      </c>
      <c r="K62" s="74">
        <f>ROUND(E62*(F62+G62)*2*H62,3)</f>
        <v>11.2</v>
      </c>
      <c r="L62" s="76"/>
    </row>
    <row r="63" spans="1:12" s="43" customFormat="1" ht="20.100000000000001" hidden="1" customHeight="1" outlineLevel="2" x14ac:dyDescent="0.25">
      <c r="A63" s="86"/>
      <c r="B63" s="87"/>
      <c r="C63" s="88" t="s">
        <v>135</v>
      </c>
      <c r="D63" s="80" t="s">
        <v>4</v>
      </c>
      <c r="E63" s="81">
        <v>-8</v>
      </c>
      <c r="F63" s="82">
        <v>1</v>
      </c>
      <c r="G63" s="82">
        <v>0.3</v>
      </c>
      <c r="H63" s="83">
        <v>0.7</v>
      </c>
      <c r="I63" s="82"/>
      <c r="J63" s="84" t="s">
        <v>75</v>
      </c>
      <c r="K63" s="83">
        <f t="shared" ref="K63" si="17">ROUND(PRODUCT(E63:J63),3)</f>
        <v>-1.68</v>
      </c>
      <c r="L63" s="89"/>
    </row>
    <row r="64" spans="1:12" s="43" customFormat="1" ht="20.100000000000001" hidden="1" customHeight="1" outlineLevel="2" x14ac:dyDescent="0.25">
      <c r="A64" s="77"/>
      <c r="B64" s="78"/>
      <c r="C64" s="79" t="s">
        <v>129</v>
      </c>
      <c r="D64" s="80" t="s">
        <v>4</v>
      </c>
      <c r="E64" s="81">
        <v>4</v>
      </c>
      <c r="F64" s="82">
        <v>1.4</v>
      </c>
      <c r="G64" s="82">
        <v>1</v>
      </c>
      <c r="H64" s="83">
        <v>0.7</v>
      </c>
      <c r="I64" s="82"/>
      <c r="J64" s="84" t="s">
        <v>134</v>
      </c>
      <c r="K64" s="83">
        <f>ROUND(E64*(F64+G64)*2*H64,3)</f>
        <v>13.44</v>
      </c>
      <c r="L64" s="85"/>
    </row>
    <row r="65" spans="1:12" s="43" customFormat="1" ht="20.100000000000001" hidden="1" customHeight="1" outlineLevel="2" x14ac:dyDescent="0.25">
      <c r="A65" s="77"/>
      <c r="B65" s="78"/>
      <c r="C65" s="79" t="s">
        <v>135</v>
      </c>
      <c r="D65" s="80" t="s">
        <v>4</v>
      </c>
      <c r="E65" s="81">
        <v>-8</v>
      </c>
      <c r="F65" s="82">
        <v>1.4</v>
      </c>
      <c r="G65" s="82">
        <v>0.3</v>
      </c>
      <c r="H65" s="83">
        <v>0.7</v>
      </c>
      <c r="I65" s="82"/>
      <c r="J65" s="84" t="s">
        <v>75</v>
      </c>
      <c r="K65" s="83">
        <f t="shared" ref="K65" si="18">ROUND(PRODUCT(E65:J65),3)</f>
        <v>-2.3519999999999999</v>
      </c>
      <c r="L65" s="85"/>
    </row>
    <row r="66" spans="1:12" s="43" customFormat="1" ht="20.100000000000001" hidden="1" customHeight="1" outlineLevel="2" x14ac:dyDescent="0.25">
      <c r="A66" s="77"/>
      <c r="B66" s="78"/>
      <c r="C66" s="79" t="s">
        <v>130</v>
      </c>
      <c r="D66" s="80" t="s">
        <v>4</v>
      </c>
      <c r="E66" s="81">
        <v>4</v>
      </c>
      <c r="F66" s="82">
        <f>3.09+3.18+2.11</f>
        <v>8.379999999999999</v>
      </c>
      <c r="G66" s="82">
        <v>1</v>
      </c>
      <c r="H66" s="83">
        <v>0.65</v>
      </c>
      <c r="I66" s="82"/>
      <c r="J66" s="84" t="s">
        <v>75</v>
      </c>
      <c r="K66" s="83">
        <f t="shared" ref="K66:K68" si="19">ROUND(PRODUCT(E66:J66),3)</f>
        <v>21.788</v>
      </c>
      <c r="L66" s="85"/>
    </row>
    <row r="67" spans="1:12" s="43" customFormat="1" ht="20.100000000000001" hidden="1" customHeight="1" outlineLevel="2" x14ac:dyDescent="0.25">
      <c r="A67" s="77"/>
      <c r="B67" s="78"/>
      <c r="C67" s="79" t="s">
        <v>131</v>
      </c>
      <c r="D67" s="80" t="s">
        <v>4</v>
      </c>
      <c r="E67" s="81">
        <v>4</v>
      </c>
      <c r="F67" s="82">
        <f>2</f>
        <v>2</v>
      </c>
      <c r="G67" s="82">
        <v>1</v>
      </c>
      <c r="H67" s="83">
        <v>0.65</v>
      </c>
      <c r="I67" s="82"/>
      <c r="J67" s="84" t="s">
        <v>75</v>
      </c>
      <c r="K67" s="83">
        <f t="shared" si="19"/>
        <v>5.2</v>
      </c>
      <c r="L67" s="85"/>
    </row>
    <row r="68" spans="1:12" s="43" customFormat="1" ht="20.100000000000001" hidden="1" customHeight="1" outlineLevel="2" thickBot="1" x14ac:dyDescent="0.3">
      <c r="A68" s="77"/>
      <c r="B68" s="78"/>
      <c r="C68" s="79"/>
      <c r="D68" s="80" t="s">
        <v>4</v>
      </c>
      <c r="E68" s="81">
        <v>4</v>
      </c>
      <c r="F68" s="82">
        <v>0.8</v>
      </c>
      <c r="G68" s="82">
        <v>1</v>
      </c>
      <c r="H68" s="83">
        <v>0.65</v>
      </c>
      <c r="I68" s="82"/>
      <c r="J68" s="84" t="s">
        <v>75</v>
      </c>
      <c r="K68" s="83">
        <f t="shared" si="19"/>
        <v>2.08</v>
      </c>
      <c r="L68" s="85"/>
    </row>
    <row r="69" spans="1:12" s="42" customFormat="1" ht="24.95" hidden="1" customHeight="1" outlineLevel="1" x14ac:dyDescent="0.25">
      <c r="A69" s="66">
        <v>5.2</v>
      </c>
      <c r="B69" s="59" t="s">
        <v>144</v>
      </c>
      <c r="C69" s="60"/>
      <c r="D69" s="61" t="s">
        <v>4</v>
      </c>
      <c r="E69" s="61"/>
      <c r="F69" s="62"/>
      <c r="G69" s="62"/>
      <c r="H69" s="62"/>
      <c r="I69" s="63"/>
      <c r="J69" s="61"/>
      <c r="K69" s="64">
        <f>SUBTOTAL(9,K70:K76)</f>
        <v>5.3289999999999997</v>
      </c>
      <c r="L69" s="67"/>
    </row>
    <row r="70" spans="1:12" s="43" customFormat="1" ht="20.100000000000001" hidden="1" customHeight="1" outlineLevel="2" x14ac:dyDescent="0.25">
      <c r="A70" s="77"/>
      <c r="B70" s="78"/>
      <c r="C70" s="79" t="s">
        <v>146</v>
      </c>
      <c r="D70" s="80" t="s">
        <v>4</v>
      </c>
      <c r="E70" s="81">
        <v>1</v>
      </c>
      <c r="F70" s="82">
        <f>3.09</f>
        <v>3.09</v>
      </c>
      <c r="G70" s="82">
        <f>1.9</f>
        <v>1.9</v>
      </c>
      <c r="H70" s="83">
        <v>0.15</v>
      </c>
      <c r="I70" s="82"/>
      <c r="J70" s="84" t="s">
        <v>136</v>
      </c>
      <c r="K70" s="83">
        <f>ROUND(E70*(F70+G70)*2*H70,3)</f>
        <v>1.4970000000000001</v>
      </c>
      <c r="L70" s="85"/>
    </row>
    <row r="71" spans="1:12" s="43" customFormat="1" ht="20.100000000000001" hidden="1" customHeight="1" outlineLevel="2" x14ac:dyDescent="0.25">
      <c r="A71" s="105"/>
      <c r="B71" s="106"/>
      <c r="C71" s="79" t="s">
        <v>145</v>
      </c>
      <c r="D71" s="80" t="s">
        <v>4</v>
      </c>
      <c r="E71" s="81">
        <v>1</v>
      </c>
      <c r="F71" s="82">
        <f>2.65</f>
        <v>2.65</v>
      </c>
      <c r="G71" s="82">
        <f>2.06</f>
        <v>2.06</v>
      </c>
      <c r="H71" s="83">
        <v>0.12</v>
      </c>
      <c r="I71" s="82"/>
      <c r="J71" s="84" t="s">
        <v>136</v>
      </c>
      <c r="K71" s="83">
        <f>ROUND(E71*(F71+G71)*2*H71,3)</f>
        <v>1.1299999999999999</v>
      </c>
      <c r="L71" s="107"/>
    </row>
    <row r="72" spans="1:12" s="43" customFormat="1" ht="20.100000000000001" hidden="1" customHeight="1" outlineLevel="2" x14ac:dyDescent="0.25">
      <c r="A72" s="105"/>
      <c r="B72" s="106"/>
      <c r="C72" s="79" t="s">
        <v>147</v>
      </c>
      <c r="D72" s="80" t="s">
        <v>4</v>
      </c>
      <c r="E72" s="81">
        <v>1</v>
      </c>
      <c r="F72" s="82">
        <f>3.09</f>
        <v>3.09</v>
      </c>
      <c r="G72" s="82">
        <f>1.9</f>
        <v>1.9</v>
      </c>
      <c r="H72" s="83">
        <v>0.1</v>
      </c>
      <c r="I72" s="82"/>
      <c r="J72" s="84" t="s">
        <v>136</v>
      </c>
      <c r="K72" s="83">
        <f>ROUND(E72*(F72+G72)*2*H72,3)</f>
        <v>0.998</v>
      </c>
      <c r="L72" s="107"/>
    </row>
    <row r="73" spans="1:12" s="43" customFormat="1" ht="20.100000000000001" hidden="1" customHeight="1" outlineLevel="2" x14ac:dyDescent="0.25">
      <c r="A73" s="105"/>
      <c r="B73" s="106"/>
      <c r="C73" s="79"/>
      <c r="D73" s="80" t="s">
        <v>4</v>
      </c>
      <c r="E73" s="81">
        <v>1</v>
      </c>
      <c r="F73" s="82">
        <f>3.09</f>
        <v>3.09</v>
      </c>
      <c r="G73" s="82">
        <f>1.9</f>
        <v>1.9</v>
      </c>
      <c r="H73" s="83">
        <v>0.1</v>
      </c>
      <c r="I73" s="82"/>
      <c r="J73" s="84" t="s">
        <v>75</v>
      </c>
      <c r="K73" s="83">
        <f t="shared" ref="K73" si="20">ROUND(PRODUCT(E73:J73),3)</f>
        <v>0.58699999999999997</v>
      </c>
      <c r="L73" s="107"/>
    </row>
    <row r="74" spans="1:12" s="43" customFormat="1" ht="20.100000000000001" hidden="1" customHeight="1" outlineLevel="2" x14ac:dyDescent="0.25">
      <c r="A74" s="105"/>
      <c r="B74" s="106"/>
      <c r="C74" s="79" t="s">
        <v>148</v>
      </c>
      <c r="D74" s="80" t="s">
        <v>4</v>
      </c>
      <c r="E74" s="81">
        <v>-1</v>
      </c>
      <c r="F74" s="82">
        <v>0.5</v>
      </c>
      <c r="G74" s="82">
        <v>0.5</v>
      </c>
      <c r="H74" s="83">
        <v>0.1</v>
      </c>
      <c r="I74" s="82"/>
      <c r="J74" s="84" t="s">
        <v>75</v>
      </c>
      <c r="K74" s="83">
        <f t="shared" ref="K74" si="21">ROUND(PRODUCT(E74:J74),3)</f>
        <v>-2.5000000000000001E-2</v>
      </c>
      <c r="L74" s="107"/>
    </row>
    <row r="75" spans="1:12" s="43" customFormat="1" ht="20.100000000000001" hidden="1" customHeight="1" outlineLevel="2" x14ac:dyDescent="0.25">
      <c r="A75" s="105"/>
      <c r="B75" s="106"/>
      <c r="C75" s="79" t="s">
        <v>150</v>
      </c>
      <c r="D75" s="80" t="s">
        <v>4</v>
      </c>
      <c r="E75" s="81">
        <v>1</v>
      </c>
      <c r="F75" s="82">
        <v>0.5</v>
      </c>
      <c r="G75" s="82">
        <v>0.5</v>
      </c>
      <c r="H75" s="83">
        <v>0.1</v>
      </c>
      <c r="I75" s="82"/>
      <c r="J75" s="84" t="s">
        <v>136</v>
      </c>
      <c r="K75" s="83">
        <f>ROUND(E75*(F75+G75)*2*H75,3)</f>
        <v>0.2</v>
      </c>
      <c r="L75" s="107"/>
    </row>
    <row r="76" spans="1:12" s="43" customFormat="1" ht="20.100000000000001" hidden="1" customHeight="1" outlineLevel="2" thickBot="1" x14ac:dyDescent="0.3">
      <c r="A76" s="105"/>
      <c r="B76" s="106"/>
      <c r="C76" s="79" t="s">
        <v>149</v>
      </c>
      <c r="D76" s="80" t="s">
        <v>4</v>
      </c>
      <c r="E76" s="81">
        <v>1</v>
      </c>
      <c r="F76" s="82">
        <f>2.65</f>
        <v>2.65</v>
      </c>
      <c r="G76" s="82">
        <f>2.06</f>
        <v>2.06</v>
      </c>
      <c r="H76" s="83">
        <v>0.1</v>
      </c>
      <c r="I76" s="82"/>
      <c r="J76" s="84" t="s">
        <v>136</v>
      </c>
      <c r="K76" s="83">
        <f>ROUND(E76*(F76+G76)*2*H76,3)</f>
        <v>0.94199999999999995</v>
      </c>
      <c r="L76" s="107"/>
    </row>
    <row r="77" spans="1:12" s="42" customFormat="1" ht="30" customHeight="1" collapsed="1" thickBot="1" x14ac:dyDescent="0.3">
      <c r="A77" s="58">
        <v>8</v>
      </c>
      <c r="B77" s="59" t="s">
        <v>318</v>
      </c>
      <c r="C77" s="60"/>
      <c r="D77" s="61" t="s">
        <v>2</v>
      </c>
      <c r="E77" s="61"/>
      <c r="F77" s="62"/>
      <c r="G77" s="62"/>
      <c r="H77" s="62"/>
      <c r="I77" s="63"/>
      <c r="J77" s="61"/>
      <c r="K77" s="64">
        <f>SUBTOTAL(9,K78:K80)</f>
        <v>0.34399999999999997</v>
      </c>
      <c r="L77" s="65"/>
    </row>
    <row r="78" spans="1:12" s="42" customFormat="1" ht="24.95" hidden="1" customHeight="1" outlineLevel="1" x14ac:dyDescent="0.25">
      <c r="A78" s="66">
        <v>6.1</v>
      </c>
      <c r="B78" s="59" t="s">
        <v>127</v>
      </c>
      <c r="C78" s="60"/>
      <c r="D78" s="61" t="s">
        <v>2</v>
      </c>
      <c r="E78" s="61"/>
      <c r="F78" s="62"/>
      <c r="G78" s="62"/>
      <c r="H78" s="62"/>
      <c r="I78" s="63"/>
      <c r="J78" s="61"/>
      <c r="K78" s="64">
        <f>SUBTOTAL(9,K79:K80)</f>
        <v>0.34399999999999997</v>
      </c>
      <c r="L78" s="67"/>
    </row>
    <row r="79" spans="1:12" s="43" customFormat="1" ht="20.100000000000001" hidden="1" customHeight="1" outlineLevel="2" x14ac:dyDescent="0.25">
      <c r="A79" s="68"/>
      <c r="B79" s="69"/>
      <c r="C79" s="70" t="s">
        <v>170</v>
      </c>
      <c r="D79" s="71" t="s">
        <v>4</v>
      </c>
      <c r="E79" s="72">
        <v>4</v>
      </c>
      <c r="F79" s="73">
        <v>0.22</v>
      </c>
      <c r="G79" s="73">
        <v>0.22</v>
      </c>
      <c r="H79" s="74">
        <v>0.45</v>
      </c>
      <c r="I79" s="73"/>
      <c r="J79" s="75" t="s">
        <v>75</v>
      </c>
      <c r="K79" s="74">
        <f t="shared" ref="K79" si="22">ROUND(PRODUCT(E79:J79),3)</f>
        <v>8.6999999999999994E-2</v>
      </c>
      <c r="L79" s="76"/>
    </row>
    <row r="80" spans="1:12" s="43" customFormat="1" ht="20.100000000000001" hidden="1" customHeight="1" outlineLevel="2" thickBot="1" x14ac:dyDescent="0.3">
      <c r="A80" s="90"/>
      <c r="B80" s="91"/>
      <c r="C80" s="79" t="s">
        <v>171</v>
      </c>
      <c r="D80" s="80" t="s">
        <v>4</v>
      </c>
      <c r="E80" s="81">
        <v>4</v>
      </c>
      <c r="F80" s="82">
        <v>0.22</v>
      </c>
      <c r="G80" s="82">
        <v>0.22</v>
      </c>
      <c r="H80" s="83">
        <f>0.45+0.875</f>
        <v>1.325</v>
      </c>
      <c r="I80" s="92"/>
      <c r="J80" s="93" t="s">
        <v>75</v>
      </c>
      <c r="K80" s="94">
        <f t="shared" ref="K80" si="23">ROUND(PRODUCT(E80:J80),3)</f>
        <v>0.25700000000000001</v>
      </c>
      <c r="L80" s="95"/>
    </row>
    <row r="81" spans="1:12" s="42" customFormat="1" ht="30" customHeight="1" collapsed="1" thickBot="1" x14ac:dyDescent="0.3">
      <c r="A81" s="58">
        <v>9</v>
      </c>
      <c r="B81" s="59" t="s">
        <v>138</v>
      </c>
      <c r="C81" s="60"/>
      <c r="D81" s="61" t="s">
        <v>4</v>
      </c>
      <c r="E81" s="61"/>
      <c r="F81" s="62"/>
      <c r="G81" s="62"/>
      <c r="H81" s="62"/>
      <c r="I81" s="63"/>
      <c r="J81" s="61"/>
      <c r="K81" s="64">
        <f>SUBTOTAL(9,K82:K84)</f>
        <v>6.2479999999999993</v>
      </c>
      <c r="L81" s="65"/>
    </row>
    <row r="82" spans="1:12" s="42" customFormat="1" ht="24.95" hidden="1" customHeight="1" outlineLevel="1" x14ac:dyDescent="0.25">
      <c r="A82" s="66">
        <v>7.1</v>
      </c>
      <c r="B82" s="59" t="s">
        <v>127</v>
      </c>
      <c r="C82" s="60"/>
      <c r="D82" s="61" t="s">
        <v>4</v>
      </c>
      <c r="E82" s="61"/>
      <c r="F82" s="62"/>
      <c r="G82" s="62"/>
      <c r="H82" s="62"/>
      <c r="I82" s="63"/>
      <c r="J82" s="61"/>
      <c r="K82" s="64">
        <f>SUBTOTAL(9,K83:K84)</f>
        <v>6.2479999999999993</v>
      </c>
      <c r="L82" s="67"/>
    </row>
    <row r="83" spans="1:12" s="43" customFormat="1" ht="20.100000000000001" hidden="1" customHeight="1" outlineLevel="2" x14ac:dyDescent="0.25">
      <c r="A83" s="68"/>
      <c r="B83" s="69"/>
      <c r="C83" s="70" t="s">
        <v>170</v>
      </c>
      <c r="D83" s="71" t="s">
        <v>4</v>
      </c>
      <c r="E83" s="72">
        <v>4</v>
      </c>
      <c r="F83" s="73">
        <v>0.22</v>
      </c>
      <c r="G83" s="73">
        <v>0.22</v>
      </c>
      <c r="H83" s="74">
        <v>0.45</v>
      </c>
      <c r="I83" s="73"/>
      <c r="J83" s="75" t="s">
        <v>136</v>
      </c>
      <c r="K83" s="74">
        <f>ROUND(E83*(F83+G83)*2*H83,3)</f>
        <v>1.5840000000000001</v>
      </c>
      <c r="L83" s="76"/>
    </row>
    <row r="84" spans="1:12" s="43" customFormat="1" ht="20.100000000000001" hidden="1" customHeight="1" outlineLevel="2" thickBot="1" x14ac:dyDescent="0.3">
      <c r="A84" s="90"/>
      <c r="B84" s="91"/>
      <c r="C84" s="79" t="s">
        <v>171</v>
      </c>
      <c r="D84" s="80" t="s">
        <v>4</v>
      </c>
      <c r="E84" s="81">
        <v>4</v>
      </c>
      <c r="F84" s="82">
        <v>0.22</v>
      </c>
      <c r="G84" s="82">
        <v>0.22</v>
      </c>
      <c r="H84" s="83">
        <f>0.45+0.875</f>
        <v>1.325</v>
      </c>
      <c r="I84" s="92"/>
      <c r="J84" s="93" t="s">
        <v>136</v>
      </c>
      <c r="K84" s="94">
        <f>ROUND(E84*(F84+G84)*2*H84,3)</f>
        <v>4.6639999999999997</v>
      </c>
      <c r="L84" s="95"/>
    </row>
    <row r="85" spans="1:12" s="42" customFormat="1" ht="36" customHeight="1" collapsed="1" thickBot="1" x14ac:dyDescent="0.3">
      <c r="A85" s="58">
        <v>10</v>
      </c>
      <c r="B85" s="59" t="s">
        <v>319</v>
      </c>
      <c r="C85" s="60"/>
      <c r="D85" s="61" t="s">
        <v>2</v>
      </c>
      <c r="E85" s="61"/>
      <c r="F85" s="62"/>
      <c r="G85" s="62"/>
      <c r="H85" s="62"/>
      <c r="I85" s="63"/>
      <c r="J85" s="61"/>
      <c r="K85" s="64">
        <f>SUBTOTAL(9,K86:K91)</f>
        <v>0.75800000000000001</v>
      </c>
      <c r="L85" s="65"/>
    </row>
    <row r="86" spans="1:12" s="42" customFormat="1" ht="24.95" hidden="1" customHeight="1" outlineLevel="1" x14ac:dyDescent="0.25">
      <c r="A86" s="66">
        <v>8.1</v>
      </c>
      <c r="B86" s="59" t="s">
        <v>127</v>
      </c>
      <c r="C86" s="60"/>
      <c r="D86" s="61" t="s">
        <v>2</v>
      </c>
      <c r="E86" s="61"/>
      <c r="F86" s="62"/>
      <c r="G86" s="62"/>
      <c r="H86" s="62"/>
      <c r="I86" s="63"/>
      <c r="J86" s="61"/>
      <c r="K86" s="64">
        <f>SUBTOTAL(9,K87:K91)</f>
        <v>0.75800000000000001</v>
      </c>
      <c r="L86" s="67"/>
    </row>
    <row r="87" spans="1:12" s="43" customFormat="1" ht="20.100000000000001" hidden="1" customHeight="1" outlineLevel="2" x14ac:dyDescent="0.25">
      <c r="A87" s="68"/>
      <c r="B87" s="69"/>
      <c r="C87" s="70" t="s">
        <v>139</v>
      </c>
      <c r="D87" s="71" t="s">
        <v>2</v>
      </c>
      <c r="E87" s="72">
        <v>2</v>
      </c>
      <c r="F87" s="73">
        <v>4.3600000000000003</v>
      </c>
      <c r="G87" s="73">
        <v>0.22</v>
      </c>
      <c r="H87" s="74">
        <v>0.1</v>
      </c>
      <c r="I87" s="73"/>
      <c r="J87" s="75" t="s">
        <v>75</v>
      </c>
      <c r="K87" s="74">
        <f t="shared" ref="K87:K88" si="24">ROUND(PRODUCT(E87:J87),3)</f>
        <v>0.192</v>
      </c>
      <c r="L87" s="76"/>
    </row>
    <row r="88" spans="1:12" s="43" customFormat="1" ht="20.100000000000001" hidden="1" customHeight="1" outlineLevel="2" x14ac:dyDescent="0.25">
      <c r="A88" s="77"/>
      <c r="B88" s="78"/>
      <c r="C88" s="79"/>
      <c r="D88" s="80" t="s">
        <v>2</v>
      </c>
      <c r="E88" s="81">
        <v>1</v>
      </c>
      <c r="F88" s="82">
        <v>2.56</v>
      </c>
      <c r="G88" s="82">
        <v>0.22</v>
      </c>
      <c r="H88" s="83">
        <v>0.1</v>
      </c>
      <c r="I88" s="82"/>
      <c r="J88" s="84" t="s">
        <v>75</v>
      </c>
      <c r="K88" s="83">
        <f t="shared" si="24"/>
        <v>5.6000000000000001E-2</v>
      </c>
      <c r="L88" s="85"/>
    </row>
    <row r="89" spans="1:12" s="43" customFormat="1" ht="20.100000000000001" hidden="1" customHeight="1" outlineLevel="2" x14ac:dyDescent="0.25">
      <c r="A89" s="77"/>
      <c r="B89" s="78"/>
      <c r="C89" s="79" t="s">
        <v>140</v>
      </c>
      <c r="D89" s="80" t="s">
        <v>2</v>
      </c>
      <c r="E89" s="81">
        <v>2</v>
      </c>
      <c r="F89" s="82">
        <v>4.16</v>
      </c>
      <c r="G89" s="82">
        <v>0.22</v>
      </c>
      <c r="H89" s="83">
        <v>0.1</v>
      </c>
      <c r="I89" s="82"/>
      <c r="J89" s="84" t="s">
        <v>75</v>
      </c>
      <c r="K89" s="83">
        <f t="shared" ref="K89:K91" si="25">ROUND(PRODUCT(E89:J89),3)</f>
        <v>0.183</v>
      </c>
      <c r="L89" s="85"/>
    </row>
    <row r="90" spans="1:12" s="43" customFormat="1" ht="20.100000000000001" hidden="1" customHeight="1" outlineLevel="2" x14ac:dyDescent="0.25">
      <c r="A90" s="77"/>
      <c r="B90" s="78"/>
      <c r="C90" s="79"/>
      <c r="D90" s="80" t="s">
        <v>2</v>
      </c>
      <c r="E90" s="81">
        <v>2</v>
      </c>
      <c r="F90" s="82">
        <v>3.6</v>
      </c>
      <c r="G90" s="82">
        <v>0.22</v>
      </c>
      <c r="H90" s="83">
        <v>0.1</v>
      </c>
      <c r="I90" s="82"/>
      <c r="J90" s="84" t="s">
        <v>75</v>
      </c>
      <c r="K90" s="83">
        <f t="shared" si="25"/>
        <v>0.158</v>
      </c>
      <c r="L90" s="85"/>
    </row>
    <row r="91" spans="1:12" s="43" customFormat="1" ht="20.100000000000001" hidden="1" customHeight="1" outlineLevel="2" thickBot="1" x14ac:dyDescent="0.3">
      <c r="A91" s="96"/>
      <c r="B91" s="97"/>
      <c r="C91" s="98"/>
      <c r="D91" s="99" t="s">
        <v>2</v>
      </c>
      <c r="E91" s="100">
        <v>3</v>
      </c>
      <c r="F91" s="101">
        <v>2.56</v>
      </c>
      <c r="G91" s="101">
        <v>0.22</v>
      </c>
      <c r="H91" s="102">
        <v>0.1</v>
      </c>
      <c r="I91" s="101"/>
      <c r="J91" s="103" t="s">
        <v>75</v>
      </c>
      <c r="K91" s="102">
        <f t="shared" si="25"/>
        <v>0.16900000000000001</v>
      </c>
      <c r="L91" s="104"/>
    </row>
    <row r="92" spans="1:12" s="42" customFormat="1" ht="30" customHeight="1" collapsed="1" thickBot="1" x14ac:dyDescent="0.3">
      <c r="A92" s="58">
        <v>11</v>
      </c>
      <c r="B92" s="59" t="s">
        <v>141</v>
      </c>
      <c r="C92" s="60"/>
      <c r="D92" s="61" t="s">
        <v>4</v>
      </c>
      <c r="E92" s="61"/>
      <c r="F92" s="62"/>
      <c r="G92" s="62"/>
      <c r="H92" s="62"/>
      <c r="I92" s="63"/>
      <c r="J92" s="61"/>
      <c r="K92" s="64">
        <f>SUBTOTAL(9,K93:K98)</f>
        <v>6.895999999999999</v>
      </c>
      <c r="L92" s="65"/>
    </row>
    <row r="93" spans="1:12" s="42" customFormat="1" ht="24.95" hidden="1" customHeight="1" outlineLevel="1" x14ac:dyDescent="0.25">
      <c r="A93" s="66">
        <v>9.1</v>
      </c>
      <c r="B93" s="59" t="s">
        <v>127</v>
      </c>
      <c r="C93" s="60"/>
      <c r="D93" s="61" t="s">
        <v>4</v>
      </c>
      <c r="E93" s="61"/>
      <c r="F93" s="62"/>
      <c r="G93" s="62"/>
      <c r="H93" s="62"/>
      <c r="I93" s="63"/>
      <c r="J93" s="61"/>
      <c r="K93" s="64">
        <f>SUBTOTAL(9,K94:K98)</f>
        <v>6.895999999999999</v>
      </c>
      <c r="L93" s="67"/>
    </row>
    <row r="94" spans="1:12" s="43" customFormat="1" ht="20.100000000000001" hidden="1" customHeight="1" outlineLevel="2" x14ac:dyDescent="0.25">
      <c r="A94" s="68"/>
      <c r="B94" s="69"/>
      <c r="C94" s="70" t="s">
        <v>139</v>
      </c>
      <c r="D94" s="71" t="s">
        <v>4</v>
      </c>
      <c r="E94" s="72">
        <v>4</v>
      </c>
      <c r="F94" s="73">
        <v>4.3600000000000003</v>
      </c>
      <c r="G94" s="73">
        <v>0.1</v>
      </c>
      <c r="H94" s="74">
        <v>1</v>
      </c>
      <c r="I94" s="73"/>
      <c r="J94" s="75" t="s">
        <v>75</v>
      </c>
      <c r="K94" s="74">
        <f t="shared" ref="K94:K98" si="26">ROUND(PRODUCT(E94:J94),3)</f>
        <v>1.744</v>
      </c>
      <c r="L94" s="76"/>
    </row>
    <row r="95" spans="1:12" s="43" customFormat="1" ht="20.100000000000001" hidden="1" customHeight="1" outlineLevel="2" x14ac:dyDescent="0.25">
      <c r="A95" s="77"/>
      <c r="B95" s="78"/>
      <c r="C95" s="79"/>
      <c r="D95" s="80" t="s">
        <v>4</v>
      </c>
      <c r="E95" s="81">
        <v>2</v>
      </c>
      <c r="F95" s="82">
        <v>2.56</v>
      </c>
      <c r="G95" s="82">
        <v>0.1</v>
      </c>
      <c r="H95" s="83">
        <v>1</v>
      </c>
      <c r="I95" s="82"/>
      <c r="J95" s="84" t="s">
        <v>75</v>
      </c>
      <c r="K95" s="83">
        <f t="shared" si="26"/>
        <v>0.51200000000000001</v>
      </c>
      <c r="L95" s="85"/>
    </row>
    <row r="96" spans="1:12" s="43" customFormat="1" ht="20.100000000000001" hidden="1" customHeight="1" outlineLevel="2" x14ac:dyDescent="0.25">
      <c r="A96" s="77"/>
      <c r="B96" s="78"/>
      <c r="C96" s="79" t="s">
        <v>140</v>
      </c>
      <c r="D96" s="80" t="s">
        <v>4</v>
      </c>
      <c r="E96" s="81">
        <v>4</v>
      </c>
      <c r="F96" s="82">
        <v>4.16</v>
      </c>
      <c r="G96" s="82">
        <v>0.1</v>
      </c>
      <c r="H96" s="83">
        <v>1</v>
      </c>
      <c r="I96" s="82"/>
      <c r="J96" s="84" t="s">
        <v>75</v>
      </c>
      <c r="K96" s="83">
        <f t="shared" si="26"/>
        <v>1.6639999999999999</v>
      </c>
      <c r="L96" s="85"/>
    </row>
    <row r="97" spans="1:12" s="43" customFormat="1" ht="20.100000000000001" hidden="1" customHeight="1" outlineLevel="2" x14ac:dyDescent="0.25">
      <c r="A97" s="77"/>
      <c r="B97" s="78"/>
      <c r="C97" s="79"/>
      <c r="D97" s="80" t="s">
        <v>4</v>
      </c>
      <c r="E97" s="81">
        <v>4</v>
      </c>
      <c r="F97" s="82">
        <v>3.6</v>
      </c>
      <c r="G97" s="82">
        <v>0.1</v>
      </c>
      <c r="H97" s="83">
        <v>1</v>
      </c>
      <c r="I97" s="82"/>
      <c r="J97" s="84" t="s">
        <v>75</v>
      </c>
      <c r="K97" s="83">
        <f t="shared" si="26"/>
        <v>1.44</v>
      </c>
      <c r="L97" s="85"/>
    </row>
    <row r="98" spans="1:12" s="43" customFormat="1" ht="20.100000000000001" hidden="1" customHeight="1" outlineLevel="2" thickBot="1" x14ac:dyDescent="0.3">
      <c r="A98" s="96"/>
      <c r="B98" s="97"/>
      <c r="C98" s="98"/>
      <c r="D98" s="99" t="s">
        <v>4</v>
      </c>
      <c r="E98" s="100">
        <v>6</v>
      </c>
      <c r="F98" s="101">
        <v>2.56</v>
      </c>
      <c r="G98" s="101">
        <v>0.1</v>
      </c>
      <c r="H98" s="102">
        <v>1</v>
      </c>
      <c r="I98" s="101"/>
      <c r="J98" s="103" t="s">
        <v>75</v>
      </c>
      <c r="K98" s="102">
        <f t="shared" si="26"/>
        <v>1.536</v>
      </c>
      <c r="L98" s="104"/>
    </row>
    <row r="99" spans="1:12" s="42" customFormat="1" ht="42" customHeight="1" collapsed="1" thickBot="1" x14ac:dyDescent="0.3">
      <c r="A99" s="58">
        <v>12</v>
      </c>
      <c r="B99" s="59" t="s">
        <v>142</v>
      </c>
      <c r="C99" s="60"/>
      <c r="D99" s="61" t="s">
        <v>2</v>
      </c>
      <c r="E99" s="61"/>
      <c r="F99" s="62"/>
      <c r="G99" s="62"/>
      <c r="H99" s="62"/>
      <c r="I99" s="63"/>
      <c r="J99" s="61"/>
      <c r="K99" s="64">
        <f>SUBTOTAL(9,K100:K110)</f>
        <v>13.048</v>
      </c>
      <c r="L99" s="65"/>
    </row>
    <row r="100" spans="1:12" s="42" customFormat="1" ht="24.95" hidden="1" customHeight="1" outlineLevel="1" x14ac:dyDescent="0.25">
      <c r="A100" s="66">
        <v>10.1</v>
      </c>
      <c r="B100" s="59" t="s">
        <v>127</v>
      </c>
      <c r="C100" s="60"/>
      <c r="D100" s="61" t="s">
        <v>2</v>
      </c>
      <c r="E100" s="61"/>
      <c r="F100" s="62"/>
      <c r="G100" s="62"/>
      <c r="H100" s="62"/>
      <c r="I100" s="63"/>
      <c r="J100" s="61"/>
      <c r="K100" s="64">
        <f>SUBTOTAL(9,K101:K107)</f>
        <v>7.4640000000000004</v>
      </c>
      <c r="L100" s="67"/>
    </row>
    <row r="101" spans="1:12" s="43" customFormat="1" ht="20.100000000000001" hidden="1" customHeight="1" outlineLevel="2" x14ac:dyDescent="0.25">
      <c r="A101" s="68"/>
      <c r="B101" s="69"/>
      <c r="C101" s="70" t="s">
        <v>139</v>
      </c>
      <c r="D101" s="71" t="s">
        <v>2</v>
      </c>
      <c r="E101" s="72">
        <v>2</v>
      </c>
      <c r="F101" s="73">
        <v>4.3600000000000003</v>
      </c>
      <c r="G101" s="73">
        <v>0.22</v>
      </c>
      <c r="H101" s="74">
        <v>0.3</v>
      </c>
      <c r="I101" s="73"/>
      <c r="J101" s="75" t="s">
        <v>75</v>
      </c>
      <c r="K101" s="74">
        <f t="shared" ref="K101:K107" si="27">ROUND(PRODUCT(E101:J101),3)</f>
        <v>0.57599999999999996</v>
      </c>
      <c r="L101" s="76"/>
    </row>
    <row r="102" spans="1:12" s="43" customFormat="1" ht="20.100000000000001" hidden="1" customHeight="1" outlineLevel="2" x14ac:dyDescent="0.25">
      <c r="A102" s="77"/>
      <c r="B102" s="78"/>
      <c r="C102" s="79"/>
      <c r="D102" s="80" t="s">
        <v>2</v>
      </c>
      <c r="E102" s="81">
        <v>1</v>
      </c>
      <c r="F102" s="82">
        <v>2.56</v>
      </c>
      <c r="G102" s="82">
        <v>0.22</v>
      </c>
      <c r="H102" s="83">
        <v>0.3</v>
      </c>
      <c r="I102" s="82"/>
      <c r="J102" s="84" t="s">
        <v>75</v>
      </c>
      <c r="K102" s="83">
        <f t="shared" si="27"/>
        <v>0.16900000000000001</v>
      </c>
      <c r="L102" s="85"/>
    </row>
    <row r="103" spans="1:12" s="43" customFormat="1" ht="20.100000000000001" hidden="1" customHeight="1" outlineLevel="2" x14ac:dyDescent="0.25">
      <c r="A103" s="77"/>
      <c r="B103" s="78"/>
      <c r="C103" s="79"/>
      <c r="D103" s="80" t="s">
        <v>2</v>
      </c>
      <c r="E103" s="81">
        <v>1</v>
      </c>
      <c r="F103" s="82">
        <f>0.87+1.525+0.9</f>
        <v>3.2949999999999999</v>
      </c>
      <c r="G103" s="82">
        <v>0.11</v>
      </c>
      <c r="H103" s="83">
        <v>1.7150000000000001</v>
      </c>
      <c r="I103" s="82"/>
      <c r="J103" s="84" t="s">
        <v>75</v>
      </c>
      <c r="K103" s="83">
        <f t="shared" ref="K103" si="28">ROUND(PRODUCT(E103:J103),3)</f>
        <v>0.622</v>
      </c>
      <c r="L103" s="85"/>
    </row>
    <row r="104" spans="1:12" s="43" customFormat="1" ht="20.100000000000001" hidden="1" customHeight="1" outlineLevel="2" x14ac:dyDescent="0.25">
      <c r="A104" s="77"/>
      <c r="B104" s="78"/>
      <c r="C104" s="79"/>
      <c r="D104" s="80" t="s">
        <v>2</v>
      </c>
      <c r="E104" s="81">
        <v>0.5</v>
      </c>
      <c r="F104" s="82">
        <v>1.0549999999999999</v>
      </c>
      <c r="G104" s="82">
        <v>0.11</v>
      </c>
      <c r="H104" s="83">
        <v>1.7150000000000001</v>
      </c>
      <c r="I104" s="82"/>
      <c r="J104" s="84" t="s">
        <v>75</v>
      </c>
      <c r="K104" s="83">
        <f t="shared" ref="K104" si="29">ROUND(PRODUCT(E104:J104),3)</f>
        <v>0.1</v>
      </c>
      <c r="L104" s="85"/>
    </row>
    <row r="105" spans="1:12" s="43" customFormat="1" ht="20.100000000000001" hidden="1" customHeight="1" outlineLevel="2" x14ac:dyDescent="0.25">
      <c r="A105" s="77"/>
      <c r="B105" s="78"/>
      <c r="C105" s="79" t="s">
        <v>140</v>
      </c>
      <c r="D105" s="80" t="s">
        <v>2</v>
      </c>
      <c r="E105" s="81">
        <v>2</v>
      </c>
      <c r="F105" s="82">
        <v>4.16</v>
      </c>
      <c r="G105" s="82">
        <v>0.22</v>
      </c>
      <c r="H105" s="83">
        <f>0.3+0.875</f>
        <v>1.175</v>
      </c>
      <c r="I105" s="82"/>
      <c r="J105" s="84" t="s">
        <v>75</v>
      </c>
      <c r="K105" s="83">
        <f t="shared" si="27"/>
        <v>2.1509999999999998</v>
      </c>
      <c r="L105" s="85"/>
    </row>
    <row r="106" spans="1:12" s="43" customFormat="1" ht="20.100000000000001" hidden="1" customHeight="1" outlineLevel="2" x14ac:dyDescent="0.25">
      <c r="A106" s="77"/>
      <c r="B106" s="78"/>
      <c r="C106" s="79"/>
      <c r="D106" s="80" t="s">
        <v>2</v>
      </c>
      <c r="E106" s="81">
        <v>2</v>
      </c>
      <c r="F106" s="82">
        <v>3.6</v>
      </c>
      <c r="G106" s="82">
        <v>0.22</v>
      </c>
      <c r="H106" s="83">
        <v>1.175</v>
      </c>
      <c r="I106" s="82"/>
      <c r="J106" s="84" t="s">
        <v>75</v>
      </c>
      <c r="K106" s="83">
        <f t="shared" si="27"/>
        <v>1.861</v>
      </c>
      <c r="L106" s="85"/>
    </row>
    <row r="107" spans="1:12" s="43" customFormat="1" ht="20.100000000000001" hidden="1" customHeight="1" outlineLevel="2" thickBot="1" x14ac:dyDescent="0.3">
      <c r="A107" s="96"/>
      <c r="B107" s="97"/>
      <c r="C107" s="98"/>
      <c r="D107" s="99" t="s">
        <v>2</v>
      </c>
      <c r="E107" s="100">
        <v>3</v>
      </c>
      <c r="F107" s="101">
        <v>2.56</v>
      </c>
      <c r="G107" s="101">
        <v>0.22</v>
      </c>
      <c r="H107" s="102">
        <v>1.175</v>
      </c>
      <c r="I107" s="101"/>
      <c r="J107" s="103" t="s">
        <v>75</v>
      </c>
      <c r="K107" s="102">
        <f t="shared" si="27"/>
        <v>1.9850000000000001</v>
      </c>
      <c r="L107" s="104"/>
    </row>
    <row r="108" spans="1:12" s="42" customFormat="1" ht="24.95" hidden="1" customHeight="1" outlineLevel="1" x14ac:dyDescent="0.25">
      <c r="A108" s="66">
        <v>10.199999999999999</v>
      </c>
      <c r="B108" s="59" t="s">
        <v>144</v>
      </c>
      <c r="C108" s="60"/>
      <c r="D108" s="61" t="s">
        <v>2</v>
      </c>
      <c r="E108" s="61"/>
      <c r="F108" s="62"/>
      <c r="G108" s="62"/>
      <c r="H108" s="62"/>
      <c r="I108" s="63"/>
      <c r="J108" s="61"/>
      <c r="K108" s="64">
        <f>SUBTOTAL(9,K109:K110)</f>
        <v>5.5839999999999996</v>
      </c>
      <c r="L108" s="67"/>
    </row>
    <row r="109" spans="1:12" s="43" customFormat="1" ht="20.100000000000001" hidden="1" customHeight="1" outlineLevel="2" x14ac:dyDescent="0.25">
      <c r="A109" s="68"/>
      <c r="B109" s="69"/>
      <c r="C109" s="70" t="s">
        <v>132</v>
      </c>
      <c r="D109" s="71" t="s">
        <v>2</v>
      </c>
      <c r="E109" s="72">
        <v>1</v>
      </c>
      <c r="F109" s="73">
        <v>1.9</v>
      </c>
      <c r="G109" s="73">
        <v>2.59</v>
      </c>
      <c r="H109" s="74">
        <v>1.4</v>
      </c>
      <c r="I109" s="73">
        <v>0.22</v>
      </c>
      <c r="J109" s="75" t="s">
        <v>136</v>
      </c>
      <c r="K109" s="74">
        <f>ROUND(E109*(F109+G109)*2*H109*I109,3)</f>
        <v>2.766</v>
      </c>
      <c r="L109" s="76"/>
    </row>
    <row r="110" spans="1:12" s="43" customFormat="1" ht="20.100000000000001" hidden="1" customHeight="1" outlineLevel="2" thickBot="1" x14ac:dyDescent="0.3">
      <c r="A110" s="96"/>
      <c r="B110" s="97"/>
      <c r="C110" s="98" t="s">
        <v>133</v>
      </c>
      <c r="D110" s="99" t="s">
        <v>2</v>
      </c>
      <c r="E110" s="100">
        <v>1</v>
      </c>
      <c r="F110" s="101">
        <v>2.65</v>
      </c>
      <c r="G110" s="101">
        <v>1.62</v>
      </c>
      <c r="H110" s="102">
        <v>1.5</v>
      </c>
      <c r="I110" s="101">
        <v>0.22</v>
      </c>
      <c r="J110" s="103" t="s">
        <v>136</v>
      </c>
      <c r="K110" s="102">
        <f>ROUND(E110*(F110+G110)*2*H110*I110,3)</f>
        <v>2.8180000000000001</v>
      </c>
      <c r="L110" s="104"/>
    </row>
    <row r="111" spans="1:12" s="42" customFormat="1" ht="42" customHeight="1" collapsed="1" thickBot="1" x14ac:dyDescent="0.3">
      <c r="A111" s="58">
        <v>13</v>
      </c>
      <c r="B111" s="59" t="s">
        <v>151</v>
      </c>
      <c r="C111" s="60"/>
      <c r="D111" s="61" t="s">
        <v>4</v>
      </c>
      <c r="E111" s="61"/>
      <c r="F111" s="62"/>
      <c r="G111" s="62"/>
      <c r="H111" s="62"/>
      <c r="I111" s="63"/>
      <c r="J111" s="61"/>
      <c r="K111" s="64">
        <f>SUBTOTAL(9,K112:K114)</f>
        <v>28.102</v>
      </c>
      <c r="L111" s="65"/>
    </row>
    <row r="112" spans="1:12" s="42" customFormat="1" ht="24.95" hidden="1" customHeight="1" outlineLevel="1" x14ac:dyDescent="0.25">
      <c r="A112" s="66">
        <v>6.1</v>
      </c>
      <c r="B112" s="59" t="s">
        <v>144</v>
      </c>
      <c r="C112" s="60"/>
      <c r="D112" s="61" t="s">
        <v>4</v>
      </c>
      <c r="E112" s="61"/>
      <c r="F112" s="62"/>
      <c r="G112" s="62"/>
      <c r="H112" s="62"/>
      <c r="I112" s="63"/>
      <c r="J112" s="61"/>
      <c r="K112" s="64">
        <f>SUBTOTAL(9,K113:K114)</f>
        <v>28.102</v>
      </c>
      <c r="L112" s="67"/>
    </row>
    <row r="113" spans="1:12" s="43" customFormat="1" ht="20.100000000000001" hidden="1" customHeight="1" outlineLevel="2" x14ac:dyDescent="0.25">
      <c r="A113" s="68"/>
      <c r="B113" s="69"/>
      <c r="C113" s="70" t="s">
        <v>132</v>
      </c>
      <c r="D113" s="71" t="s">
        <v>4</v>
      </c>
      <c r="E113" s="72">
        <v>1</v>
      </c>
      <c r="F113" s="73">
        <v>1.9</v>
      </c>
      <c r="G113" s="73">
        <v>3.09</v>
      </c>
      <c r="H113" s="74">
        <v>1.4</v>
      </c>
      <c r="I113" s="73"/>
      <c r="J113" s="75" t="s">
        <v>136</v>
      </c>
      <c r="K113" s="74">
        <f>ROUND(E113*(F113+G113)*2*H113,3)</f>
        <v>13.972</v>
      </c>
      <c r="L113" s="76"/>
    </row>
    <row r="114" spans="1:12" s="43" customFormat="1" ht="20.100000000000001" hidden="1" customHeight="1" outlineLevel="2" thickBot="1" x14ac:dyDescent="0.3">
      <c r="A114" s="96"/>
      <c r="B114" s="97"/>
      <c r="C114" s="98" t="s">
        <v>133</v>
      </c>
      <c r="D114" s="99" t="s">
        <v>4</v>
      </c>
      <c r="E114" s="100">
        <v>1</v>
      </c>
      <c r="F114" s="101">
        <v>2.65</v>
      </c>
      <c r="G114" s="101">
        <v>2.06</v>
      </c>
      <c r="H114" s="102">
        <v>1.5</v>
      </c>
      <c r="I114" s="101"/>
      <c r="J114" s="103" t="s">
        <v>136</v>
      </c>
      <c r="K114" s="102">
        <f>ROUND(E114*(F114+G114)*2*H114,3)</f>
        <v>14.13</v>
      </c>
      <c r="L114" s="104"/>
    </row>
    <row r="115" spans="1:12" s="42" customFormat="1" ht="42" customHeight="1" collapsed="1" thickBot="1" x14ac:dyDescent="0.3">
      <c r="A115" s="58">
        <v>14</v>
      </c>
      <c r="B115" s="59" t="s">
        <v>152</v>
      </c>
      <c r="C115" s="60"/>
      <c r="D115" s="61" t="s">
        <v>4</v>
      </c>
      <c r="E115" s="61"/>
      <c r="F115" s="62"/>
      <c r="G115" s="62"/>
      <c r="H115" s="62"/>
      <c r="I115" s="63"/>
      <c r="J115" s="61"/>
      <c r="K115" s="64">
        <f>SUBTOTAL(9,K116:K118)</f>
        <v>22.661999999999999</v>
      </c>
      <c r="L115" s="65"/>
    </row>
    <row r="116" spans="1:12" s="42" customFormat="1" ht="24.95" hidden="1" customHeight="1" outlineLevel="1" x14ac:dyDescent="0.25">
      <c r="A116" s="66">
        <v>6.1</v>
      </c>
      <c r="B116" s="59" t="s">
        <v>144</v>
      </c>
      <c r="C116" s="60"/>
      <c r="D116" s="61" t="s">
        <v>4</v>
      </c>
      <c r="E116" s="61"/>
      <c r="F116" s="62"/>
      <c r="G116" s="62"/>
      <c r="H116" s="62"/>
      <c r="I116" s="63"/>
      <c r="J116" s="61"/>
      <c r="K116" s="64">
        <f>SUBTOTAL(9,K117:K118)</f>
        <v>22.661999999999999</v>
      </c>
      <c r="L116" s="67"/>
    </row>
    <row r="117" spans="1:12" s="43" customFormat="1" ht="20.100000000000001" hidden="1" customHeight="1" outlineLevel="2" x14ac:dyDescent="0.25">
      <c r="A117" s="68"/>
      <c r="B117" s="69"/>
      <c r="C117" s="70" t="s">
        <v>132</v>
      </c>
      <c r="D117" s="71" t="s">
        <v>4</v>
      </c>
      <c r="E117" s="72">
        <v>1</v>
      </c>
      <c r="F117" s="73">
        <v>1.4</v>
      </c>
      <c r="G117" s="73">
        <v>2.59</v>
      </c>
      <c r="H117" s="74">
        <v>1.4</v>
      </c>
      <c r="I117" s="73"/>
      <c r="J117" s="75" t="s">
        <v>136</v>
      </c>
      <c r="K117" s="74">
        <f>ROUND(E117*(F117+G117)*2*H117,3)</f>
        <v>11.172000000000001</v>
      </c>
      <c r="L117" s="76"/>
    </row>
    <row r="118" spans="1:12" s="43" customFormat="1" ht="20.100000000000001" hidden="1" customHeight="1" outlineLevel="2" thickBot="1" x14ac:dyDescent="0.3">
      <c r="A118" s="96"/>
      <c r="B118" s="97"/>
      <c r="C118" s="98" t="s">
        <v>133</v>
      </c>
      <c r="D118" s="99" t="s">
        <v>4</v>
      </c>
      <c r="E118" s="100">
        <v>1</v>
      </c>
      <c r="F118" s="101">
        <v>1.62</v>
      </c>
      <c r="G118" s="101">
        <v>2.21</v>
      </c>
      <c r="H118" s="102">
        <v>1.5</v>
      </c>
      <c r="I118" s="101"/>
      <c r="J118" s="103" t="s">
        <v>136</v>
      </c>
      <c r="K118" s="102">
        <f>ROUND(E118*(F118+G118)*2*H118,3)</f>
        <v>11.49</v>
      </c>
      <c r="L118" s="104"/>
    </row>
    <row r="119" spans="1:12" s="42" customFormat="1" ht="42" customHeight="1" collapsed="1" thickBot="1" x14ac:dyDescent="0.3">
      <c r="A119" s="58">
        <v>15</v>
      </c>
      <c r="B119" s="59" t="s">
        <v>153</v>
      </c>
      <c r="C119" s="60"/>
      <c r="D119" s="61" t="s">
        <v>4</v>
      </c>
      <c r="E119" s="61"/>
      <c r="F119" s="62"/>
      <c r="G119" s="62"/>
      <c r="H119" s="62"/>
      <c r="I119" s="63"/>
      <c r="J119" s="61"/>
      <c r="K119" s="64">
        <f>SUBTOTAL(9,K120:K124)</f>
        <v>29.914000000000001</v>
      </c>
      <c r="L119" s="65"/>
    </row>
    <row r="120" spans="1:12" s="42" customFormat="1" ht="24.95" hidden="1" customHeight="1" outlineLevel="1" x14ac:dyDescent="0.25">
      <c r="A120" s="66">
        <v>13.1</v>
      </c>
      <c r="B120" s="59" t="s">
        <v>144</v>
      </c>
      <c r="C120" s="60"/>
      <c r="D120" s="61" t="s">
        <v>4</v>
      </c>
      <c r="E120" s="61"/>
      <c r="F120" s="62"/>
      <c r="G120" s="62"/>
      <c r="H120" s="62"/>
      <c r="I120" s="63"/>
      <c r="J120" s="61"/>
      <c r="K120" s="64">
        <f>SUBTOTAL(9,K121:K124)</f>
        <v>29.914000000000001</v>
      </c>
      <c r="L120" s="67"/>
    </row>
    <row r="121" spans="1:12" s="43" customFormat="1" ht="20.100000000000001" hidden="1" customHeight="1" outlineLevel="2" x14ac:dyDescent="0.25">
      <c r="A121" s="68"/>
      <c r="B121" s="69"/>
      <c r="C121" s="70" t="s">
        <v>132</v>
      </c>
      <c r="D121" s="71" t="s">
        <v>4</v>
      </c>
      <c r="E121" s="72">
        <v>1</v>
      </c>
      <c r="F121" s="73">
        <v>1.4</v>
      </c>
      <c r="G121" s="73">
        <v>2.59</v>
      </c>
      <c r="H121" s="74">
        <v>1.4</v>
      </c>
      <c r="I121" s="73"/>
      <c r="J121" s="75" t="s">
        <v>136</v>
      </c>
      <c r="K121" s="74">
        <f>ROUND(E121*(F121+G121)*2*H121,3)</f>
        <v>11.172000000000001</v>
      </c>
      <c r="L121" s="76"/>
    </row>
    <row r="122" spans="1:12" s="43" customFormat="1" ht="20.100000000000001" hidden="1" customHeight="1" outlineLevel="2" x14ac:dyDescent="0.25">
      <c r="A122" s="77"/>
      <c r="B122" s="78"/>
      <c r="C122" s="79"/>
      <c r="D122" s="80" t="s">
        <v>4</v>
      </c>
      <c r="E122" s="81">
        <v>1</v>
      </c>
      <c r="F122" s="82">
        <v>1.4</v>
      </c>
      <c r="G122" s="82">
        <v>2.59</v>
      </c>
      <c r="H122" s="83"/>
      <c r="I122" s="82"/>
      <c r="J122" s="84" t="s">
        <v>75</v>
      </c>
      <c r="K122" s="83">
        <f t="shared" ref="K122" si="30">ROUND(PRODUCT(E122:J122),3)</f>
        <v>3.6259999999999999</v>
      </c>
      <c r="L122" s="85"/>
    </row>
    <row r="123" spans="1:12" s="43" customFormat="1" ht="20.100000000000001" hidden="1" customHeight="1" outlineLevel="2" x14ac:dyDescent="0.25">
      <c r="A123" s="77"/>
      <c r="B123" s="78"/>
      <c r="C123" s="79" t="s">
        <v>133</v>
      </c>
      <c r="D123" s="80" t="s">
        <v>4</v>
      </c>
      <c r="E123" s="81">
        <v>1</v>
      </c>
      <c r="F123" s="82">
        <v>1.62</v>
      </c>
      <c r="G123" s="82">
        <v>2.21</v>
      </c>
      <c r="H123" s="83">
        <v>1.5</v>
      </c>
      <c r="I123" s="82"/>
      <c r="J123" s="84" t="s">
        <v>136</v>
      </c>
      <c r="K123" s="83">
        <f>ROUND(E123*(F123+G123)*2*H123,3)</f>
        <v>11.49</v>
      </c>
      <c r="L123" s="85"/>
    </row>
    <row r="124" spans="1:12" s="43" customFormat="1" ht="20.100000000000001" hidden="1" customHeight="1" outlineLevel="2" thickBot="1" x14ac:dyDescent="0.3">
      <c r="A124" s="96"/>
      <c r="B124" s="97"/>
      <c r="C124" s="98"/>
      <c r="D124" s="99" t="s">
        <v>4</v>
      </c>
      <c r="E124" s="100">
        <v>1</v>
      </c>
      <c r="F124" s="101">
        <v>1.4</v>
      </c>
      <c r="G124" s="101">
        <v>2.59</v>
      </c>
      <c r="H124" s="102"/>
      <c r="I124" s="101"/>
      <c r="J124" s="103" t="s">
        <v>75</v>
      </c>
      <c r="K124" s="102">
        <f t="shared" ref="K124" si="31">ROUND(PRODUCT(E124:J124),3)</f>
        <v>3.6259999999999999</v>
      </c>
      <c r="L124" s="104"/>
    </row>
    <row r="125" spans="1:12" s="42" customFormat="1" ht="42" customHeight="1" collapsed="1" thickBot="1" x14ac:dyDescent="0.3">
      <c r="A125" s="58">
        <v>16</v>
      </c>
      <c r="B125" s="59" t="s">
        <v>320</v>
      </c>
      <c r="C125" s="60"/>
      <c r="D125" s="61" t="s">
        <v>321</v>
      </c>
      <c r="E125" s="61"/>
      <c r="F125" s="62"/>
      <c r="G125" s="62"/>
      <c r="H125" s="62"/>
      <c r="I125" s="63"/>
      <c r="J125" s="61"/>
      <c r="K125" s="64">
        <f>SUBTOTAL(9,K126:K127)</f>
        <v>1277.2250000000001</v>
      </c>
      <c r="L125" s="65"/>
    </row>
    <row r="126" spans="1:12" s="43" customFormat="1" ht="20.100000000000001" hidden="1" customHeight="1" outlineLevel="2" x14ac:dyDescent="0.25">
      <c r="A126" s="68"/>
      <c r="B126" s="69"/>
      <c r="C126" s="70" t="s">
        <v>127</v>
      </c>
      <c r="D126" s="71" t="s">
        <v>321</v>
      </c>
      <c r="E126" s="72"/>
      <c r="F126" s="73"/>
      <c r="G126" s="73"/>
      <c r="H126" s="74"/>
      <c r="I126" s="73"/>
      <c r="J126" s="75"/>
      <c r="K126" s="74">
        <v>1083.8330000000001</v>
      </c>
      <c r="L126" s="76"/>
    </row>
    <row r="127" spans="1:12" s="43" customFormat="1" ht="20.100000000000001" hidden="1" customHeight="1" outlineLevel="2" thickBot="1" x14ac:dyDescent="0.3">
      <c r="A127" s="77"/>
      <c r="B127" s="78"/>
      <c r="C127" s="79" t="s">
        <v>144</v>
      </c>
      <c r="D127" s="80" t="s">
        <v>321</v>
      </c>
      <c r="E127" s="81"/>
      <c r="F127" s="82"/>
      <c r="G127" s="82"/>
      <c r="H127" s="83"/>
      <c r="I127" s="82"/>
      <c r="J127" s="84"/>
      <c r="K127" s="83">
        <v>193.39200000000002</v>
      </c>
      <c r="L127" s="85"/>
    </row>
    <row r="128" spans="1:12" s="42" customFormat="1" ht="30" customHeight="1" collapsed="1" thickBot="1" x14ac:dyDescent="0.3">
      <c r="A128" s="58">
        <v>17</v>
      </c>
      <c r="B128" s="59" t="s">
        <v>154</v>
      </c>
      <c r="C128" s="60"/>
      <c r="D128" s="61" t="s">
        <v>2</v>
      </c>
      <c r="E128" s="61"/>
      <c r="F128" s="62"/>
      <c r="G128" s="62"/>
      <c r="H128" s="62"/>
      <c r="I128" s="63"/>
      <c r="J128" s="61"/>
      <c r="K128" s="64">
        <f>SUBTOTAL(9,K129:K136)</f>
        <v>5.468</v>
      </c>
      <c r="L128" s="65"/>
    </row>
    <row r="129" spans="1:12" s="42" customFormat="1" ht="24.95" hidden="1" customHeight="1" outlineLevel="1" x14ac:dyDescent="0.25">
      <c r="A129" s="66">
        <v>1.1000000000000001</v>
      </c>
      <c r="B129" s="59" t="s">
        <v>127</v>
      </c>
      <c r="C129" s="60"/>
      <c r="D129" s="61" t="s">
        <v>2</v>
      </c>
      <c r="E129" s="61"/>
      <c r="F129" s="62"/>
      <c r="G129" s="62"/>
      <c r="H129" s="62"/>
      <c r="I129" s="63"/>
      <c r="J129" s="61"/>
      <c r="K129" s="64">
        <f>SUBTOTAL(9,K130:K136)</f>
        <v>5.468</v>
      </c>
      <c r="L129" s="67"/>
    </row>
    <row r="130" spans="1:12" s="43" customFormat="1" ht="20.100000000000001" hidden="1" customHeight="1" outlineLevel="2" x14ac:dyDescent="0.25">
      <c r="A130" s="68"/>
      <c r="B130" s="69"/>
      <c r="C130" s="70" t="s">
        <v>163</v>
      </c>
      <c r="D130" s="71" t="s">
        <v>2</v>
      </c>
      <c r="E130" s="72">
        <v>1</v>
      </c>
      <c r="F130" s="73">
        <v>4.8</v>
      </c>
      <c r="G130" s="73">
        <v>3</v>
      </c>
      <c r="H130" s="74">
        <v>0.15</v>
      </c>
      <c r="I130" s="73"/>
      <c r="J130" s="75" t="s">
        <v>75</v>
      </c>
      <c r="K130" s="74">
        <f t="shared" ref="K130" si="32">ROUND(PRODUCT(E130:J130),3)</f>
        <v>2.16</v>
      </c>
      <c r="L130" s="76"/>
    </row>
    <row r="131" spans="1:12" s="43" customFormat="1" ht="20.100000000000001" hidden="1" customHeight="1" outlineLevel="2" x14ac:dyDescent="0.25">
      <c r="A131" s="86"/>
      <c r="B131" s="87"/>
      <c r="C131" s="88" t="s">
        <v>164</v>
      </c>
      <c r="D131" s="80" t="s">
        <v>2</v>
      </c>
      <c r="E131" s="81">
        <v>1</v>
      </c>
      <c r="F131" s="82">
        <v>1.0549999999999999</v>
      </c>
      <c r="G131" s="82">
        <v>1.66</v>
      </c>
      <c r="H131" s="83">
        <v>0.15</v>
      </c>
      <c r="I131" s="82"/>
      <c r="J131" s="84" t="s">
        <v>75</v>
      </c>
      <c r="K131" s="83">
        <f t="shared" ref="K131" si="33">ROUND(PRODUCT(E131:J131),3)</f>
        <v>0.26300000000000001</v>
      </c>
      <c r="L131" s="89"/>
    </row>
    <row r="132" spans="1:12" s="43" customFormat="1" ht="20.100000000000001" hidden="1" customHeight="1" outlineLevel="2" x14ac:dyDescent="0.25">
      <c r="A132" s="86"/>
      <c r="B132" s="87"/>
      <c r="C132" s="88"/>
      <c r="D132" s="80" t="s">
        <v>2</v>
      </c>
      <c r="E132" s="81">
        <v>1</v>
      </c>
      <c r="F132" s="82">
        <v>1.5249999999999999</v>
      </c>
      <c r="G132" s="82">
        <v>0.79</v>
      </c>
      <c r="H132" s="83">
        <v>0.15</v>
      </c>
      <c r="I132" s="82"/>
      <c r="J132" s="84" t="s">
        <v>75</v>
      </c>
      <c r="K132" s="83">
        <f t="shared" ref="K132" si="34">ROUND(PRODUCT(E132:J132),3)</f>
        <v>0.18099999999999999</v>
      </c>
      <c r="L132" s="89"/>
    </row>
    <row r="133" spans="1:12" s="43" customFormat="1" ht="20.100000000000001" hidden="1" customHeight="1" outlineLevel="2" x14ac:dyDescent="0.25">
      <c r="A133" s="86"/>
      <c r="B133" s="87"/>
      <c r="C133" s="88" t="s">
        <v>165</v>
      </c>
      <c r="D133" s="80" t="s">
        <v>2</v>
      </c>
      <c r="E133" s="81">
        <v>1</v>
      </c>
      <c r="F133" s="82">
        <v>1.5249999999999999</v>
      </c>
      <c r="G133" s="82">
        <v>1.7</v>
      </c>
      <c r="H133" s="83">
        <v>0.15</v>
      </c>
      <c r="I133" s="82"/>
      <c r="J133" s="84" t="s">
        <v>75</v>
      </c>
      <c r="K133" s="83">
        <f t="shared" ref="K133" si="35">ROUND(PRODUCT(E133:J133),3)</f>
        <v>0.38900000000000001</v>
      </c>
      <c r="L133" s="89"/>
    </row>
    <row r="134" spans="1:12" s="43" customFormat="1" ht="20.100000000000001" hidden="1" customHeight="1" outlineLevel="2" x14ac:dyDescent="0.25">
      <c r="A134" s="86"/>
      <c r="B134" s="87"/>
      <c r="C134" s="88"/>
      <c r="D134" s="80" t="s">
        <v>2</v>
      </c>
      <c r="E134" s="81">
        <v>1</v>
      </c>
      <c r="F134" s="82">
        <v>5.4</v>
      </c>
      <c r="G134" s="82">
        <v>3</v>
      </c>
      <c r="H134" s="83">
        <v>0.15</v>
      </c>
      <c r="I134" s="82"/>
      <c r="J134" s="84" t="s">
        <v>75</v>
      </c>
      <c r="K134" s="83">
        <f t="shared" ref="K134" si="36">ROUND(PRODUCT(E134:J134),3)</f>
        <v>2.4300000000000002</v>
      </c>
      <c r="L134" s="89"/>
    </row>
    <row r="135" spans="1:12" s="43" customFormat="1" ht="42.75" hidden="1" customHeight="1" outlineLevel="2" x14ac:dyDescent="0.25">
      <c r="A135" s="86"/>
      <c r="B135" s="87"/>
      <c r="C135" s="87" t="s">
        <v>166</v>
      </c>
      <c r="D135" s="80" t="s">
        <v>2</v>
      </c>
      <c r="E135" s="81">
        <v>0.5</v>
      </c>
      <c r="F135" s="82">
        <v>1.53</v>
      </c>
      <c r="G135" s="82">
        <v>0.9</v>
      </c>
      <c r="H135" s="83">
        <v>0.15</v>
      </c>
      <c r="I135" s="82"/>
      <c r="J135" s="84" t="s">
        <v>75</v>
      </c>
      <c r="K135" s="83">
        <f t="shared" ref="K135" si="37">ROUND(PRODUCT(E135:J135),3)</f>
        <v>0.10299999999999999</v>
      </c>
      <c r="L135" s="89"/>
    </row>
    <row r="136" spans="1:12" s="43" customFormat="1" ht="20.100000000000001" hidden="1" customHeight="1" outlineLevel="2" thickBot="1" x14ac:dyDescent="0.3">
      <c r="A136" s="86"/>
      <c r="B136" s="87"/>
      <c r="C136" s="88" t="s">
        <v>79</v>
      </c>
      <c r="D136" s="80" t="s">
        <v>2</v>
      </c>
      <c r="E136" s="81">
        <v>-8</v>
      </c>
      <c r="F136" s="82">
        <v>0.22</v>
      </c>
      <c r="G136" s="82">
        <v>0.22</v>
      </c>
      <c r="H136" s="83">
        <v>0.15</v>
      </c>
      <c r="I136" s="82"/>
      <c r="J136" s="84" t="s">
        <v>75</v>
      </c>
      <c r="K136" s="83">
        <f t="shared" ref="K136" si="38">ROUND(PRODUCT(E136:J136),3)</f>
        <v>-5.8000000000000003E-2</v>
      </c>
      <c r="L136" s="89"/>
    </row>
    <row r="137" spans="1:12" s="42" customFormat="1" ht="30" customHeight="1" collapsed="1" thickBot="1" x14ac:dyDescent="0.3">
      <c r="A137" s="58">
        <v>18</v>
      </c>
      <c r="B137" s="59" t="s">
        <v>322</v>
      </c>
      <c r="C137" s="60"/>
      <c r="D137" s="61" t="s">
        <v>321</v>
      </c>
      <c r="E137" s="61"/>
      <c r="F137" s="62"/>
      <c r="G137" s="62"/>
      <c r="H137" s="62"/>
      <c r="I137" s="63"/>
      <c r="J137" s="61"/>
      <c r="K137" s="64">
        <v>1445.6299999999997</v>
      </c>
      <c r="L137" s="65"/>
    </row>
    <row r="138" spans="1:12" s="42" customFormat="1" ht="30" customHeight="1" collapsed="1" thickBot="1" x14ac:dyDescent="0.3">
      <c r="A138" s="58">
        <v>19</v>
      </c>
      <c r="B138" s="59" t="s">
        <v>364</v>
      </c>
      <c r="C138" s="60"/>
      <c r="D138" s="61" t="s">
        <v>2</v>
      </c>
      <c r="E138" s="61"/>
      <c r="F138" s="62"/>
      <c r="G138" s="62"/>
      <c r="H138" s="62"/>
      <c r="I138" s="63"/>
      <c r="J138" s="61"/>
      <c r="K138" s="64">
        <f>SUBTOTAL(9,K139:K148)</f>
        <v>6.38</v>
      </c>
      <c r="L138" s="65"/>
    </row>
    <row r="139" spans="1:12" s="42" customFormat="1" ht="24.95" hidden="1" customHeight="1" outlineLevel="1" x14ac:dyDescent="0.25">
      <c r="A139" s="66">
        <v>2.1</v>
      </c>
      <c r="B139" s="59" t="s">
        <v>167</v>
      </c>
      <c r="C139" s="60"/>
      <c r="D139" s="61" t="s">
        <v>2</v>
      </c>
      <c r="E139" s="61"/>
      <c r="F139" s="62"/>
      <c r="G139" s="62"/>
      <c r="H139" s="62"/>
      <c r="I139" s="63"/>
      <c r="J139" s="61"/>
      <c r="K139" s="64">
        <f>SUBTOTAL(9,K140:K141)</f>
        <v>1.1619999999999999</v>
      </c>
      <c r="L139" s="67"/>
    </row>
    <row r="140" spans="1:12" s="43" customFormat="1" ht="20.100000000000001" hidden="1" customHeight="1" outlineLevel="2" x14ac:dyDescent="0.25">
      <c r="A140" s="68"/>
      <c r="B140" s="69"/>
      <c r="C140" s="70" t="s">
        <v>173</v>
      </c>
      <c r="D140" s="71" t="s">
        <v>2</v>
      </c>
      <c r="E140" s="72">
        <v>4</v>
      </c>
      <c r="F140" s="73">
        <v>0.22</v>
      </c>
      <c r="G140" s="73">
        <v>0.22</v>
      </c>
      <c r="H140" s="74">
        <f>2.275+0.875</f>
        <v>3.15</v>
      </c>
      <c r="I140" s="73"/>
      <c r="J140" s="75" t="s">
        <v>75</v>
      </c>
      <c r="K140" s="74">
        <f t="shared" ref="K140" si="39">ROUND(PRODUCT(E140:J140),3)</f>
        <v>0.61</v>
      </c>
      <c r="L140" s="76"/>
    </row>
    <row r="141" spans="1:12" s="43" customFormat="1" ht="20.100000000000001" hidden="1" customHeight="1" outlineLevel="2" thickBot="1" x14ac:dyDescent="0.3">
      <c r="A141" s="96"/>
      <c r="B141" s="97"/>
      <c r="C141" s="98" t="s">
        <v>171</v>
      </c>
      <c r="D141" s="99" t="s">
        <v>2</v>
      </c>
      <c r="E141" s="100">
        <v>4</v>
      </c>
      <c r="F141" s="101">
        <v>0.22</v>
      </c>
      <c r="G141" s="101">
        <v>0.22</v>
      </c>
      <c r="H141" s="102">
        <v>2.85</v>
      </c>
      <c r="I141" s="101"/>
      <c r="J141" s="103" t="s">
        <v>75</v>
      </c>
      <c r="K141" s="102">
        <f t="shared" ref="K141" si="40">ROUND(PRODUCT(E141:J141),3)</f>
        <v>0.55200000000000005</v>
      </c>
      <c r="L141" s="104"/>
    </row>
    <row r="142" spans="1:12" s="42" customFormat="1" ht="24.95" hidden="1" customHeight="1" outlineLevel="1" x14ac:dyDescent="0.25">
      <c r="A142" s="66">
        <v>2.2000000000000002</v>
      </c>
      <c r="B142" s="59" t="s">
        <v>55</v>
      </c>
      <c r="C142" s="60"/>
      <c r="D142" s="61" t="s">
        <v>2</v>
      </c>
      <c r="E142" s="61"/>
      <c r="F142" s="62"/>
      <c r="G142" s="62"/>
      <c r="H142" s="62"/>
      <c r="I142" s="63"/>
      <c r="J142" s="61"/>
      <c r="K142" s="64">
        <f>SUBTOTAL(9,K143:K144)</f>
        <v>1.1859999999999999</v>
      </c>
      <c r="L142" s="67"/>
    </row>
    <row r="143" spans="1:12" s="43" customFormat="1" ht="20.100000000000001" hidden="1" customHeight="1" outlineLevel="2" x14ac:dyDescent="0.25">
      <c r="A143" s="68"/>
      <c r="B143" s="69"/>
      <c r="C143" s="70" t="s">
        <v>173</v>
      </c>
      <c r="D143" s="71" t="s">
        <v>2</v>
      </c>
      <c r="E143" s="72">
        <v>4</v>
      </c>
      <c r="F143" s="73">
        <v>0.22</v>
      </c>
      <c r="G143" s="73">
        <v>0.22</v>
      </c>
      <c r="H143" s="74">
        <v>3.3250000000000002</v>
      </c>
      <c r="I143" s="73"/>
      <c r="J143" s="75" t="s">
        <v>75</v>
      </c>
      <c r="K143" s="74">
        <f t="shared" ref="K143:K144" si="41">ROUND(PRODUCT(E143:J143),3)</f>
        <v>0.64400000000000002</v>
      </c>
      <c r="L143" s="76"/>
    </row>
    <row r="144" spans="1:12" s="43" customFormat="1" ht="20.100000000000001" hidden="1" customHeight="1" outlineLevel="2" thickBot="1" x14ac:dyDescent="0.3">
      <c r="A144" s="96"/>
      <c r="B144" s="97"/>
      <c r="C144" s="98" t="s">
        <v>171</v>
      </c>
      <c r="D144" s="99" t="s">
        <v>2</v>
      </c>
      <c r="E144" s="100">
        <v>4</v>
      </c>
      <c r="F144" s="101">
        <v>0.22</v>
      </c>
      <c r="G144" s="101">
        <v>0.22</v>
      </c>
      <c r="H144" s="102">
        <v>2.8</v>
      </c>
      <c r="I144" s="101"/>
      <c r="J144" s="103" t="s">
        <v>75</v>
      </c>
      <c r="K144" s="102">
        <f t="shared" si="41"/>
        <v>0.54200000000000004</v>
      </c>
      <c r="L144" s="104"/>
    </row>
    <row r="145" spans="1:12" s="42" customFormat="1" ht="24.95" hidden="1" customHeight="1" outlineLevel="1" x14ac:dyDescent="0.25">
      <c r="A145" s="66">
        <v>2.2999999999999998</v>
      </c>
      <c r="B145" s="59" t="s">
        <v>176</v>
      </c>
      <c r="C145" s="60"/>
      <c r="D145" s="61" t="s">
        <v>2</v>
      </c>
      <c r="E145" s="61"/>
      <c r="F145" s="62"/>
      <c r="G145" s="62"/>
      <c r="H145" s="62"/>
      <c r="I145" s="63"/>
      <c r="J145" s="61"/>
      <c r="K145" s="64">
        <f>SUBTOTAL(9,K146:K146)</f>
        <v>3.456</v>
      </c>
      <c r="L145" s="67"/>
    </row>
    <row r="146" spans="1:12" s="43" customFormat="1" ht="20.100000000000001" hidden="1" customHeight="1" outlineLevel="2" thickBot="1" x14ac:dyDescent="0.3">
      <c r="A146" s="68"/>
      <c r="B146" s="69"/>
      <c r="C146" s="70" t="s">
        <v>173</v>
      </c>
      <c r="D146" s="71" t="s">
        <v>2</v>
      </c>
      <c r="E146" s="72">
        <v>24</v>
      </c>
      <c r="F146" s="73">
        <v>0.22</v>
      </c>
      <c r="G146" s="73">
        <v>0.22</v>
      </c>
      <c r="H146" s="74">
        <v>2.9750000000000001</v>
      </c>
      <c r="I146" s="73"/>
      <c r="J146" s="75" t="s">
        <v>75</v>
      </c>
      <c r="K146" s="74">
        <f t="shared" ref="K146" si="42">ROUND(PRODUCT(E146:J146),3)</f>
        <v>3.456</v>
      </c>
      <c r="L146" s="76"/>
    </row>
    <row r="147" spans="1:12" s="42" customFormat="1" ht="24.95" hidden="1" customHeight="1" outlineLevel="1" x14ac:dyDescent="0.25">
      <c r="A147" s="66">
        <v>2.4</v>
      </c>
      <c r="B147" s="59" t="s">
        <v>177</v>
      </c>
      <c r="C147" s="60"/>
      <c r="D147" s="61" t="s">
        <v>2</v>
      </c>
      <c r="E147" s="61"/>
      <c r="F147" s="62"/>
      <c r="G147" s="62"/>
      <c r="H147" s="62"/>
      <c r="I147" s="63"/>
      <c r="J147" s="61"/>
      <c r="K147" s="64">
        <f>SUBTOTAL(9,K148:K148)</f>
        <v>0.57599999999999996</v>
      </c>
      <c r="L147" s="67"/>
    </row>
    <row r="148" spans="1:12" s="43" customFormat="1" ht="20.100000000000001" hidden="1" customHeight="1" outlineLevel="2" thickBot="1" x14ac:dyDescent="0.3">
      <c r="A148" s="68"/>
      <c r="B148" s="69"/>
      <c r="C148" s="70" t="s">
        <v>172</v>
      </c>
      <c r="D148" s="71" t="s">
        <v>2</v>
      </c>
      <c r="E148" s="72">
        <v>4</v>
      </c>
      <c r="F148" s="73">
        <v>0.22</v>
      </c>
      <c r="G148" s="73">
        <v>0.22</v>
      </c>
      <c r="H148" s="74">
        <v>2.9750000000000001</v>
      </c>
      <c r="I148" s="73"/>
      <c r="J148" s="75" t="s">
        <v>75</v>
      </c>
      <c r="K148" s="74">
        <f t="shared" ref="K148" si="43">ROUND(PRODUCT(E148:J148),3)</f>
        <v>0.57599999999999996</v>
      </c>
      <c r="L148" s="76"/>
    </row>
    <row r="149" spans="1:12" s="42" customFormat="1" ht="30" customHeight="1" collapsed="1" thickBot="1" x14ac:dyDescent="0.3">
      <c r="A149" s="58">
        <v>20</v>
      </c>
      <c r="B149" s="59" t="s">
        <v>178</v>
      </c>
      <c r="C149" s="60"/>
      <c r="D149" s="61" t="s">
        <v>4</v>
      </c>
      <c r="E149" s="61"/>
      <c r="F149" s="62"/>
      <c r="G149" s="62"/>
      <c r="H149" s="62"/>
      <c r="I149" s="63"/>
      <c r="J149" s="61"/>
      <c r="K149" s="64">
        <f>SUBTOTAL(9,K150:K159)</f>
        <v>104.36799999999999</v>
      </c>
      <c r="L149" s="65"/>
    </row>
    <row r="150" spans="1:12" s="42" customFormat="1" ht="24.95" hidden="1" customHeight="1" outlineLevel="1" x14ac:dyDescent="0.25">
      <c r="A150" s="66">
        <v>3.1</v>
      </c>
      <c r="B150" s="59" t="s">
        <v>167</v>
      </c>
      <c r="C150" s="60"/>
      <c r="D150" s="61" t="s">
        <v>4</v>
      </c>
      <c r="E150" s="61"/>
      <c r="F150" s="62"/>
      <c r="G150" s="62"/>
      <c r="H150" s="62"/>
      <c r="I150" s="63"/>
      <c r="J150" s="61"/>
      <c r="K150" s="64">
        <f>SUBTOTAL(9,K151:K152)</f>
        <v>19.008000000000003</v>
      </c>
      <c r="L150" s="67"/>
    </row>
    <row r="151" spans="1:12" s="43" customFormat="1" ht="20.100000000000001" hidden="1" customHeight="1" outlineLevel="2" x14ac:dyDescent="0.25">
      <c r="A151" s="68"/>
      <c r="B151" s="69"/>
      <c r="C151" s="70" t="s">
        <v>173</v>
      </c>
      <c r="D151" s="71" t="s">
        <v>4</v>
      </c>
      <c r="E151" s="72">
        <v>4</v>
      </c>
      <c r="F151" s="73">
        <v>0.22</v>
      </c>
      <c r="G151" s="73">
        <v>0.22</v>
      </c>
      <c r="H151" s="74">
        <f>2.275+0.875-0.3</f>
        <v>2.85</v>
      </c>
      <c r="I151" s="73"/>
      <c r="J151" s="75" t="s">
        <v>136</v>
      </c>
      <c r="K151" s="74">
        <f>ROUND(E151*(F151+G151)*2*H151,3)</f>
        <v>10.032</v>
      </c>
      <c r="L151" s="76"/>
    </row>
    <row r="152" spans="1:12" s="43" customFormat="1" ht="20.100000000000001" hidden="1" customHeight="1" outlineLevel="2" thickBot="1" x14ac:dyDescent="0.3">
      <c r="A152" s="96"/>
      <c r="B152" s="97"/>
      <c r="C152" s="98" t="s">
        <v>171</v>
      </c>
      <c r="D152" s="99" t="s">
        <v>4</v>
      </c>
      <c r="E152" s="100">
        <v>4</v>
      </c>
      <c r="F152" s="101">
        <v>0.22</v>
      </c>
      <c r="G152" s="101">
        <v>0.22</v>
      </c>
      <c r="H152" s="102">
        <f>2.85-0.3</f>
        <v>2.5500000000000003</v>
      </c>
      <c r="I152" s="101"/>
      <c r="J152" s="103" t="s">
        <v>136</v>
      </c>
      <c r="K152" s="102">
        <f>ROUND(E152*(F152+G152)*2*H152,3)</f>
        <v>8.9760000000000009</v>
      </c>
      <c r="L152" s="104"/>
    </row>
    <row r="153" spans="1:12" s="42" customFormat="1" ht="24.95" hidden="1" customHeight="1" outlineLevel="1" x14ac:dyDescent="0.25">
      <c r="A153" s="66">
        <v>3.2</v>
      </c>
      <c r="B153" s="59" t="s">
        <v>55</v>
      </c>
      <c r="C153" s="60"/>
      <c r="D153" s="61" t="s">
        <v>4</v>
      </c>
      <c r="E153" s="61"/>
      <c r="F153" s="62"/>
      <c r="G153" s="62"/>
      <c r="H153" s="62"/>
      <c r="I153" s="63"/>
      <c r="J153" s="61"/>
      <c r="K153" s="64">
        <f>SUBTOTAL(9,K154:K155)</f>
        <v>19.448</v>
      </c>
      <c r="L153" s="67"/>
    </row>
    <row r="154" spans="1:12" s="43" customFormat="1" ht="20.100000000000001" hidden="1" customHeight="1" outlineLevel="2" x14ac:dyDescent="0.25">
      <c r="A154" s="68"/>
      <c r="B154" s="69"/>
      <c r="C154" s="70" t="s">
        <v>173</v>
      </c>
      <c r="D154" s="71" t="s">
        <v>4</v>
      </c>
      <c r="E154" s="72">
        <v>4</v>
      </c>
      <c r="F154" s="73">
        <v>0.22</v>
      </c>
      <c r="G154" s="73">
        <v>0.22</v>
      </c>
      <c r="H154" s="74">
        <f>3.325-0.3</f>
        <v>3.0250000000000004</v>
      </c>
      <c r="I154" s="73"/>
      <c r="J154" s="75" t="s">
        <v>136</v>
      </c>
      <c r="K154" s="74">
        <f>ROUND(E154*(F154+G154)*2*H154,3)</f>
        <v>10.648</v>
      </c>
      <c r="L154" s="76"/>
    </row>
    <row r="155" spans="1:12" s="43" customFormat="1" ht="20.100000000000001" hidden="1" customHeight="1" outlineLevel="2" thickBot="1" x14ac:dyDescent="0.3">
      <c r="A155" s="96"/>
      <c r="B155" s="97"/>
      <c r="C155" s="98" t="s">
        <v>171</v>
      </c>
      <c r="D155" s="99" t="s">
        <v>4</v>
      </c>
      <c r="E155" s="100">
        <v>4</v>
      </c>
      <c r="F155" s="101">
        <v>0.22</v>
      </c>
      <c r="G155" s="101">
        <v>0.22</v>
      </c>
      <c r="H155" s="102">
        <f>2.8-0.3</f>
        <v>2.5</v>
      </c>
      <c r="I155" s="101"/>
      <c r="J155" s="103" t="s">
        <v>136</v>
      </c>
      <c r="K155" s="102">
        <f>ROUND(E155*(F155+G155)*2*H155,3)</f>
        <v>8.8000000000000007</v>
      </c>
      <c r="L155" s="104"/>
    </row>
    <row r="156" spans="1:12" s="42" customFormat="1" ht="24.95" hidden="1" customHeight="1" outlineLevel="1" x14ac:dyDescent="0.25">
      <c r="A156" s="66">
        <v>3.3</v>
      </c>
      <c r="B156" s="59" t="s">
        <v>176</v>
      </c>
      <c r="C156" s="60"/>
      <c r="D156" s="61" t="s">
        <v>4</v>
      </c>
      <c r="E156" s="61"/>
      <c r="F156" s="62"/>
      <c r="G156" s="62"/>
      <c r="H156" s="62"/>
      <c r="I156" s="63"/>
      <c r="J156" s="61"/>
      <c r="K156" s="64">
        <f>SUBTOTAL(9,K157:K157)</f>
        <v>56.496000000000002</v>
      </c>
      <c r="L156" s="67"/>
    </row>
    <row r="157" spans="1:12" s="43" customFormat="1" ht="20.100000000000001" hidden="1" customHeight="1" outlineLevel="2" thickBot="1" x14ac:dyDescent="0.3">
      <c r="A157" s="68"/>
      <c r="B157" s="69"/>
      <c r="C157" s="70" t="s">
        <v>173</v>
      </c>
      <c r="D157" s="71" t="s">
        <v>4</v>
      </c>
      <c r="E157" s="72">
        <v>24</v>
      </c>
      <c r="F157" s="73">
        <v>0.22</v>
      </c>
      <c r="G157" s="73">
        <v>0.22</v>
      </c>
      <c r="H157" s="74">
        <f>2.975-0.3</f>
        <v>2.6750000000000003</v>
      </c>
      <c r="I157" s="73"/>
      <c r="J157" s="75" t="s">
        <v>136</v>
      </c>
      <c r="K157" s="74">
        <f>ROUND(E157*(F157+G157)*2*H157,3)</f>
        <v>56.496000000000002</v>
      </c>
      <c r="L157" s="76"/>
    </row>
    <row r="158" spans="1:12" s="42" customFormat="1" ht="24.95" hidden="1" customHeight="1" outlineLevel="1" x14ac:dyDescent="0.25">
      <c r="A158" s="66">
        <v>3.4</v>
      </c>
      <c r="B158" s="59" t="s">
        <v>177</v>
      </c>
      <c r="C158" s="60"/>
      <c r="D158" s="61" t="s">
        <v>4</v>
      </c>
      <c r="E158" s="61"/>
      <c r="F158" s="62"/>
      <c r="G158" s="62"/>
      <c r="H158" s="62"/>
      <c r="I158" s="63"/>
      <c r="J158" s="61"/>
      <c r="K158" s="64">
        <f>SUBTOTAL(9,K159:K159)</f>
        <v>9.4160000000000004</v>
      </c>
      <c r="L158" s="67"/>
    </row>
    <row r="159" spans="1:12" s="43" customFormat="1" ht="20.100000000000001" hidden="1" customHeight="1" outlineLevel="2" thickBot="1" x14ac:dyDescent="0.3">
      <c r="A159" s="108"/>
      <c r="B159" s="109"/>
      <c r="C159" s="110" t="s">
        <v>172</v>
      </c>
      <c r="D159" s="111" t="s">
        <v>4</v>
      </c>
      <c r="E159" s="112">
        <v>4</v>
      </c>
      <c r="F159" s="113">
        <v>0.22</v>
      </c>
      <c r="G159" s="113">
        <v>0.22</v>
      </c>
      <c r="H159" s="114">
        <f>2.975-0.3</f>
        <v>2.6750000000000003</v>
      </c>
      <c r="I159" s="113"/>
      <c r="J159" s="115" t="s">
        <v>136</v>
      </c>
      <c r="K159" s="114">
        <f>ROUND(E159*(F159+G159)*2*H159,3)</f>
        <v>9.4160000000000004</v>
      </c>
      <c r="L159" s="116"/>
    </row>
    <row r="160" spans="1:12" s="42" customFormat="1" ht="30" customHeight="1" collapsed="1" thickBot="1" x14ac:dyDescent="0.3">
      <c r="A160" s="58">
        <v>21</v>
      </c>
      <c r="B160" s="59" t="s">
        <v>323</v>
      </c>
      <c r="C160" s="60"/>
      <c r="D160" s="61" t="s">
        <v>321</v>
      </c>
      <c r="E160" s="61"/>
      <c r="F160" s="62"/>
      <c r="G160" s="62"/>
      <c r="H160" s="62"/>
      <c r="I160" s="63"/>
      <c r="J160" s="61"/>
      <c r="K160" s="64">
        <v>3395.2910000000002</v>
      </c>
      <c r="L160" s="65"/>
    </row>
    <row r="161" spans="1:12" s="42" customFormat="1" ht="38.25" customHeight="1" thickBot="1" x14ac:dyDescent="0.3">
      <c r="A161" s="58">
        <v>22</v>
      </c>
      <c r="B161" s="59" t="s">
        <v>365</v>
      </c>
      <c r="C161" s="60"/>
      <c r="D161" s="61" t="s">
        <v>2</v>
      </c>
      <c r="E161" s="61"/>
      <c r="F161" s="62"/>
      <c r="G161" s="62"/>
      <c r="H161" s="62"/>
      <c r="I161" s="63"/>
      <c r="J161" s="61"/>
      <c r="K161" s="64">
        <f>SUBTOTAL(9,K162:K191)</f>
        <v>12.635</v>
      </c>
      <c r="L161" s="65"/>
    </row>
    <row r="162" spans="1:12" s="42" customFormat="1" ht="24.95" customHeight="1" outlineLevel="1" x14ac:dyDescent="0.25">
      <c r="A162" s="66">
        <v>4.0999999999999996</v>
      </c>
      <c r="B162" s="59" t="s">
        <v>167</v>
      </c>
      <c r="C162" s="60"/>
      <c r="D162" s="61" t="s">
        <v>2</v>
      </c>
      <c r="E162" s="61"/>
      <c r="F162" s="62"/>
      <c r="G162" s="62"/>
      <c r="H162" s="62"/>
      <c r="I162" s="63"/>
      <c r="J162" s="61"/>
      <c r="K162" s="64">
        <f>SUBTOTAL(9,K163:K164)</f>
        <v>0</v>
      </c>
      <c r="L162" s="67"/>
    </row>
    <row r="163" spans="1:12" s="43" customFormat="1" ht="20.100000000000001" customHeight="1" outlineLevel="2" x14ac:dyDescent="0.25">
      <c r="A163" s="68"/>
      <c r="B163" s="69"/>
      <c r="C163" s="70"/>
      <c r="D163" s="71"/>
      <c r="E163" s="72"/>
      <c r="F163" s="73"/>
      <c r="G163" s="73"/>
      <c r="H163" s="74"/>
      <c r="I163" s="73"/>
      <c r="J163" s="75"/>
      <c r="K163" s="74"/>
      <c r="L163" s="76"/>
    </row>
    <row r="164" spans="1:12" s="43" customFormat="1" ht="20.100000000000001" customHeight="1" outlineLevel="2" thickBot="1" x14ac:dyDescent="0.3">
      <c r="A164" s="96"/>
      <c r="B164" s="97"/>
      <c r="C164" s="98"/>
      <c r="D164" s="99"/>
      <c r="E164" s="100"/>
      <c r="F164" s="101"/>
      <c r="G164" s="101"/>
      <c r="H164" s="102"/>
      <c r="I164" s="101"/>
      <c r="J164" s="103"/>
      <c r="K164" s="102"/>
      <c r="L164" s="104"/>
    </row>
    <row r="165" spans="1:12" s="42" customFormat="1" ht="24.95" customHeight="1" outlineLevel="1" x14ac:dyDescent="0.25">
      <c r="A165" s="66">
        <v>4.2</v>
      </c>
      <c r="B165" s="59" t="s">
        <v>55</v>
      </c>
      <c r="C165" s="60"/>
      <c r="D165" s="61" t="s">
        <v>2</v>
      </c>
      <c r="E165" s="61"/>
      <c r="F165" s="62"/>
      <c r="G165" s="62"/>
      <c r="H165" s="62"/>
      <c r="I165" s="63"/>
      <c r="J165" s="61"/>
      <c r="K165" s="64">
        <f>SUBTOTAL(9,K166:K172)</f>
        <v>2.17</v>
      </c>
      <c r="L165" s="67"/>
    </row>
    <row r="166" spans="1:12" s="43" customFormat="1" ht="20.100000000000001" customHeight="1" outlineLevel="2" x14ac:dyDescent="0.25">
      <c r="A166" s="68"/>
      <c r="B166" s="69" t="s">
        <v>179</v>
      </c>
      <c r="C166" s="70" t="s">
        <v>180</v>
      </c>
      <c r="D166" s="71" t="s">
        <v>2</v>
      </c>
      <c r="E166" s="72">
        <v>2</v>
      </c>
      <c r="F166" s="73">
        <v>4.3600000000000003</v>
      </c>
      <c r="G166" s="73">
        <v>0.22</v>
      </c>
      <c r="H166" s="74">
        <v>0.28000000000000003</v>
      </c>
      <c r="I166" s="73"/>
      <c r="J166" s="75" t="s">
        <v>75</v>
      </c>
      <c r="K166" s="74">
        <f t="shared" ref="K166" si="44">ROUND(PRODUCT(E166:J166),3)</f>
        <v>0.53700000000000003</v>
      </c>
      <c r="L166" s="76"/>
    </row>
    <row r="167" spans="1:12" s="43" customFormat="1" ht="20.100000000000001" customHeight="1" outlineLevel="2" x14ac:dyDescent="0.25">
      <c r="A167" s="77"/>
      <c r="B167" s="78"/>
      <c r="C167" s="79" t="s">
        <v>181</v>
      </c>
      <c r="D167" s="80" t="s">
        <v>2</v>
      </c>
      <c r="E167" s="81">
        <v>2</v>
      </c>
      <c r="F167" s="82">
        <v>2.56</v>
      </c>
      <c r="G167" s="82">
        <v>0.22</v>
      </c>
      <c r="H167" s="83">
        <v>0.18</v>
      </c>
      <c r="I167" s="82"/>
      <c r="J167" s="84" t="s">
        <v>75</v>
      </c>
      <c r="K167" s="83">
        <f t="shared" ref="K167" si="45">ROUND(PRODUCT(E167:J167),3)</f>
        <v>0.20300000000000001</v>
      </c>
      <c r="L167" s="85"/>
    </row>
    <row r="168" spans="1:12" s="43" customFormat="1" ht="20.100000000000001" customHeight="1" outlineLevel="2" x14ac:dyDescent="0.25">
      <c r="A168" s="77"/>
      <c r="B168" s="78" t="s">
        <v>182</v>
      </c>
      <c r="C168" s="79" t="s">
        <v>180</v>
      </c>
      <c r="D168" s="80" t="s">
        <v>2</v>
      </c>
      <c r="E168" s="81">
        <v>2</v>
      </c>
      <c r="F168" s="82">
        <v>4.16</v>
      </c>
      <c r="G168" s="82">
        <v>0.22</v>
      </c>
      <c r="H168" s="83">
        <v>0.28000000000000003</v>
      </c>
      <c r="I168" s="82"/>
      <c r="J168" s="84" t="s">
        <v>75</v>
      </c>
      <c r="K168" s="83">
        <f t="shared" ref="K168" si="46">ROUND(PRODUCT(E168:J168),3)</f>
        <v>0.51300000000000001</v>
      </c>
      <c r="L168" s="85"/>
    </row>
    <row r="169" spans="1:12" s="43" customFormat="1" ht="20.100000000000001" customHeight="1" outlineLevel="2" x14ac:dyDescent="0.25">
      <c r="A169" s="77"/>
      <c r="B169" s="78"/>
      <c r="C169" s="79"/>
      <c r="D169" s="80" t="s">
        <v>2</v>
      </c>
      <c r="E169" s="81">
        <v>2</v>
      </c>
      <c r="F169" s="82">
        <v>3.38</v>
      </c>
      <c r="G169" s="82">
        <v>0.22</v>
      </c>
      <c r="H169" s="83">
        <v>0.28000000000000003</v>
      </c>
      <c r="I169" s="82"/>
      <c r="J169" s="84" t="s">
        <v>75</v>
      </c>
      <c r="K169" s="83">
        <f t="shared" ref="K169" si="47">ROUND(PRODUCT(E169:J169),3)</f>
        <v>0.41599999999999998</v>
      </c>
      <c r="L169" s="85"/>
    </row>
    <row r="170" spans="1:12" s="43" customFormat="1" ht="20.100000000000001" customHeight="1" outlineLevel="2" x14ac:dyDescent="0.25">
      <c r="A170" s="77"/>
      <c r="B170" s="78"/>
      <c r="C170" s="79" t="s">
        <v>181</v>
      </c>
      <c r="D170" s="80" t="s">
        <v>2</v>
      </c>
      <c r="E170" s="81">
        <v>2</v>
      </c>
      <c r="F170" s="82">
        <v>2.56</v>
      </c>
      <c r="G170" s="82">
        <v>0.22</v>
      </c>
      <c r="H170" s="83">
        <v>0.18</v>
      </c>
      <c r="I170" s="82"/>
      <c r="J170" s="84" t="s">
        <v>75</v>
      </c>
      <c r="K170" s="83">
        <f t="shared" ref="K170:K171" si="48">ROUND(PRODUCT(E170:J170),3)</f>
        <v>0.20300000000000001</v>
      </c>
      <c r="L170" s="85"/>
    </row>
    <row r="171" spans="1:12" s="43" customFormat="1" ht="20.100000000000001" customHeight="1" outlineLevel="2" x14ac:dyDescent="0.25">
      <c r="A171" s="77"/>
      <c r="B171" s="78"/>
      <c r="C171" s="79"/>
      <c r="D171" s="80" t="s">
        <v>2</v>
      </c>
      <c r="E171" s="81">
        <v>1</v>
      </c>
      <c r="F171" s="82">
        <f>2.56+0.4*2</f>
        <v>3.3600000000000003</v>
      </c>
      <c r="G171" s="82">
        <v>0.22</v>
      </c>
      <c r="H171" s="83">
        <v>0.18</v>
      </c>
      <c r="I171" s="82"/>
      <c r="J171" s="84" t="s">
        <v>75</v>
      </c>
      <c r="K171" s="83">
        <f t="shared" si="48"/>
        <v>0.13300000000000001</v>
      </c>
      <c r="L171" s="85"/>
    </row>
    <row r="172" spans="1:12" s="43" customFormat="1" ht="20.100000000000001" customHeight="1" outlineLevel="2" thickBot="1" x14ac:dyDescent="0.3">
      <c r="A172" s="77"/>
      <c r="B172" s="78"/>
      <c r="C172" s="79" t="s">
        <v>183</v>
      </c>
      <c r="D172" s="80" t="s">
        <v>2</v>
      </c>
      <c r="E172" s="81">
        <v>1</v>
      </c>
      <c r="F172" s="82">
        <v>4.16</v>
      </c>
      <c r="G172" s="82">
        <v>0.22</v>
      </c>
      <c r="H172" s="83">
        <v>0.18</v>
      </c>
      <c r="I172" s="82"/>
      <c r="J172" s="84" t="s">
        <v>75</v>
      </c>
      <c r="K172" s="83">
        <f t="shared" ref="K172" si="49">ROUND(PRODUCT(E172:J172),3)</f>
        <v>0.16500000000000001</v>
      </c>
      <c r="L172" s="85"/>
    </row>
    <row r="173" spans="1:12" s="42" customFormat="1" ht="24.95" customHeight="1" outlineLevel="1" x14ac:dyDescent="0.25">
      <c r="A173" s="66">
        <v>4.3</v>
      </c>
      <c r="B173" s="59" t="s">
        <v>176</v>
      </c>
      <c r="C173" s="60"/>
      <c r="D173" s="61" t="s">
        <v>2</v>
      </c>
      <c r="E173" s="61"/>
      <c r="F173" s="62"/>
      <c r="G173" s="62"/>
      <c r="H173" s="62"/>
      <c r="I173" s="63"/>
      <c r="J173" s="61"/>
      <c r="K173" s="64">
        <f>SUBTOTAL(9,K174:K180)</f>
        <v>7.1139999999999999</v>
      </c>
      <c r="L173" s="67"/>
    </row>
    <row r="174" spans="1:12" s="43" customFormat="1" ht="20.100000000000001" customHeight="1" outlineLevel="2" x14ac:dyDescent="0.25">
      <c r="A174" s="68"/>
      <c r="B174" s="69"/>
      <c r="C174" s="70" t="s">
        <v>180</v>
      </c>
      <c r="D174" s="71" t="s">
        <v>2</v>
      </c>
      <c r="E174" s="72">
        <v>6</v>
      </c>
      <c r="F174" s="73">
        <v>4.3600000000000003</v>
      </c>
      <c r="G174" s="73">
        <v>0.22</v>
      </c>
      <c r="H174" s="74">
        <f>0.4-0.12</f>
        <v>0.28000000000000003</v>
      </c>
      <c r="I174" s="73"/>
      <c r="J174" s="75" t="s">
        <v>75</v>
      </c>
      <c r="K174" s="74">
        <f t="shared" ref="K174:K176" si="50">ROUND(PRODUCT(E174:J174),3)</f>
        <v>1.611</v>
      </c>
      <c r="L174" s="76"/>
    </row>
    <row r="175" spans="1:12" s="43" customFormat="1" ht="20.100000000000001" customHeight="1" outlineLevel="2" x14ac:dyDescent="0.25">
      <c r="A175" s="77"/>
      <c r="B175" s="78"/>
      <c r="C175" s="79"/>
      <c r="D175" s="80" t="s">
        <v>2</v>
      </c>
      <c r="E175" s="81">
        <v>6</v>
      </c>
      <c r="F175" s="82">
        <v>4.16</v>
      </c>
      <c r="G175" s="82">
        <v>0.22</v>
      </c>
      <c r="H175" s="83">
        <v>0.28000000000000003</v>
      </c>
      <c r="I175" s="82"/>
      <c r="J175" s="84" t="s">
        <v>75</v>
      </c>
      <c r="K175" s="83">
        <f t="shared" si="50"/>
        <v>1.538</v>
      </c>
      <c r="L175" s="85"/>
    </row>
    <row r="176" spans="1:12" s="43" customFormat="1" ht="20.100000000000001" customHeight="1" outlineLevel="2" x14ac:dyDescent="0.25">
      <c r="A176" s="77"/>
      <c r="B176" s="78"/>
      <c r="C176" s="79"/>
      <c r="D176" s="80" t="s">
        <v>2</v>
      </c>
      <c r="E176" s="81">
        <v>6</v>
      </c>
      <c r="F176" s="82">
        <v>3.38</v>
      </c>
      <c r="G176" s="82">
        <v>0.22</v>
      </c>
      <c r="H176" s="83">
        <v>0.28000000000000003</v>
      </c>
      <c r="I176" s="82"/>
      <c r="J176" s="84" t="s">
        <v>75</v>
      </c>
      <c r="K176" s="83">
        <f t="shared" si="50"/>
        <v>1.2490000000000001</v>
      </c>
      <c r="L176" s="85"/>
    </row>
    <row r="177" spans="1:12" s="43" customFormat="1" ht="20.100000000000001" customHeight="1" outlineLevel="2" x14ac:dyDescent="0.25">
      <c r="A177" s="77"/>
      <c r="B177" s="78"/>
      <c r="C177" s="79" t="s">
        <v>181</v>
      </c>
      <c r="D177" s="80" t="s">
        <v>2</v>
      </c>
      <c r="E177" s="81">
        <v>12</v>
      </c>
      <c r="F177" s="82">
        <v>2.56</v>
      </c>
      <c r="G177" s="82">
        <v>0.22</v>
      </c>
      <c r="H177" s="83">
        <f>0.3-0.12</f>
        <v>0.18</v>
      </c>
      <c r="I177" s="82"/>
      <c r="J177" s="84" t="s">
        <v>75</v>
      </c>
      <c r="K177" s="83">
        <f t="shared" ref="K177" si="51">ROUND(PRODUCT(E177:J177),3)</f>
        <v>1.2170000000000001</v>
      </c>
      <c r="L177" s="85"/>
    </row>
    <row r="178" spans="1:12" s="43" customFormat="1" ht="20.100000000000001" customHeight="1" outlineLevel="2" x14ac:dyDescent="0.25">
      <c r="A178" s="77"/>
      <c r="B178" s="78"/>
      <c r="C178" s="79"/>
      <c r="D178" s="80" t="s">
        <v>2</v>
      </c>
      <c r="E178" s="81">
        <v>3</v>
      </c>
      <c r="F178" s="82">
        <f>3+0.59*2</f>
        <v>4.18</v>
      </c>
      <c r="G178" s="82">
        <v>0.22</v>
      </c>
      <c r="H178" s="83">
        <v>0.18</v>
      </c>
      <c r="I178" s="82"/>
      <c r="J178" s="84" t="s">
        <v>75</v>
      </c>
      <c r="K178" s="83">
        <f t="shared" ref="K178:K179" si="52">ROUND(PRODUCT(E178:J178),3)</f>
        <v>0.497</v>
      </c>
      <c r="L178" s="85"/>
    </row>
    <row r="179" spans="1:12" s="43" customFormat="1" ht="20.100000000000001" customHeight="1" outlineLevel="2" x14ac:dyDescent="0.25">
      <c r="A179" s="77"/>
      <c r="B179" s="78"/>
      <c r="C179" s="79"/>
      <c r="D179" s="80" t="s">
        <v>2</v>
      </c>
      <c r="E179" s="81">
        <v>3</v>
      </c>
      <c r="F179" s="82">
        <f>3+0.4*2</f>
        <v>3.8</v>
      </c>
      <c r="G179" s="82">
        <v>0.22</v>
      </c>
      <c r="H179" s="83">
        <v>0.18</v>
      </c>
      <c r="I179" s="82"/>
      <c r="J179" s="84" t="s">
        <v>75</v>
      </c>
      <c r="K179" s="83">
        <f t="shared" si="52"/>
        <v>0.45100000000000001</v>
      </c>
      <c r="L179" s="85"/>
    </row>
    <row r="180" spans="1:12" s="43" customFormat="1" ht="20.100000000000001" customHeight="1" outlineLevel="2" thickBot="1" x14ac:dyDescent="0.3">
      <c r="A180" s="90"/>
      <c r="B180" s="91"/>
      <c r="C180" s="117" t="s">
        <v>183</v>
      </c>
      <c r="D180" s="80" t="s">
        <v>2</v>
      </c>
      <c r="E180" s="81">
        <v>3</v>
      </c>
      <c r="F180" s="82">
        <f>1.95+2.69</f>
        <v>4.6399999999999997</v>
      </c>
      <c r="G180" s="82">
        <v>0.22</v>
      </c>
      <c r="H180" s="83">
        <v>0.18</v>
      </c>
      <c r="I180" s="82"/>
      <c r="J180" s="84" t="s">
        <v>75</v>
      </c>
      <c r="K180" s="83">
        <f t="shared" ref="K180" si="53">ROUND(PRODUCT(E180:J180),3)</f>
        <v>0.55100000000000005</v>
      </c>
      <c r="L180" s="95"/>
    </row>
    <row r="181" spans="1:12" s="42" customFormat="1" ht="24.95" customHeight="1" outlineLevel="1" x14ac:dyDescent="0.25">
      <c r="A181" s="66">
        <v>4.4000000000000004</v>
      </c>
      <c r="B181" s="59" t="s">
        <v>177</v>
      </c>
      <c r="C181" s="60"/>
      <c r="D181" s="61" t="s">
        <v>2</v>
      </c>
      <c r="E181" s="61"/>
      <c r="F181" s="62"/>
      <c r="G181" s="62"/>
      <c r="H181" s="62"/>
      <c r="I181" s="63"/>
      <c r="J181" s="61"/>
      <c r="K181" s="64">
        <f>SUBTOTAL(9,K182:K188)</f>
        <v>2.577</v>
      </c>
      <c r="L181" s="67"/>
    </row>
    <row r="182" spans="1:12" s="43" customFormat="1" ht="20.100000000000001" customHeight="1" outlineLevel="2" x14ac:dyDescent="0.25">
      <c r="A182" s="68"/>
      <c r="B182" s="69"/>
      <c r="C182" s="70" t="s">
        <v>180</v>
      </c>
      <c r="D182" s="71" t="s">
        <v>2</v>
      </c>
      <c r="E182" s="72">
        <v>2</v>
      </c>
      <c r="F182" s="73">
        <v>4.3600000000000003</v>
      </c>
      <c r="G182" s="73">
        <v>0.22</v>
      </c>
      <c r="H182" s="74">
        <v>0.3</v>
      </c>
      <c r="I182" s="73"/>
      <c r="J182" s="75" t="s">
        <v>75</v>
      </c>
      <c r="K182" s="74">
        <f t="shared" ref="K182:K188" si="54">ROUND(PRODUCT(E182:J182),3)</f>
        <v>0.57599999999999996</v>
      </c>
      <c r="L182" s="76"/>
    </row>
    <row r="183" spans="1:12" s="43" customFormat="1" ht="20.100000000000001" customHeight="1" outlineLevel="2" x14ac:dyDescent="0.25">
      <c r="A183" s="77"/>
      <c r="B183" s="78"/>
      <c r="C183" s="79"/>
      <c r="D183" s="80" t="s">
        <v>2</v>
      </c>
      <c r="E183" s="81">
        <v>2</v>
      </c>
      <c r="F183" s="82">
        <v>4.16</v>
      </c>
      <c r="G183" s="82">
        <v>0.22</v>
      </c>
      <c r="H183" s="83">
        <v>0.3</v>
      </c>
      <c r="I183" s="82"/>
      <c r="J183" s="84" t="s">
        <v>75</v>
      </c>
      <c r="K183" s="83">
        <f t="shared" si="54"/>
        <v>0.54900000000000004</v>
      </c>
      <c r="L183" s="85"/>
    </row>
    <row r="184" spans="1:12" s="43" customFormat="1" ht="20.100000000000001" customHeight="1" outlineLevel="2" x14ac:dyDescent="0.25">
      <c r="A184" s="77"/>
      <c r="B184" s="78"/>
      <c r="C184" s="79"/>
      <c r="D184" s="80" t="s">
        <v>2</v>
      </c>
      <c r="E184" s="81">
        <v>2</v>
      </c>
      <c r="F184" s="82">
        <v>3.38</v>
      </c>
      <c r="G184" s="82">
        <v>0.22</v>
      </c>
      <c r="H184" s="83">
        <v>0.3</v>
      </c>
      <c r="I184" s="82"/>
      <c r="J184" s="84" t="s">
        <v>75</v>
      </c>
      <c r="K184" s="83">
        <f t="shared" si="54"/>
        <v>0.44600000000000001</v>
      </c>
      <c r="L184" s="85"/>
    </row>
    <row r="185" spans="1:12" s="43" customFormat="1" ht="20.100000000000001" customHeight="1" outlineLevel="2" x14ac:dyDescent="0.25">
      <c r="A185" s="77"/>
      <c r="B185" s="78"/>
      <c r="C185" s="79" t="s">
        <v>181</v>
      </c>
      <c r="D185" s="80" t="s">
        <v>2</v>
      </c>
      <c r="E185" s="81">
        <v>4</v>
      </c>
      <c r="F185" s="82">
        <v>2.56</v>
      </c>
      <c r="G185" s="82">
        <v>0.22</v>
      </c>
      <c r="H185" s="83">
        <v>0.2</v>
      </c>
      <c r="I185" s="82"/>
      <c r="J185" s="84" t="s">
        <v>75</v>
      </c>
      <c r="K185" s="83">
        <f t="shared" si="54"/>
        <v>0.45100000000000001</v>
      </c>
      <c r="L185" s="85"/>
    </row>
    <row r="186" spans="1:12" s="43" customFormat="1" ht="20.100000000000001" customHeight="1" outlineLevel="2" x14ac:dyDescent="0.25">
      <c r="A186" s="77"/>
      <c r="B186" s="78"/>
      <c r="C186" s="79"/>
      <c r="D186" s="80" t="s">
        <v>2</v>
      </c>
      <c r="E186" s="81">
        <v>1</v>
      </c>
      <c r="F186" s="82">
        <f>3+0.59*2</f>
        <v>4.18</v>
      </c>
      <c r="G186" s="82">
        <v>0.22</v>
      </c>
      <c r="H186" s="83">
        <v>0.2</v>
      </c>
      <c r="I186" s="82"/>
      <c r="J186" s="84" t="s">
        <v>75</v>
      </c>
      <c r="K186" s="83">
        <f t="shared" si="54"/>
        <v>0.184</v>
      </c>
      <c r="L186" s="85"/>
    </row>
    <row r="187" spans="1:12" s="43" customFormat="1" ht="20.100000000000001" customHeight="1" outlineLevel="2" x14ac:dyDescent="0.25">
      <c r="A187" s="77"/>
      <c r="B187" s="78"/>
      <c r="C187" s="79"/>
      <c r="D187" s="80" t="s">
        <v>2</v>
      </c>
      <c r="E187" s="81">
        <v>1</v>
      </c>
      <c r="F187" s="82">
        <f>3+0.4*2</f>
        <v>3.8</v>
      </c>
      <c r="G187" s="82">
        <v>0.22</v>
      </c>
      <c r="H187" s="83">
        <v>0.2</v>
      </c>
      <c r="I187" s="82"/>
      <c r="J187" s="84" t="s">
        <v>75</v>
      </c>
      <c r="K187" s="83">
        <f t="shared" si="54"/>
        <v>0.16700000000000001</v>
      </c>
      <c r="L187" s="85"/>
    </row>
    <row r="188" spans="1:12" s="43" customFormat="1" ht="20.100000000000001" customHeight="1" outlineLevel="2" thickBot="1" x14ac:dyDescent="0.3">
      <c r="A188" s="90"/>
      <c r="B188" s="91"/>
      <c r="C188" s="117" t="s">
        <v>183</v>
      </c>
      <c r="D188" s="80" t="s">
        <v>2</v>
      </c>
      <c r="E188" s="81">
        <v>1</v>
      </c>
      <c r="F188" s="82">
        <f>1.95+2.69</f>
        <v>4.6399999999999997</v>
      </c>
      <c r="G188" s="82">
        <v>0.22</v>
      </c>
      <c r="H188" s="83">
        <v>0.2</v>
      </c>
      <c r="I188" s="82"/>
      <c r="J188" s="84" t="s">
        <v>75</v>
      </c>
      <c r="K188" s="83">
        <f t="shared" si="54"/>
        <v>0.20399999999999999</v>
      </c>
      <c r="L188" s="95"/>
    </row>
    <row r="189" spans="1:12" s="42" customFormat="1" ht="24.95" customHeight="1" outlineLevel="1" x14ac:dyDescent="0.25">
      <c r="A189" s="66">
        <v>4.5</v>
      </c>
      <c r="B189" s="59" t="s">
        <v>185</v>
      </c>
      <c r="C189" s="60"/>
      <c r="D189" s="61" t="s">
        <v>2</v>
      </c>
      <c r="E189" s="61"/>
      <c r="F189" s="62"/>
      <c r="G189" s="62"/>
      <c r="H189" s="62"/>
      <c r="I189" s="63"/>
      <c r="J189" s="61"/>
      <c r="K189" s="64">
        <f>SUBTOTAL(9,K190:K191)</f>
        <v>0.77400000000000002</v>
      </c>
      <c r="L189" s="67"/>
    </row>
    <row r="190" spans="1:12" s="43" customFormat="1" ht="20.100000000000001" customHeight="1" outlineLevel="2" x14ac:dyDescent="0.25">
      <c r="A190" s="71"/>
      <c r="B190" s="69"/>
      <c r="C190" s="70" t="s">
        <v>180</v>
      </c>
      <c r="D190" s="71" t="s">
        <v>2</v>
      </c>
      <c r="E190" s="72">
        <v>2</v>
      </c>
      <c r="F190" s="73">
        <v>4.16</v>
      </c>
      <c r="G190" s="73">
        <v>0.22</v>
      </c>
      <c r="H190" s="74">
        <v>0.3</v>
      </c>
      <c r="I190" s="73"/>
      <c r="J190" s="75" t="s">
        <v>75</v>
      </c>
      <c r="K190" s="74">
        <f t="shared" ref="K190" si="55">ROUND(PRODUCT(E190:J190),3)</f>
        <v>0.54900000000000004</v>
      </c>
      <c r="L190" s="118"/>
    </row>
    <row r="191" spans="1:12" s="43" customFormat="1" ht="20.100000000000001" customHeight="1" outlineLevel="2" thickBot="1" x14ac:dyDescent="0.3">
      <c r="A191" s="99"/>
      <c r="B191" s="97"/>
      <c r="C191" s="98" t="s">
        <v>181</v>
      </c>
      <c r="D191" s="99" t="s">
        <v>2</v>
      </c>
      <c r="E191" s="100">
        <v>2</v>
      </c>
      <c r="F191" s="101">
        <v>2.56</v>
      </c>
      <c r="G191" s="101">
        <v>0.22</v>
      </c>
      <c r="H191" s="102">
        <v>0.2</v>
      </c>
      <c r="I191" s="101"/>
      <c r="J191" s="103" t="s">
        <v>75</v>
      </c>
      <c r="K191" s="102">
        <f t="shared" ref="K191" si="56">ROUND(PRODUCT(E191:J191),3)</f>
        <v>0.22500000000000001</v>
      </c>
      <c r="L191" s="119"/>
    </row>
    <row r="192" spans="1:12" s="42" customFormat="1" ht="30" customHeight="1" collapsed="1" thickBot="1" x14ac:dyDescent="0.3">
      <c r="A192" s="58">
        <v>23</v>
      </c>
      <c r="B192" s="59" t="s">
        <v>186</v>
      </c>
      <c r="C192" s="60"/>
      <c r="D192" s="61" t="s">
        <v>4</v>
      </c>
      <c r="E192" s="61"/>
      <c r="F192" s="62"/>
      <c r="G192" s="62"/>
      <c r="H192" s="62"/>
      <c r="I192" s="63"/>
      <c r="J192" s="61"/>
      <c r="K192" s="64">
        <f>SUBTOTAL(9,K193:K222)</f>
        <v>170.709</v>
      </c>
      <c r="L192" s="65"/>
    </row>
    <row r="193" spans="1:12" s="42" customFormat="1" ht="24.95" hidden="1" customHeight="1" outlineLevel="1" x14ac:dyDescent="0.25">
      <c r="A193" s="66">
        <v>5.0999999999999996</v>
      </c>
      <c r="B193" s="59" t="s">
        <v>167</v>
      </c>
      <c r="C193" s="60"/>
      <c r="D193" s="61" t="s">
        <v>2</v>
      </c>
      <c r="E193" s="61"/>
      <c r="F193" s="62"/>
      <c r="G193" s="62"/>
      <c r="H193" s="62"/>
      <c r="I193" s="63"/>
      <c r="J193" s="61"/>
      <c r="K193" s="64">
        <f>SUBTOTAL(9,K194:K195)</f>
        <v>0</v>
      </c>
      <c r="L193" s="67"/>
    </row>
    <row r="194" spans="1:12" s="43" customFormat="1" ht="20.100000000000001" hidden="1" customHeight="1" outlineLevel="2" x14ac:dyDescent="0.25">
      <c r="A194" s="68"/>
      <c r="B194" s="69"/>
      <c r="C194" s="70"/>
      <c r="D194" s="71"/>
      <c r="E194" s="72"/>
      <c r="F194" s="73"/>
      <c r="G194" s="73"/>
      <c r="H194" s="74"/>
      <c r="I194" s="73"/>
      <c r="J194" s="75"/>
      <c r="K194" s="74"/>
      <c r="L194" s="76"/>
    </row>
    <row r="195" spans="1:12" s="43" customFormat="1" ht="20.100000000000001" hidden="1" customHeight="1" outlineLevel="2" thickBot="1" x14ac:dyDescent="0.3">
      <c r="A195" s="96"/>
      <c r="B195" s="97"/>
      <c r="C195" s="98"/>
      <c r="D195" s="99"/>
      <c r="E195" s="100"/>
      <c r="F195" s="101"/>
      <c r="G195" s="101"/>
      <c r="H195" s="102"/>
      <c r="I195" s="101"/>
      <c r="J195" s="103"/>
      <c r="K195" s="102"/>
      <c r="L195" s="104"/>
    </row>
    <row r="196" spans="1:12" s="42" customFormat="1" ht="24.95" hidden="1" customHeight="1" outlineLevel="1" x14ac:dyDescent="0.25">
      <c r="A196" s="66">
        <v>5.2</v>
      </c>
      <c r="B196" s="59" t="s">
        <v>55</v>
      </c>
      <c r="C196" s="60"/>
      <c r="D196" s="61" t="s">
        <v>2</v>
      </c>
      <c r="E196" s="61"/>
      <c r="F196" s="62"/>
      <c r="G196" s="62"/>
      <c r="H196" s="62"/>
      <c r="I196" s="63"/>
      <c r="J196" s="61"/>
      <c r="K196" s="64">
        <f>SUBTOTAL(9,K197:K203)</f>
        <v>28.867000000000001</v>
      </c>
      <c r="L196" s="67"/>
    </row>
    <row r="197" spans="1:12" s="43" customFormat="1" ht="20.100000000000001" hidden="1" customHeight="1" outlineLevel="2" x14ac:dyDescent="0.25">
      <c r="A197" s="68"/>
      <c r="B197" s="69" t="s">
        <v>179</v>
      </c>
      <c r="C197" s="70" t="s">
        <v>180</v>
      </c>
      <c r="D197" s="71" t="s">
        <v>2</v>
      </c>
      <c r="E197" s="72">
        <v>2</v>
      </c>
      <c r="F197" s="73">
        <v>4.3600000000000003</v>
      </c>
      <c r="G197" s="73">
        <v>0.22</v>
      </c>
      <c r="H197" s="74">
        <v>0.28000000000000003</v>
      </c>
      <c r="I197" s="73"/>
      <c r="J197" s="75" t="s">
        <v>187</v>
      </c>
      <c r="K197" s="74">
        <f>ROUND(E197*F197*(G197+2*H197),3)</f>
        <v>6.8019999999999996</v>
      </c>
      <c r="L197" s="76"/>
    </row>
    <row r="198" spans="1:12" s="43" customFormat="1" ht="20.100000000000001" hidden="1" customHeight="1" outlineLevel="2" x14ac:dyDescent="0.25">
      <c r="A198" s="77"/>
      <c r="B198" s="78"/>
      <c r="C198" s="79" t="s">
        <v>181</v>
      </c>
      <c r="D198" s="80" t="s">
        <v>2</v>
      </c>
      <c r="E198" s="81">
        <v>2</v>
      </c>
      <c r="F198" s="82">
        <v>2.56</v>
      </c>
      <c r="G198" s="82">
        <v>0.22</v>
      </c>
      <c r="H198" s="83">
        <v>0.18</v>
      </c>
      <c r="I198" s="82"/>
      <c r="J198" s="84" t="s">
        <v>187</v>
      </c>
      <c r="K198" s="83">
        <f t="shared" ref="K198:K203" si="57">ROUND(E198*F198*(G198+2*H198),3)</f>
        <v>2.97</v>
      </c>
      <c r="L198" s="85"/>
    </row>
    <row r="199" spans="1:12" s="43" customFormat="1" ht="20.100000000000001" hidden="1" customHeight="1" outlineLevel="2" x14ac:dyDescent="0.25">
      <c r="A199" s="77"/>
      <c r="B199" s="78" t="s">
        <v>182</v>
      </c>
      <c r="C199" s="79" t="s">
        <v>180</v>
      </c>
      <c r="D199" s="80" t="s">
        <v>2</v>
      </c>
      <c r="E199" s="81">
        <v>2</v>
      </c>
      <c r="F199" s="82">
        <v>4.16</v>
      </c>
      <c r="G199" s="82">
        <v>0.22</v>
      </c>
      <c r="H199" s="83">
        <v>0.28000000000000003</v>
      </c>
      <c r="I199" s="82"/>
      <c r="J199" s="84" t="s">
        <v>187</v>
      </c>
      <c r="K199" s="83">
        <f t="shared" si="57"/>
        <v>6.49</v>
      </c>
      <c r="L199" s="85"/>
    </row>
    <row r="200" spans="1:12" s="43" customFormat="1" ht="20.100000000000001" hidden="1" customHeight="1" outlineLevel="2" x14ac:dyDescent="0.25">
      <c r="A200" s="77"/>
      <c r="B200" s="78"/>
      <c r="C200" s="79"/>
      <c r="D200" s="80" t="s">
        <v>2</v>
      </c>
      <c r="E200" s="81">
        <v>2</v>
      </c>
      <c r="F200" s="82">
        <v>3.38</v>
      </c>
      <c r="G200" s="82">
        <v>0.22</v>
      </c>
      <c r="H200" s="83">
        <v>0.28000000000000003</v>
      </c>
      <c r="I200" s="82"/>
      <c r="J200" s="84" t="s">
        <v>187</v>
      </c>
      <c r="K200" s="83">
        <f t="shared" si="57"/>
        <v>5.2729999999999997</v>
      </c>
      <c r="L200" s="85"/>
    </row>
    <row r="201" spans="1:12" s="43" customFormat="1" ht="20.100000000000001" hidden="1" customHeight="1" outlineLevel="2" x14ac:dyDescent="0.25">
      <c r="A201" s="77"/>
      <c r="B201" s="78"/>
      <c r="C201" s="79" t="s">
        <v>181</v>
      </c>
      <c r="D201" s="80" t="s">
        <v>2</v>
      </c>
      <c r="E201" s="81">
        <v>2</v>
      </c>
      <c r="F201" s="82">
        <v>2.56</v>
      </c>
      <c r="G201" s="82">
        <v>0.22</v>
      </c>
      <c r="H201" s="83">
        <v>0.18</v>
      </c>
      <c r="I201" s="82"/>
      <c r="J201" s="84" t="s">
        <v>187</v>
      </c>
      <c r="K201" s="83">
        <f t="shared" si="57"/>
        <v>2.97</v>
      </c>
      <c r="L201" s="85"/>
    </row>
    <row r="202" spans="1:12" s="43" customFormat="1" ht="20.100000000000001" hidden="1" customHeight="1" outlineLevel="2" x14ac:dyDescent="0.25">
      <c r="A202" s="77"/>
      <c r="B202" s="78"/>
      <c r="C202" s="79"/>
      <c r="D202" s="80" t="s">
        <v>2</v>
      </c>
      <c r="E202" s="81">
        <v>1</v>
      </c>
      <c r="F202" s="82">
        <f>2.56+0.4*2</f>
        <v>3.3600000000000003</v>
      </c>
      <c r="G202" s="82">
        <v>0.22</v>
      </c>
      <c r="H202" s="83">
        <v>0.18</v>
      </c>
      <c r="I202" s="82"/>
      <c r="J202" s="84" t="s">
        <v>187</v>
      </c>
      <c r="K202" s="83">
        <f t="shared" si="57"/>
        <v>1.9490000000000001</v>
      </c>
      <c r="L202" s="85"/>
    </row>
    <row r="203" spans="1:12" s="43" customFormat="1" ht="20.100000000000001" hidden="1" customHeight="1" outlineLevel="2" thickBot="1" x14ac:dyDescent="0.3">
      <c r="A203" s="77"/>
      <c r="B203" s="78"/>
      <c r="C203" s="79" t="s">
        <v>183</v>
      </c>
      <c r="D203" s="80" t="s">
        <v>2</v>
      </c>
      <c r="E203" s="81">
        <v>1</v>
      </c>
      <c r="F203" s="82">
        <v>4.16</v>
      </c>
      <c r="G203" s="82">
        <v>0.22</v>
      </c>
      <c r="H203" s="83">
        <v>0.18</v>
      </c>
      <c r="I203" s="82"/>
      <c r="J203" s="84" t="s">
        <v>187</v>
      </c>
      <c r="K203" s="83">
        <f t="shared" si="57"/>
        <v>2.4129999999999998</v>
      </c>
      <c r="L203" s="85"/>
    </row>
    <row r="204" spans="1:12" s="42" customFormat="1" ht="24.95" hidden="1" customHeight="1" outlineLevel="1" x14ac:dyDescent="0.25">
      <c r="A204" s="66">
        <v>5.3</v>
      </c>
      <c r="B204" s="59" t="s">
        <v>176</v>
      </c>
      <c r="C204" s="60"/>
      <c r="D204" s="61" t="s">
        <v>2</v>
      </c>
      <c r="E204" s="61"/>
      <c r="F204" s="62"/>
      <c r="G204" s="62"/>
      <c r="H204" s="62"/>
      <c r="I204" s="63"/>
      <c r="J204" s="61"/>
      <c r="K204" s="64">
        <f>SUBTOTAL(9,K205:K211)</f>
        <v>95.468999999999994</v>
      </c>
      <c r="L204" s="67"/>
    </row>
    <row r="205" spans="1:12" s="43" customFormat="1" ht="20.100000000000001" hidden="1" customHeight="1" outlineLevel="2" x14ac:dyDescent="0.25">
      <c r="A205" s="68"/>
      <c r="B205" s="69"/>
      <c r="C205" s="70" t="s">
        <v>180</v>
      </c>
      <c r="D205" s="71" t="s">
        <v>2</v>
      </c>
      <c r="E205" s="72">
        <v>6</v>
      </c>
      <c r="F205" s="73">
        <v>4.3600000000000003</v>
      </c>
      <c r="G205" s="73">
        <v>0.22</v>
      </c>
      <c r="H205" s="74">
        <f>0.4-0.12</f>
        <v>0.28000000000000003</v>
      </c>
      <c r="I205" s="73"/>
      <c r="J205" s="75" t="s">
        <v>187</v>
      </c>
      <c r="K205" s="74">
        <f t="shared" ref="K205:K222" si="58">ROUND(E205*F205*(G205+2*H205),3)</f>
        <v>20.405000000000001</v>
      </c>
      <c r="L205" s="76"/>
    </row>
    <row r="206" spans="1:12" s="43" customFormat="1" ht="20.100000000000001" hidden="1" customHeight="1" outlineLevel="2" x14ac:dyDescent="0.25">
      <c r="A206" s="77"/>
      <c r="B206" s="78"/>
      <c r="C206" s="79"/>
      <c r="D206" s="80" t="s">
        <v>2</v>
      </c>
      <c r="E206" s="81">
        <v>6</v>
      </c>
      <c r="F206" s="82">
        <v>4.16</v>
      </c>
      <c r="G206" s="82">
        <v>0.22</v>
      </c>
      <c r="H206" s="83">
        <v>0.28000000000000003</v>
      </c>
      <c r="I206" s="82"/>
      <c r="J206" s="84" t="s">
        <v>187</v>
      </c>
      <c r="K206" s="83">
        <f t="shared" si="58"/>
        <v>19.469000000000001</v>
      </c>
      <c r="L206" s="85"/>
    </row>
    <row r="207" spans="1:12" s="43" customFormat="1" ht="20.100000000000001" hidden="1" customHeight="1" outlineLevel="2" x14ac:dyDescent="0.25">
      <c r="A207" s="77"/>
      <c r="B207" s="78"/>
      <c r="C207" s="79"/>
      <c r="D207" s="80" t="s">
        <v>2</v>
      </c>
      <c r="E207" s="81">
        <v>6</v>
      </c>
      <c r="F207" s="82">
        <v>3.38</v>
      </c>
      <c r="G207" s="82">
        <v>0.22</v>
      </c>
      <c r="H207" s="83">
        <v>0.28000000000000003</v>
      </c>
      <c r="I207" s="82"/>
      <c r="J207" s="84" t="s">
        <v>187</v>
      </c>
      <c r="K207" s="83">
        <f t="shared" si="58"/>
        <v>15.818</v>
      </c>
      <c r="L207" s="85"/>
    </row>
    <row r="208" spans="1:12" s="43" customFormat="1" ht="20.100000000000001" hidden="1" customHeight="1" outlineLevel="2" x14ac:dyDescent="0.25">
      <c r="A208" s="77"/>
      <c r="B208" s="78"/>
      <c r="C208" s="79" t="s">
        <v>181</v>
      </c>
      <c r="D208" s="80" t="s">
        <v>2</v>
      </c>
      <c r="E208" s="81">
        <v>12</v>
      </c>
      <c r="F208" s="82">
        <v>2.56</v>
      </c>
      <c r="G208" s="82">
        <v>0.22</v>
      </c>
      <c r="H208" s="83">
        <f>0.3-0.12</f>
        <v>0.18</v>
      </c>
      <c r="I208" s="82"/>
      <c r="J208" s="84" t="s">
        <v>187</v>
      </c>
      <c r="K208" s="83">
        <f t="shared" si="58"/>
        <v>17.818000000000001</v>
      </c>
      <c r="L208" s="85"/>
    </row>
    <row r="209" spans="1:12" s="43" customFormat="1" ht="20.100000000000001" hidden="1" customHeight="1" outlineLevel="2" x14ac:dyDescent="0.25">
      <c r="A209" s="77"/>
      <c r="B209" s="78"/>
      <c r="C209" s="79"/>
      <c r="D209" s="80" t="s">
        <v>2</v>
      </c>
      <c r="E209" s="81">
        <v>3</v>
      </c>
      <c r="F209" s="82">
        <f>3+0.59*2</f>
        <v>4.18</v>
      </c>
      <c r="G209" s="82">
        <v>0.22</v>
      </c>
      <c r="H209" s="83">
        <v>0.18</v>
      </c>
      <c r="I209" s="82"/>
      <c r="J209" s="84" t="s">
        <v>187</v>
      </c>
      <c r="K209" s="83">
        <f t="shared" si="58"/>
        <v>7.2729999999999997</v>
      </c>
      <c r="L209" s="85"/>
    </row>
    <row r="210" spans="1:12" s="43" customFormat="1" ht="20.100000000000001" hidden="1" customHeight="1" outlineLevel="2" x14ac:dyDescent="0.25">
      <c r="A210" s="77"/>
      <c r="B210" s="78"/>
      <c r="C210" s="79"/>
      <c r="D210" s="80" t="s">
        <v>2</v>
      </c>
      <c r="E210" s="81">
        <v>3</v>
      </c>
      <c r="F210" s="82">
        <f>3+0.4*2</f>
        <v>3.8</v>
      </c>
      <c r="G210" s="82">
        <v>0.22</v>
      </c>
      <c r="H210" s="83">
        <v>0.18</v>
      </c>
      <c r="I210" s="82"/>
      <c r="J210" s="84" t="s">
        <v>187</v>
      </c>
      <c r="K210" s="83">
        <f t="shared" si="58"/>
        <v>6.6120000000000001</v>
      </c>
      <c r="L210" s="85"/>
    </row>
    <row r="211" spans="1:12" s="43" customFormat="1" ht="20.100000000000001" hidden="1" customHeight="1" outlineLevel="2" thickBot="1" x14ac:dyDescent="0.3">
      <c r="A211" s="90"/>
      <c r="B211" s="91"/>
      <c r="C211" s="117" t="s">
        <v>183</v>
      </c>
      <c r="D211" s="80" t="s">
        <v>2</v>
      </c>
      <c r="E211" s="81">
        <v>3</v>
      </c>
      <c r="F211" s="82">
        <f>1.95+2.69</f>
        <v>4.6399999999999997</v>
      </c>
      <c r="G211" s="82">
        <v>0.22</v>
      </c>
      <c r="H211" s="83">
        <v>0.18</v>
      </c>
      <c r="I211" s="82"/>
      <c r="J211" s="84" t="s">
        <v>187</v>
      </c>
      <c r="K211" s="83">
        <f t="shared" si="58"/>
        <v>8.0739999999999998</v>
      </c>
      <c r="L211" s="95"/>
    </row>
    <row r="212" spans="1:12" s="42" customFormat="1" ht="24.95" hidden="1" customHeight="1" outlineLevel="1" x14ac:dyDescent="0.25">
      <c r="A212" s="66">
        <v>5.4</v>
      </c>
      <c r="B212" s="59" t="s">
        <v>177</v>
      </c>
      <c r="C212" s="60"/>
      <c r="D212" s="61" t="s">
        <v>2</v>
      </c>
      <c r="E212" s="61"/>
      <c r="F212" s="62"/>
      <c r="G212" s="62"/>
      <c r="H212" s="62"/>
      <c r="I212" s="63"/>
      <c r="J212" s="61"/>
      <c r="K212" s="64">
        <f>SUBTOTAL(9,K213:K219)</f>
        <v>33.689</v>
      </c>
      <c r="L212" s="67"/>
    </row>
    <row r="213" spans="1:12" s="43" customFormat="1" ht="20.100000000000001" hidden="1" customHeight="1" outlineLevel="2" x14ac:dyDescent="0.25">
      <c r="A213" s="68"/>
      <c r="B213" s="69"/>
      <c r="C213" s="70" t="s">
        <v>180</v>
      </c>
      <c r="D213" s="71" t="s">
        <v>2</v>
      </c>
      <c r="E213" s="72">
        <v>2</v>
      </c>
      <c r="F213" s="73">
        <v>4.3600000000000003</v>
      </c>
      <c r="G213" s="73">
        <v>0.22</v>
      </c>
      <c r="H213" s="74">
        <v>0.3</v>
      </c>
      <c r="I213" s="73"/>
      <c r="J213" s="75" t="s">
        <v>187</v>
      </c>
      <c r="K213" s="74">
        <f t="shared" ref="K213:K219" si="59">ROUND(E213*F213*(G213+2*H213),3)</f>
        <v>7.15</v>
      </c>
      <c r="L213" s="76"/>
    </row>
    <row r="214" spans="1:12" s="43" customFormat="1" ht="20.100000000000001" hidden="1" customHeight="1" outlineLevel="2" x14ac:dyDescent="0.25">
      <c r="A214" s="77"/>
      <c r="B214" s="78"/>
      <c r="C214" s="79"/>
      <c r="D214" s="80" t="s">
        <v>2</v>
      </c>
      <c r="E214" s="81">
        <v>2</v>
      </c>
      <c r="F214" s="82">
        <v>4.16</v>
      </c>
      <c r="G214" s="82">
        <v>0.22</v>
      </c>
      <c r="H214" s="83">
        <v>0.3</v>
      </c>
      <c r="I214" s="82"/>
      <c r="J214" s="84" t="s">
        <v>187</v>
      </c>
      <c r="K214" s="83">
        <f t="shared" si="59"/>
        <v>6.8220000000000001</v>
      </c>
      <c r="L214" s="85"/>
    </row>
    <row r="215" spans="1:12" s="43" customFormat="1" ht="20.100000000000001" hidden="1" customHeight="1" outlineLevel="2" x14ac:dyDescent="0.25">
      <c r="A215" s="77"/>
      <c r="B215" s="78"/>
      <c r="C215" s="79"/>
      <c r="D215" s="80" t="s">
        <v>2</v>
      </c>
      <c r="E215" s="81">
        <v>2</v>
      </c>
      <c r="F215" s="82">
        <v>3.38</v>
      </c>
      <c r="G215" s="82">
        <v>0.22</v>
      </c>
      <c r="H215" s="83">
        <v>0.3</v>
      </c>
      <c r="I215" s="82"/>
      <c r="J215" s="84" t="s">
        <v>187</v>
      </c>
      <c r="K215" s="83">
        <f t="shared" si="59"/>
        <v>5.5430000000000001</v>
      </c>
      <c r="L215" s="85"/>
    </row>
    <row r="216" spans="1:12" s="43" customFormat="1" ht="20.100000000000001" hidden="1" customHeight="1" outlineLevel="2" x14ac:dyDescent="0.25">
      <c r="A216" s="77"/>
      <c r="B216" s="78"/>
      <c r="C216" s="79" t="s">
        <v>181</v>
      </c>
      <c r="D216" s="80" t="s">
        <v>2</v>
      </c>
      <c r="E216" s="81">
        <v>4</v>
      </c>
      <c r="F216" s="82">
        <v>2.56</v>
      </c>
      <c r="G216" s="82">
        <v>0.22</v>
      </c>
      <c r="H216" s="83">
        <v>0.2</v>
      </c>
      <c r="I216" s="82"/>
      <c r="J216" s="84" t="s">
        <v>187</v>
      </c>
      <c r="K216" s="83">
        <f t="shared" si="59"/>
        <v>6.3490000000000002</v>
      </c>
      <c r="L216" s="85"/>
    </row>
    <row r="217" spans="1:12" s="43" customFormat="1" ht="20.100000000000001" hidden="1" customHeight="1" outlineLevel="2" x14ac:dyDescent="0.25">
      <c r="A217" s="77"/>
      <c r="B217" s="78"/>
      <c r="C217" s="79"/>
      <c r="D217" s="80" t="s">
        <v>2</v>
      </c>
      <c r="E217" s="81">
        <v>1</v>
      </c>
      <c r="F217" s="82">
        <f>3+0.59*2</f>
        <v>4.18</v>
      </c>
      <c r="G217" s="82">
        <v>0.22</v>
      </c>
      <c r="H217" s="83">
        <v>0.2</v>
      </c>
      <c r="I217" s="82"/>
      <c r="J217" s="84" t="s">
        <v>187</v>
      </c>
      <c r="K217" s="83">
        <f t="shared" si="59"/>
        <v>2.5920000000000001</v>
      </c>
      <c r="L217" s="85"/>
    </row>
    <row r="218" spans="1:12" s="43" customFormat="1" ht="20.100000000000001" hidden="1" customHeight="1" outlineLevel="2" x14ac:dyDescent="0.25">
      <c r="A218" s="77"/>
      <c r="B218" s="78"/>
      <c r="C218" s="79"/>
      <c r="D218" s="80" t="s">
        <v>2</v>
      </c>
      <c r="E218" s="81">
        <v>1</v>
      </c>
      <c r="F218" s="82">
        <f>3+0.4*2</f>
        <v>3.8</v>
      </c>
      <c r="G218" s="82">
        <v>0.22</v>
      </c>
      <c r="H218" s="83">
        <v>0.2</v>
      </c>
      <c r="I218" s="82"/>
      <c r="J218" s="84" t="s">
        <v>187</v>
      </c>
      <c r="K218" s="83">
        <f t="shared" si="59"/>
        <v>2.3559999999999999</v>
      </c>
      <c r="L218" s="85"/>
    </row>
    <row r="219" spans="1:12" s="43" customFormat="1" ht="20.100000000000001" hidden="1" customHeight="1" outlineLevel="2" thickBot="1" x14ac:dyDescent="0.3">
      <c r="A219" s="90"/>
      <c r="B219" s="91"/>
      <c r="C219" s="117" t="s">
        <v>183</v>
      </c>
      <c r="D219" s="80" t="s">
        <v>2</v>
      </c>
      <c r="E219" s="81">
        <v>1</v>
      </c>
      <c r="F219" s="82">
        <f>1.95+2.69</f>
        <v>4.6399999999999997</v>
      </c>
      <c r="G219" s="82">
        <v>0.22</v>
      </c>
      <c r="H219" s="83">
        <v>0.2</v>
      </c>
      <c r="I219" s="82"/>
      <c r="J219" s="84" t="s">
        <v>187</v>
      </c>
      <c r="K219" s="83">
        <f t="shared" si="59"/>
        <v>2.8769999999999998</v>
      </c>
      <c r="L219" s="95"/>
    </row>
    <row r="220" spans="1:12" s="42" customFormat="1" ht="24.95" hidden="1" customHeight="1" outlineLevel="1" x14ac:dyDescent="0.25">
      <c r="A220" s="66">
        <v>5.5</v>
      </c>
      <c r="B220" s="59" t="s">
        <v>185</v>
      </c>
      <c r="C220" s="60"/>
      <c r="D220" s="61" t="s">
        <v>2</v>
      </c>
      <c r="E220" s="61"/>
      <c r="F220" s="62"/>
      <c r="G220" s="62"/>
      <c r="H220" s="62"/>
      <c r="I220" s="63"/>
      <c r="J220" s="61"/>
      <c r="K220" s="64">
        <f>SUBTOTAL(9,K221:K222)</f>
        <v>12.684000000000001</v>
      </c>
      <c r="L220" s="67"/>
    </row>
    <row r="221" spans="1:12" s="43" customFormat="1" ht="20.100000000000001" hidden="1" customHeight="1" outlineLevel="2" x14ac:dyDescent="0.25">
      <c r="A221" s="71"/>
      <c r="B221" s="69"/>
      <c r="C221" s="70" t="s">
        <v>180</v>
      </c>
      <c r="D221" s="71" t="s">
        <v>2</v>
      </c>
      <c r="E221" s="72">
        <v>2</v>
      </c>
      <c r="F221" s="73">
        <v>4.16</v>
      </c>
      <c r="G221" s="73">
        <v>0.22</v>
      </c>
      <c r="H221" s="74">
        <v>0.4</v>
      </c>
      <c r="I221" s="73"/>
      <c r="J221" s="75" t="s">
        <v>187</v>
      </c>
      <c r="K221" s="74">
        <f t="shared" si="58"/>
        <v>8.4860000000000007</v>
      </c>
      <c r="L221" s="118"/>
    </row>
    <row r="222" spans="1:12" s="43" customFormat="1" ht="20.100000000000001" hidden="1" customHeight="1" outlineLevel="2" thickBot="1" x14ac:dyDescent="0.3">
      <c r="A222" s="99"/>
      <c r="B222" s="97"/>
      <c r="C222" s="98" t="s">
        <v>181</v>
      </c>
      <c r="D222" s="99" t="s">
        <v>2</v>
      </c>
      <c r="E222" s="100">
        <v>2</v>
      </c>
      <c r="F222" s="101">
        <v>2.56</v>
      </c>
      <c r="G222" s="101">
        <v>0.22</v>
      </c>
      <c r="H222" s="102">
        <v>0.3</v>
      </c>
      <c r="I222" s="101"/>
      <c r="J222" s="103" t="s">
        <v>187</v>
      </c>
      <c r="K222" s="102">
        <f t="shared" si="58"/>
        <v>4.1980000000000004</v>
      </c>
      <c r="L222" s="119"/>
    </row>
    <row r="223" spans="1:12" s="42" customFormat="1" ht="36.75" customHeight="1" collapsed="1" thickBot="1" x14ac:dyDescent="0.3">
      <c r="A223" s="58">
        <v>24</v>
      </c>
      <c r="B223" s="59" t="s">
        <v>324</v>
      </c>
      <c r="C223" s="60"/>
      <c r="D223" s="61" t="s">
        <v>321</v>
      </c>
      <c r="E223" s="61"/>
      <c r="F223" s="62"/>
      <c r="G223" s="62"/>
      <c r="H223" s="62"/>
      <c r="I223" s="63"/>
      <c r="J223" s="61"/>
      <c r="K223" s="64">
        <v>1767.7529999999999</v>
      </c>
      <c r="L223" s="65"/>
    </row>
    <row r="224" spans="1:12" s="42" customFormat="1" ht="36.75" customHeight="1" thickBot="1" x14ac:dyDescent="0.3">
      <c r="A224" s="58">
        <v>25</v>
      </c>
      <c r="B224" s="59" t="s">
        <v>367</v>
      </c>
      <c r="C224" s="60"/>
      <c r="D224" s="61" t="s">
        <v>2</v>
      </c>
      <c r="E224" s="61"/>
      <c r="F224" s="62"/>
      <c r="G224" s="62"/>
      <c r="H224" s="62"/>
      <c r="I224" s="63"/>
      <c r="J224" s="61"/>
      <c r="K224" s="64">
        <f>SUBTOTAL(9,K225:K254)</f>
        <v>22.933999999999997</v>
      </c>
      <c r="L224" s="65"/>
    </row>
    <row r="225" spans="1:12" s="42" customFormat="1" ht="24.95" customHeight="1" outlineLevel="1" x14ac:dyDescent="0.25">
      <c r="A225" s="66">
        <v>6.1</v>
      </c>
      <c r="B225" s="59" t="s">
        <v>167</v>
      </c>
      <c r="C225" s="60"/>
      <c r="D225" s="61" t="s">
        <v>2</v>
      </c>
      <c r="E225" s="61"/>
      <c r="F225" s="62"/>
      <c r="G225" s="62"/>
      <c r="H225" s="62"/>
      <c r="I225" s="63"/>
      <c r="J225" s="61"/>
      <c r="K225" s="64">
        <f>SUBTOTAL(9,K226:K227)</f>
        <v>0</v>
      </c>
      <c r="L225" s="67"/>
    </row>
    <row r="226" spans="1:12" s="43" customFormat="1" ht="20.100000000000001" customHeight="1" outlineLevel="2" x14ac:dyDescent="0.25">
      <c r="A226" s="68"/>
      <c r="B226" s="69"/>
      <c r="C226" s="70"/>
      <c r="D226" s="71"/>
      <c r="E226" s="72"/>
      <c r="F226" s="73"/>
      <c r="G226" s="73"/>
      <c r="H226" s="74"/>
      <c r="I226" s="73"/>
      <c r="J226" s="75"/>
      <c r="K226" s="74"/>
      <c r="L226" s="76"/>
    </row>
    <row r="227" spans="1:12" s="43" customFormat="1" ht="20.100000000000001" customHeight="1" outlineLevel="2" thickBot="1" x14ac:dyDescent="0.3">
      <c r="A227" s="96"/>
      <c r="B227" s="97"/>
      <c r="C227" s="98"/>
      <c r="D227" s="99"/>
      <c r="E227" s="100"/>
      <c r="F227" s="101"/>
      <c r="G227" s="101"/>
      <c r="H227" s="102"/>
      <c r="I227" s="101"/>
      <c r="J227" s="103"/>
      <c r="K227" s="102"/>
      <c r="L227" s="104"/>
    </row>
    <row r="228" spans="1:12" s="42" customFormat="1" ht="24.95" customHeight="1" outlineLevel="1" x14ac:dyDescent="0.25">
      <c r="A228" s="66">
        <v>6.2</v>
      </c>
      <c r="B228" s="59" t="s">
        <v>55</v>
      </c>
      <c r="C228" s="60"/>
      <c r="D228" s="61" t="s">
        <v>2</v>
      </c>
      <c r="E228" s="61"/>
      <c r="F228" s="62"/>
      <c r="G228" s="62"/>
      <c r="H228" s="62"/>
      <c r="I228" s="63"/>
      <c r="J228" s="61"/>
      <c r="K228" s="64">
        <f>SUBTOTAL(9,K229:K235)</f>
        <v>4.0009999999999994</v>
      </c>
      <c r="L228" s="67"/>
    </row>
    <row r="229" spans="1:12" s="43" customFormat="1" ht="20.100000000000001" customHeight="1" outlineLevel="2" x14ac:dyDescent="0.25">
      <c r="A229" s="68"/>
      <c r="B229" s="69" t="s">
        <v>179</v>
      </c>
      <c r="C229" s="70" t="s">
        <v>163</v>
      </c>
      <c r="D229" s="71" t="s">
        <v>2</v>
      </c>
      <c r="E229" s="72">
        <v>1</v>
      </c>
      <c r="F229" s="73">
        <v>4.8</v>
      </c>
      <c r="G229" s="73">
        <v>3</v>
      </c>
      <c r="H229" s="74">
        <v>0.12</v>
      </c>
      <c r="I229" s="73"/>
      <c r="J229" s="75" t="s">
        <v>75</v>
      </c>
      <c r="K229" s="74">
        <f t="shared" ref="K229:K233" si="60">ROUND(PRODUCT(E229:J229),3)</f>
        <v>1.728</v>
      </c>
      <c r="L229" s="76"/>
    </row>
    <row r="230" spans="1:12" s="43" customFormat="1" ht="20.100000000000001" customHeight="1" outlineLevel="2" x14ac:dyDescent="0.25">
      <c r="A230" s="77"/>
      <c r="B230" s="78"/>
      <c r="C230" s="79" t="s">
        <v>79</v>
      </c>
      <c r="D230" s="80" t="s">
        <v>2</v>
      </c>
      <c r="E230" s="81">
        <v>-4</v>
      </c>
      <c r="F230" s="82">
        <v>0.22</v>
      </c>
      <c r="G230" s="82">
        <v>0.22</v>
      </c>
      <c r="H230" s="83">
        <v>0.12</v>
      </c>
      <c r="I230" s="82"/>
      <c r="J230" s="84" t="s">
        <v>75</v>
      </c>
      <c r="K230" s="83">
        <f t="shared" si="60"/>
        <v>-2.3E-2</v>
      </c>
      <c r="L230" s="85"/>
    </row>
    <row r="231" spans="1:12" s="43" customFormat="1" ht="20.100000000000001" customHeight="1" outlineLevel="2" x14ac:dyDescent="0.25">
      <c r="A231" s="77"/>
      <c r="B231" s="78"/>
      <c r="C231" s="79" t="s">
        <v>189</v>
      </c>
      <c r="D231" s="80" t="s">
        <v>2</v>
      </c>
      <c r="E231" s="81">
        <v>-1</v>
      </c>
      <c r="F231" s="82">
        <v>0.27500000000000002</v>
      </c>
      <c r="G231" s="82">
        <v>0.48</v>
      </c>
      <c r="H231" s="83">
        <v>0.12</v>
      </c>
      <c r="I231" s="82"/>
      <c r="J231" s="84" t="s">
        <v>75</v>
      </c>
      <c r="K231" s="83">
        <f t="shared" ref="K231" si="61">ROUND(PRODUCT(E231:J231),3)</f>
        <v>-1.6E-2</v>
      </c>
      <c r="L231" s="85"/>
    </row>
    <row r="232" spans="1:12" s="43" customFormat="1" ht="20.100000000000001" customHeight="1" outlineLevel="2" x14ac:dyDescent="0.25">
      <c r="A232" s="77"/>
      <c r="B232" s="78" t="s">
        <v>182</v>
      </c>
      <c r="C232" s="79" t="s">
        <v>180</v>
      </c>
      <c r="D232" s="80" t="s">
        <v>2</v>
      </c>
      <c r="E232" s="81">
        <v>1</v>
      </c>
      <c r="F232" s="82">
        <v>8.82</v>
      </c>
      <c r="G232" s="82">
        <v>3</v>
      </c>
      <c r="H232" s="83">
        <v>0.12</v>
      </c>
      <c r="I232" s="82"/>
      <c r="J232" s="84" t="s">
        <v>75</v>
      </c>
      <c r="K232" s="83">
        <f t="shared" si="60"/>
        <v>3.1749999999999998</v>
      </c>
      <c r="L232" s="85"/>
    </row>
    <row r="233" spans="1:12" s="43" customFormat="1" ht="20.100000000000001" customHeight="1" outlineLevel="2" x14ac:dyDescent="0.25">
      <c r="A233" s="77"/>
      <c r="B233" s="78"/>
      <c r="C233" s="79" t="s">
        <v>79</v>
      </c>
      <c r="D233" s="80" t="s">
        <v>2</v>
      </c>
      <c r="E233" s="81">
        <v>-6</v>
      </c>
      <c r="F233" s="82">
        <v>0.22</v>
      </c>
      <c r="G233" s="82">
        <v>0.22</v>
      </c>
      <c r="H233" s="83">
        <v>0.12</v>
      </c>
      <c r="I233" s="82"/>
      <c r="J233" s="84" t="s">
        <v>75</v>
      </c>
      <c r="K233" s="83">
        <f t="shared" si="60"/>
        <v>-3.5000000000000003E-2</v>
      </c>
      <c r="L233" s="85"/>
    </row>
    <row r="234" spans="1:12" s="43" customFormat="1" ht="20.100000000000001" customHeight="1" outlineLevel="2" x14ac:dyDescent="0.25">
      <c r="A234" s="77"/>
      <c r="B234" s="78"/>
      <c r="C234" s="79" t="s">
        <v>188</v>
      </c>
      <c r="D234" s="80" t="s">
        <v>2</v>
      </c>
      <c r="E234" s="81">
        <v>-1</v>
      </c>
      <c r="F234" s="82">
        <v>3.26</v>
      </c>
      <c r="G234" s="82">
        <v>1.66</v>
      </c>
      <c r="H234" s="83">
        <v>0.12</v>
      </c>
      <c r="I234" s="82"/>
      <c r="J234" s="84" t="s">
        <v>75</v>
      </c>
      <c r="K234" s="83">
        <f t="shared" ref="K234" si="62">ROUND(PRODUCT(E234:J234),3)</f>
        <v>-0.64900000000000002</v>
      </c>
      <c r="L234" s="85"/>
    </row>
    <row r="235" spans="1:12" s="43" customFormat="1" ht="20.100000000000001" customHeight="1" outlineLevel="2" thickBot="1" x14ac:dyDescent="0.3">
      <c r="A235" s="77"/>
      <c r="B235" s="78"/>
      <c r="C235" s="79"/>
      <c r="D235" s="80" t="s">
        <v>2</v>
      </c>
      <c r="E235" s="81">
        <v>-1</v>
      </c>
      <c r="F235" s="82">
        <v>0.9</v>
      </c>
      <c r="G235" s="82">
        <v>1.66</v>
      </c>
      <c r="H235" s="83">
        <v>0.12</v>
      </c>
      <c r="I235" s="82"/>
      <c r="J235" s="84" t="s">
        <v>75</v>
      </c>
      <c r="K235" s="83">
        <f t="shared" ref="K235" si="63">ROUND(PRODUCT(E235:J235),3)</f>
        <v>-0.17899999999999999</v>
      </c>
      <c r="L235" s="85"/>
    </row>
    <row r="236" spans="1:12" s="42" customFormat="1" ht="24.95" customHeight="1" outlineLevel="1" x14ac:dyDescent="0.25">
      <c r="A236" s="66">
        <v>6.3</v>
      </c>
      <c r="B236" s="59" t="s">
        <v>176</v>
      </c>
      <c r="C236" s="60"/>
      <c r="D236" s="61" t="s">
        <v>2</v>
      </c>
      <c r="E236" s="61"/>
      <c r="F236" s="62"/>
      <c r="G236" s="62"/>
      <c r="H236" s="62"/>
      <c r="I236" s="63"/>
      <c r="J236" s="61"/>
      <c r="K236" s="64">
        <f>SUBTOTAL(9,K237:K243)</f>
        <v>13.557</v>
      </c>
      <c r="L236" s="67"/>
    </row>
    <row r="237" spans="1:12" s="43" customFormat="1" ht="20.100000000000001" customHeight="1" outlineLevel="2" x14ac:dyDescent="0.25">
      <c r="A237" s="68"/>
      <c r="B237" s="69"/>
      <c r="C237" s="70"/>
      <c r="D237" s="71" t="s">
        <v>2</v>
      </c>
      <c r="E237" s="72">
        <v>3</v>
      </c>
      <c r="F237" s="73">
        <v>14.21</v>
      </c>
      <c r="G237" s="73">
        <v>3</v>
      </c>
      <c r="H237" s="74">
        <v>0.12</v>
      </c>
      <c r="I237" s="73"/>
      <c r="J237" s="84" t="s">
        <v>75</v>
      </c>
      <c r="K237" s="83">
        <f t="shared" ref="K237" si="64">ROUND(PRODUCT(E237:J237),3)</f>
        <v>15.347</v>
      </c>
      <c r="L237" s="76"/>
    </row>
    <row r="238" spans="1:12" s="43" customFormat="1" ht="20.100000000000001" customHeight="1" outlineLevel="2" x14ac:dyDescent="0.25">
      <c r="A238" s="77"/>
      <c r="B238" s="78"/>
      <c r="C238" s="79" t="s">
        <v>190</v>
      </c>
      <c r="D238" s="80" t="s">
        <v>2</v>
      </c>
      <c r="E238" s="81">
        <v>3</v>
      </c>
      <c r="F238" s="82">
        <v>1.95</v>
      </c>
      <c r="G238" s="82">
        <v>1.55</v>
      </c>
      <c r="H238" s="83">
        <f>0.15-0.12</f>
        <v>0.03</v>
      </c>
      <c r="I238" s="82"/>
      <c r="J238" s="84" t="s">
        <v>75</v>
      </c>
      <c r="K238" s="83">
        <f t="shared" ref="K238:K239" si="65">ROUND(PRODUCT(E238:J238),3)</f>
        <v>0.27200000000000002</v>
      </c>
      <c r="L238" s="85"/>
    </row>
    <row r="239" spans="1:12" s="43" customFormat="1" ht="20.100000000000001" customHeight="1" outlineLevel="2" x14ac:dyDescent="0.25">
      <c r="A239" s="77"/>
      <c r="B239" s="78"/>
      <c r="C239" s="79" t="s">
        <v>189</v>
      </c>
      <c r="D239" s="80" t="s">
        <v>2</v>
      </c>
      <c r="E239" s="81">
        <v>-3</v>
      </c>
      <c r="F239" s="82">
        <v>0.48</v>
      </c>
      <c r="G239" s="82">
        <v>0.22</v>
      </c>
      <c r="H239" s="83">
        <v>0.15</v>
      </c>
      <c r="I239" s="82"/>
      <c r="J239" s="84" t="s">
        <v>75</v>
      </c>
      <c r="K239" s="83">
        <f t="shared" si="65"/>
        <v>-4.8000000000000001E-2</v>
      </c>
      <c r="L239" s="85"/>
    </row>
    <row r="240" spans="1:12" s="43" customFormat="1" ht="20.100000000000001" customHeight="1" outlineLevel="2" x14ac:dyDescent="0.25">
      <c r="A240" s="77"/>
      <c r="B240" s="78"/>
      <c r="C240" s="79" t="s">
        <v>188</v>
      </c>
      <c r="D240" s="80" t="s">
        <v>2</v>
      </c>
      <c r="E240" s="81">
        <v>-3</v>
      </c>
      <c r="F240" s="82">
        <v>2.69</v>
      </c>
      <c r="G240" s="82">
        <v>1.55</v>
      </c>
      <c r="H240" s="83">
        <v>0.12</v>
      </c>
      <c r="I240" s="82"/>
      <c r="J240" s="84" t="s">
        <v>75</v>
      </c>
      <c r="K240" s="83">
        <f t="shared" ref="K240" si="66">ROUND(PRODUCT(E240:J240),3)</f>
        <v>-1.5009999999999999</v>
      </c>
      <c r="L240" s="85"/>
    </row>
    <row r="241" spans="1:12" s="43" customFormat="1" ht="20.100000000000001" customHeight="1" outlineLevel="2" x14ac:dyDescent="0.25">
      <c r="A241" s="77"/>
      <c r="B241" s="78"/>
      <c r="C241" s="79" t="s">
        <v>191</v>
      </c>
      <c r="D241" s="80" t="s">
        <v>2</v>
      </c>
      <c r="E241" s="81">
        <v>-3</v>
      </c>
      <c r="F241" s="82">
        <v>0.4</v>
      </c>
      <c r="G241" s="82">
        <v>2.56</v>
      </c>
      <c r="H241" s="83">
        <v>0.12</v>
      </c>
      <c r="I241" s="82"/>
      <c r="J241" s="84" t="s">
        <v>75</v>
      </c>
      <c r="K241" s="83">
        <f t="shared" ref="K241:K242" si="67">ROUND(PRODUCT(E241:J241),3)</f>
        <v>-0.36899999999999999</v>
      </c>
      <c r="L241" s="85"/>
    </row>
    <row r="242" spans="1:12" s="43" customFormat="1" ht="20.100000000000001" customHeight="1" outlineLevel="2" x14ac:dyDescent="0.25">
      <c r="A242" s="77"/>
      <c r="B242" s="78"/>
      <c r="C242" s="79" t="s">
        <v>79</v>
      </c>
      <c r="D242" s="80" t="s">
        <v>2</v>
      </c>
      <c r="E242" s="81">
        <v>-21</v>
      </c>
      <c r="F242" s="82">
        <v>0.22</v>
      </c>
      <c r="G242" s="82">
        <v>0.22</v>
      </c>
      <c r="H242" s="83">
        <v>0.12</v>
      </c>
      <c r="I242" s="82"/>
      <c r="J242" s="84" t="s">
        <v>75</v>
      </c>
      <c r="K242" s="83">
        <f t="shared" si="67"/>
        <v>-0.122</v>
      </c>
      <c r="L242" s="85"/>
    </row>
    <row r="243" spans="1:12" s="43" customFormat="1" ht="20.100000000000001" customHeight="1" outlineLevel="2" thickBot="1" x14ac:dyDescent="0.3">
      <c r="A243" s="90"/>
      <c r="B243" s="91"/>
      <c r="C243" s="117"/>
      <c r="D243" s="80" t="s">
        <v>2</v>
      </c>
      <c r="E243" s="81">
        <v>-3</v>
      </c>
      <c r="F243" s="82">
        <v>0.22</v>
      </c>
      <c r="G243" s="82">
        <v>0.22</v>
      </c>
      <c r="H243" s="83">
        <v>0.15</v>
      </c>
      <c r="I243" s="82"/>
      <c r="J243" s="84" t="s">
        <v>75</v>
      </c>
      <c r="K243" s="83">
        <f t="shared" ref="K243" si="68">ROUND(PRODUCT(E243:J243),3)</f>
        <v>-2.1999999999999999E-2</v>
      </c>
      <c r="L243" s="95"/>
    </row>
    <row r="244" spans="1:12" s="42" customFormat="1" ht="24.95" customHeight="1" outlineLevel="1" x14ac:dyDescent="0.25">
      <c r="A244" s="66">
        <v>6.4</v>
      </c>
      <c r="B244" s="59" t="s">
        <v>177</v>
      </c>
      <c r="C244" s="60"/>
      <c r="D244" s="61" t="s">
        <v>2</v>
      </c>
      <c r="E244" s="61"/>
      <c r="F244" s="62"/>
      <c r="G244" s="62"/>
      <c r="H244" s="62"/>
      <c r="I244" s="63"/>
      <c r="J244" s="61"/>
      <c r="K244" s="64">
        <f>SUBTOTAL(9,K245:K251)</f>
        <v>3.8380000000000001</v>
      </c>
      <c r="L244" s="67"/>
    </row>
    <row r="245" spans="1:12" s="43" customFormat="1" ht="20.100000000000001" customHeight="1" outlineLevel="2" x14ac:dyDescent="0.25">
      <c r="A245" s="68"/>
      <c r="B245" s="69"/>
      <c r="C245" s="70"/>
      <c r="D245" s="71" t="s">
        <v>2</v>
      </c>
      <c r="E245" s="72">
        <v>1</v>
      </c>
      <c r="F245" s="73">
        <v>14.21</v>
      </c>
      <c r="G245" s="73">
        <v>3</v>
      </c>
      <c r="H245" s="74">
        <v>0.1</v>
      </c>
      <c r="I245" s="73"/>
      <c r="J245" s="84" t="s">
        <v>75</v>
      </c>
      <c r="K245" s="83">
        <f t="shared" ref="K245:K251" si="69">ROUND(PRODUCT(E245:J245),3)</f>
        <v>4.2629999999999999</v>
      </c>
      <c r="L245" s="76"/>
    </row>
    <row r="246" spans="1:12" s="43" customFormat="1" ht="20.100000000000001" customHeight="1" outlineLevel="2" x14ac:dyDescent="0.25">
      <c r="A246" s="77"/>
      <c r="B246" s="78"/>
      <c r="C246" s="79" t="s">
        <v>190</v>
      </c>
      <c r="D246" s="80" t="s">
        <v>2</v>
      </c>
      <c r="E246" s="81">
        <v>1</v>
      </c>
      <c r="F246" s="82">
        <v>1.95</v>
      </c>
      <c r="G246" s="82">
        <v>1.55</v>
      </c>
      <c r="H246" s="83">
        <f>0.15-0.1</f>
        <v>4.9999999999999989E-2</v>
      </c>
      <c r="I246" s="82"/>
      <c r="J246" s="84" t="s">
        <v>75</v>
      </c>
      <c r="K246" s="83">
        <f t="shared" si="69"/>
        <v>0.151</v>
      </c>
      <c r="L246" s="85"/>
    </row>
    <row r="247" spans="1:12" s="43" customFormat="1" ht="20.100000000000001" customHeight="1" outlineLevel="2" x14ac:dyDescent="0.25">
      <c r="A247" s="77"/>
      <c r="B247" s="78"/>
      <c r="C247" s="79" t="s">
        <v>189</v>
      </c>
      <c r="D247" s="80" t="s">
        <v>2</v>
      </c>
      <c r="E247" s="81">
        <v>-1</v>
      </c>
      <c r="F247" s="82">
        <v>0.48</v>
      </c>
      <c r="G247" s="82">
        <v>0.22</v>
      </c>
      <c r="H247" s="83">
        <v>0.15</v>
      </c>
      <c r="I247" s="82"/>
      <c r="J247" s="84" t="s">
        <v>75</v>
      </c>
      <c r="K247" s="83">
        <f t="shared" si="69"/>
        <v>-1.6E-2</v>
      </c>
      <c r="L247" s="85"/>
    </row>
    <row r="248" spans="1:12" s="43" customFormat="1" ht="20.100000000000001" customHeight="1" outlineLevel="2" x14ac:dyDescent="0.25">
      <c r="A248" s="77"/>
      <c r="B248" s="78"/>
      <c r="C248" s="79" t="s">
        <v>188</v>
      </c>
      <c r="D248" s="80" t="s">
        <v>2</v>
      </c>
      <c r="E248" s="81">
        <v>-1</v>
      </c>
      <c r="F248" s="82">
        <v>2.69</v>
      </c>
      <c r="G248" s="82">
        <v>1.55</v>
      </c>
      <c r="H248" s="83">
        <v>0.1</v>
      </c>
      <c r="I248" s="82"/>
      <c r="J248" s="84" t="s">
        <v>75</v>
      </c>
      <c r="K248" s="83">
        <f t="shared" si="69"/>
        <v>-0.41699999999999998</v>
      </c>
      <c r="L248" s="85"/>
    </row>
    <row r="249" spans="1:12" s="43" customFormat="1" ht="20.100000000000001" customHeight="1" outlineLevel="2" x14ac:dyDescent="0.25">
      <c r="A249" s="77"/>
      <c r="B249" s="78"/>
      <c r="C249" s="79" t="s">
        <v>191</v>
      </c>
      <c r="D249" s="80" t="s">
        <v>2</v>
      </c>
      <c r="E249" s="81">
        <v>-1</v>
      </c>
      <c r="F249" s="82">
        <v>0.4</v>
      </c>
      <c r="G249" s="82">
        <v>2.56</v>
      </c>
      <c r="H249" s="83">
        <v>0.1</v>
      </c>
      <c r="I249" s="82"/>
      <c r="J249" s="84" t="s">
        <v>75</v>
      </c>
      <c r="K249" s="83">
        <f t="shared" si="69"/>
        <v>-0.10199999999999999</v>
      </c>
      <c r="L249" s="85"/>
    </row>
    <row r="250" spans="1:12" s="43" customFormat="1" ht="20.100000000000001" customHeight="1" outlineLevel="2" x14ac:dyDescent="0.25">
      <c r="A250" s="77"/>
      <c r="B250" s="78"/>
      <c r="C250" s="79" t="s">
        <v>79</v>
      </c>
      <c r="D250" s="80" t="s">
        <v>2</v>
      </c>
      <c r="E250" s="81">
        <v>-7</v>
      </c>
      <c r="F250" s="82">
        <v>0.22</v>
      </c>
      <c r="G250" s="82">
        <v>0.22</v>
      </c>
      <c r="H250" s="83">
        <v>0.1</v>
      </c>
      <c r="I250" s="82"/>
      <c r="J250" s="84" t="s">
        <v>75</v>
      </c>
      <c r="K250" s="83">
        <f t="shared" si="69"/>
        <v>-3.4000000000000002E-2</v>
      </c>
      <c r="L250" s="85"/>
    </row>
    <row r="251" spans="1:12" s="43" customFormat="1" ht="20.100000000000001" customHeight="1" outlineLevel="2" thickBot="1" x14ac:dyDescent="0.3">
      <c r="A251" s="90"/>
      <c r="B251" s="91"/>
      <c r="C251" s="117"/>
      <c r="D251" s="80" t="s">
        <v>2</v>
      </c>
      <c r="E251" s="81">
        <v>-1</v>
      </c>
      <c r="F251" s="82">
        <v>0.22</v>
      </c>
      <c r="G251" s="82">
        <v>0.22</v>
      </c>
      <c r="H251" s="83">
        <v>0.15</v>
      </c>
      <c r="I251" s="82"/>
      <c r="J251" s="84" t="s">
        <v>75</v>
      </c>
      <c r="K251" s="83">
        <f t="shared" si="69"/>
        <v>-7.0000000000000001E-3</v>
      </c>
      <c r="L251" s="95"/>
    </row>
    <row r="252" spans="1:12" s="42" customFormat="1" ht="24.95" customHeight="1" outlineLevel="1" x14ac:dyDescent="0.25">
      <c r="A252" s="66">
        <v>6.5</v>
      </c>
      <c r="B252" s="59" t="s">
        <v>185</v>
      </c>
      <c r="C252" s="60"/>
      <c r="D252" s="61" t="s">
        <v>2</v>
      </c>
      <c r="E252" s="61"/>
      <c r="F252" s="62"/>
      <c r="G252" s="62"/>
      <c r="H252" s="62"/>
      <c r="I252" s="63"/>
      <c r="J252" s="61"/>
      <c r="K252" s="64">
        <f>SUBTOTAL(9,K253:K254)</f>
        <v>1.538</v>
      </c>
      <c r="L252" s="67"/>
    </row>
    <row r="253" spans="1:12" s="43" customFormat="1" ht="20.100000000000001" customHeight="1" outlineLevel="2" x14ac:dyDescent="0.25">
      <c r="A253" s="68"/>
      <c r="B253" s="69"/>
      <c r="C253" s="70"/>
      <c r="D253" s="71" t="s">
        <v>2</v>
      </c>
      <c r="E253" s="72">
        <v>1</v>
      </c>
      <c r="F253" s="73">
        <v>5.19</v>
      </c>
      <c r="G253" s="73">
        <v>3</v>
      </c>
      <c r="H253" s="74">
        <v>0.1</v>
      </c>
      <c r="I253" s="73"/>
      <c r="J253" s="84" t="s">
        <v>75</v>
      </c>
      <c r="K253" s="83">
        <f t="shared" ref="K253:K254" si="70">ROUND(PRODUCT(E253:J253),3)</f>
        <v>1.5569999999999999</v>
      </c>
      <c r="L253" s="76"/>
    </row>
    <row r="254" spans="1:12" s="43" customFormat="1" ht="20.100000000000001" customHeight="1" outlineLevel="2" thickBot="1" x14ac:dyDescent="0.3">
      <c r="A254" s="90"/>
      <c r="B254" s="91"/>
      <c r="C254" s="117" t="s">
        <v>79</v>
      </c>
      <c r="D254" s="120" t="s">
        <v>2</v>
      </c>
      <c r="E254" s="121">
        <v>-4</v>
      </c>
      <c r="F254" s="92">
        <v>0.22</v>
      </c>
      <c r="G254" s="92">
        <v>0.22</v>
      </c>
      <c r="H254" s="94">
        <v>0.1</v>
      </c>
      <c r="I254" s="92"/>
      <c r="J254" s="93" t="s">
        <v>75</v>
      </c>
      <c r="K254" s="94">
        <f t="shared" si="70"/>
        <v>-1.9E-2</v>
      </c>
      <c r="L254" s="95"/>
    </row>
    <row r="255" spans="1:12" s="42" customFormat="1" ht="36.75" customHeight="1" collapsed="1" thickBot="1" x14ac:dyDescent="0.3">
      <c r="A255" s="58">
        <v>26</v>
      </c>
      <c r="B255" s="59" t="s">
        <v>192</v>
      </c>
      <c r="C255" s="60"/>
      <c r="D255" s="61" t="s">
        <v>4</v>
      </c>
      <c r="E255" s="61"/>
      <c r="F255" s="62"/>
      <c r="G255" s="62"/>
      <c r="H255" s="62"/>
      <c r="I255" s="63"/>
      <c r="J255" s="61"/>
      <c r="K255" s="64">
        <f>SUBTOTAL(9,K256:K294)</f>
        <v>181.89000000000007</v>
      </c>
      <c r="L255" s="65"/>
    </row>
    <row r="256" spans="1:12" s="42" customFormat="1" ht="24.95" hidden="1" customHeight="1" outlineLevel="1" x14ac:dyDescent="0.25">
      <c r="A256" s="66">
        <v>7.1</v>
      </c>
      <c r="B256" s="59" t="s">
        <v>167</v>
      </c>
      <c r="C256" s="60"/>
      <c r="D256" s="61" t="s">
        <v>4</v>
      </c>
      <c r="E256" s="61"/>
      <c r="F256" s="62"/>
      <c r="G256" s="62"/>
      <c r="H256" s="62"/>
      <c r="I256" s="63"/>
      <c r="J256" s="61"/>
      <c r="K256" s="64">
        <f>SUBTOTAL(9,K257:K258)</f>
        <v>0</v>
      </c>
      <c r="L256" s="67"/>
    </row>
    <row r="257" spans="1:12" s="43" customFormat="1" ht="20.100000000000001" hidden="1" customHeight="1" outlineLevel="2" x14ac:dyDescent="0.25">
      <c r="A257" s="68"/>
      <c r="B257" s="69"/>
      <c r="C257" s="70"/>
      <c r="D257" s="71"/>
      <c r="E257" s="72"/>
      <c r="F257" s="73"/>
      <c r="G257" s="73"/>
      <c r="H257" s="74"/>
      <c r="I257" s="73"/>
      <c r="J257" s="75"/>
      <c r="K257" s="74"/>
      <c r="L257" s="76"/>
    </row>
    <row r="258" spans="1:12" s="43" customFormat="1" ht="20.100000000000001" hidden="1" customHeight="1" outlineLevel="2" thickBot="1" x14ac:dyDescent="0.3">
      <c r="A258" s="96"/>
      <c r="B258" s="97"/>
      <c r="C258" s="98"/>
      <c r="D258" s="99"/>
      <c r="E258" s="100"/>
      <c r="F258" s="101"/>
      <c r="G258" s="101"/>
      <c r="H258" s="102"/>
      <c r="I258" s="101"/>
      <c r="J258" s="103"/>
      <c r="K258" s="102"/>
      <c r="L258" s="104"/>
    </row>
    <row r="259" spans="1:12" s="42" customFormat="1" ht="24.95" hidden="1" customHeight="1" outlineLevel="1" x14ac:dyDescent="0.25">
      <c r="A259" s="66">
        <v>7.2</v>
      </c>
      <c r="B259" s="59" t="s">
        <v>55</v>
      </c>
      <c r="C259" s="60"/>
      <c r="D259" s="61" t="s">
        <v>4</v>
      </c>
      <c r="E259" s="61"/>
      <c r="F259" s="62"/>
      <c r="G259" s="62"/>
      <c r="H259" s="62"/>
      <c r="I259" s="63"/>
      <c r="J259" s="61"/>
      <c r="K259" s="64">
        <f>SUBTOTAL(9,K260:K268)</f>
        <v>29.245000000000001</v>
      </c>
      <c r="L259" s="67"/>
    </row>
    <row r="260" spans="1:12" s="43" customFormat="1" ht="20.100000000000001" hidden="1" customHeight="1" outlineLevel="2" x14ac:dyDescent="0.25">
      <c r="A260" s="68"/>
      <c r="B260" s="69" t="s">
        <v>179</v>
      </c>
      <c r="C260" s="70" t="s">
        <v>193</v>
      </c>
      <c r="D260" s="71" t="s">
        <v>4</v>
      </c>
      <c r="E260" s="72">
        <v>1</v>
      </c>
      <c r="F260" s="73">
        <v>4.8</v>
      </c>
      <c r="G260" s="73">
        <v>3</v>
      </c>
      <c r="H260" s="74">
        <v>0.12</v>
      </c>
      <c r="I260" s="73"/>
      <c r="J260" s="75" t="s">
        <v>136</v>
      </c>
      <c r="K260" s="74">
        <f>ROUND(E260*(F260+G260)*2*H260,3)</f>
        <v>1.8720000000000001</v>
      </c>
      <c r="L260" s="76"/>
    </row>
    <row r="261" spans="1:12" s="43" customFormat="1" ht="20.100000000000001" hidden="1" customHeight="1" outlineLevel="2" x14ac:dyDescent="0.25">
      <c r="A261" s="77"/>
      <c r="B261" s="78"/>
      <c r="C261" s="79" t="s">
        <v>194</v>
      </c>
      <c r="D261" s="80" t="s">
        <v>4</v>
      </c>
      <c r="E261" s="81">
        <v>1</v>
      </c>
      <c r="F261" s="82">
        <v>4.3600000000000003</v>
      </c>
      <c r="G261" s="82">
        <v>2.56</v>
      </c>
      <c r="H261" s="83"/>
      <c r="I261" s="82"/>
      <c r="J261" s="84" t="s">
        <v>75</v>
      </c>
      <c r="K261" s="83">
        <f t="shared" ref="K261:K265" si="71">ROUND(PRODUCT(E261:J261),3)</f>
        <v>11.162000000000001</v>
      </c>
      <c r="L261" s="85"/>
    </row>
    <row r="262" spans="1:12" s="43" customFormat="1" ht="20.100000000000001" hidden="1" customHeight="1" outlineLevel="2" x14ac:dyDescent="0.25">
      <c r="A262" s="77"/>
      <c r="B262" s="78"/>
      <c r="C262" s="79" t="s">
        <v>189</v>
      </c>
      <c r="D262" s="80" t="s">
        <v>4</v>
      </c>
      <c r="E262" s="81">
        <v>-1</v>
      </c>
      <c r="F262" s="82">
        <v>0.27500000000000002</v>
      </c>
      <c r="G262" s="82">
        <v>0.48</v>
      </c>
      <c r="H262" s="83"/>
      <c r="I262" s="82"/>
      <c r="J262" s="84" t="s">
        <v>75</v>
      </c>
      <c r="K262" s="83">
        <f t="shared" si="71"/>
        <v>-0.13200000000000001</v>
      </c>
      <c r="L262" s="85"/>
    </row>
    <row r="263" spans="1:12" s="43" customFormat="1" ht="20.100000000000001" hidden="1" customHeight="1" outlineLevel="2" x14ac:dyDescent="0.25">
      <c r="A263" s="77"/>
      <c r="B263" s="78"/>
      <c r="C263" s="79" t="s">
        <v>195</v>
      </c>
      <c r="D263" s="80" t="s">
        <v>4</v>
      </c>
      <c r="E263" s="81">
        <v>-1</v>
      </c>
      <c r="F263" s="82">
        <v>0.27500000000000002</v>
      </c>
      <c r="G263" s="82">
        <v>0.48</v>
      </c>
      <c r="H263" s="83">
        <v>0.12</v>
      </c>
      <c r="I263" s="82"/>
      <c r="J263" s="84" t="s">
        <v>136</v>
      </c>
      <c r="K263" s="83">
        <f>ROUND(E263*(F263+G263)*2*H263,3)</f>
        <v>-0.18099999999999999</v>
      </c>
      <c r="L263" s="85"/>
    </row>
    <row r="264" spans="1:12" s="43" customFormat="1" ht="20.100000000000001" hidden="1" customHeight="1" outlineLevel="2" x14ac:dyDescent="0.25">
      <c r="A264" s="77"/>
      <c r="B264" s="78" t="s">
        <v>182</v>
      </c>
      <c r="C264" s="79" t="s">
        <v>196</v>
      </c>
      <c r="D264" s="80" t="s">
        <v>4</v>
      </c>
      <c r="E264" s="81">
        <v>1</v>
      </c>
      <c r="F264" s="82">
        <v>8.82</v>
      </c>
      <c r="G264" s="82">
        <v>3</v>
      </c>
      <c r="H264" s="83">
        <v>0.12</v>
      </c>
      <c r="I264" s="82"/>
      <c r="J264" s="84" t="s">
        <v>136</v>
      </c>
      <c r="K264" s="83">
        <f>ROUND(E264*(F264+G264)*2*H264,3)</f>
        <v>2.8370000000000002</v>
      </c>
      <c r="L264" s="85"/>
    </row>
    <row r="265" spans="1:12" s="43" customFormat="1" ht="20.100000000000001" hidden="1" customHeight="1" outlineLevel="2" x14ac:dyDescent="0.25">
      <c r="A265" s="77"/>
      <c r="B265" s="78"/>
      <c r="C265" s="79" t="s">
        <v>197</v>
      </c>
      <c r="D265" s="80" t="s">
        <v>4</v>
      </c>
      <c r="E265" s="81">
        <v>1</v>
      </c>
      <c r="F265" s="82">
        <v>4.16</v>
      </c>
      <c r="G265" s="82">
        <v>0.68</v>
      </c>
      <c r="H265" s="83"/>
      <c r="I265" s="82"/>
      <c r="J265" s="84" t="s">
        <v>75</v>
      </c>
      <c r="K265" s="83">
        <f t="shared" si="71"/>
        <v>2.8290000000000002</v>
      </c>
      <c r="L265" s="85"/>
    </row>
    <row r="266" spans="1:12" s="43" customFormat="1" ht="20.100000000000001" hidden="1" customHeight="1" outlineLevel="2" x14ac:dyDescent="0.25">
      <c r="A266" s="77"/>
      <c r="B266" s="78"/>
      <c r="C266" s="79" t="s">
        <v>198</v>
      </c>
      <c r="D266" s="80" t="s">
        <v>4</v>
      </c>
      <c r="E266" s="81">
        <v>1</v>
      </c>
      <c r="F266" s="82">
        <v>3.38</v>
      </c>
      <c r="G266" s="82">
        <v>2.56</v>
      </c>
      <c r="H266" s="83"/>
      <c r="I266" s="82"/>
      <c r="J266" s="84" t="s">
        <v>75</v>
      </c>
      <c r="K266" s="83">
        <f t="shared" ref="K266" si="72">ROUND(PRODUCT(E266:J266),3)</f>
        <v>8.6530000000000005</v>
      </c>
      <c r="L266" s="85"/>
    </row>
    <row r="267" spans="1:12" s="43" customFormat="1" ht="20.100000000000001" hidden="1" customHeight="1" outlineLevel="2" x14ac:dyDescent="0.25">
      <c r="A267" s="77"/>
      <c r="B267" s="78"/>
      <c r="C267" s="79" t="s">
        <v>199</v>
      </c>
      <c r="D267" s="80" t="s">
        <v>4</v>
      </c>
      <c r="E267" s="81">
        <v>1</v>
      </c>
      <c r="F267" s="82">
        <v>0.4</v>
      </c>
      <c r="G267" s="82">
        <v>2.56</v>
      </c>
      <c r="H267" s="83"/>
      <c r="I267" s="82"/>
      <c r="J267" s="84" t="s">
        <v>75</v>
      </c>
      <c r="K267" s="83">
        <f t="shared" ref="K267" si="73">ROUND(PRODUCT(E267:J267),3)</f>
        <v>1.024</v>
      </c>
      <c r="L267" s="85"/>
    </row>
    <row r="268" spans="1:12" s="43" customFormat="1" ht="20.100000000000001" hidden="1" customHeight="1" outlineLevel="2" thickBot="1" x14ac:dyDescent="0.3">
      <c r="A268" s="77"/>
      <c r="B268" s="78"/>
      <c r="C268" s="79" t="s">
        <v>200</v>
      </c>
      <c r="D268" s="80" t="s">
        <v>4</v>
      </c>
      <c r="E268" s="81">
        <v>1</v>
      </c>
      <c r="F268" s="82">
        <v>3.26</v>
      </c>
      <c r="G268" s="82">
        <v>1.66</v>
      </c>
      <c r="H268" s="83">
        <v>0.12</v>
      </c>
      <c r="I268" s="82"/>
      <c r="J268" s="84" t="s">
        <v>136</v>
      </c>
      <c r="K268" s="83">
        <f>ROUND(E268*(F268+G268)*2*H268,3)</f>
        <v>1.181</v>
      </c>
      <c r="L268" s="85"/>
    </row>
    <row r="269" spans="1:12" s="42" customFormat="1" ht="24.95" hidden="1" customHeight="1" outlineLevel="1" x14ac:dyDescent="0.25">
      <c r="A269" s="66">
        <v>7.3</v>
      </c>
      <c r="B269" s="59" t="s">
        <v>176</v>
      </c>
      <c r="C269" s="60"/>
      <c r="D269" s="61" t="s">
        <v>4</v>
      </c>
      <c r="E269" s="61"/>
      <c r="F269" s="62"/>
      <c r="G269" s="62"/>
      <c r="H269" s="62"/>
      <c r="I269" s="63"/>
      <c r="J269" s="61"/>
      <c r="K269" s="64">
        <f>SUBTOTAL(9,K270:K279)</f>
        <v>70.757999999999996</v>
      </c>
      <c r="L269" s="67"/>
    </row>
    <row r="270" spans="1:12" s="43" customFormat="1" ht="20.100000000000001" hidden="1" customHeight="1" outlineLevel="2" x14ac:dyDescent="0.25">
      <c r="A270" s="68"/>
      <c r="B270" s="69"/>
      <c r="C270" s="70" t="s">
        <v>201</v>
      </c>
      <c r="D270" s="71" t="s">
        <v>4</v>
      </c>
      <c r="E270" s="72">
        <v>3</v>
      </c>
      <c r="F270" s="73">
        <v>14.21</v>
      </c>
      <c r="G270" s="73">
        <v>3</v>
      </c>
      <c r="H270" s="74">
        <v>0.12</v>
      </c>
      <c r="I270" s="73"/>
      <c r="J270" s="75" t="s">
        <v>136</v>
      </c>
      <c r="K270" s="74">
        <f>ROUND(E270*(F270+G270)*2*H270,3)</f>
        <v>12.391</v>
      </c>
      <c r="L270" s="76"/>
    </row>
    <row r="271" spans="1:12" s="43" customFormat="1" ht="20.100000000000001" hidden="1" customHeight="1" outlineLevel="2" x14ac:dyDescent="0.25">
      <c r="A271" s="77"/>
      <c r="B271" s="78"/>
      <c r="C271" s="79" t="s">
        <v>202</v>
      </c>
      <c r="D271" s="80" t="s">
        <v>4</v>
      </c>
      <c r="E271" s="81">
        <v>3</v>
      </c>
      <c r="F271" s="82">
        <v>0.59</v>
      </c>
      <c r="G271" s="82">
        <v>2.56</v>
      </c>
      <c r="H271" s="83"/>
      <c r="I271" s="82"/>
      <c r="J271" s="84" t="s">
        <v>75</v>
      </c>
      <c r="K271" s="83">
        <f t="shared" ref="K271:K276" si="74">ROUND(PRODUCT(E271:J271),3)</f>
        <v>4.5309999999999997</v>
      </c>
      <c r="L271" s="85"/>
    </row>
    <row r="272" spans="1:12" s="43" customFormat="1" ht="20.100000000000001" hidden="1" customHeight="1" outlineLevel="2" x14ac:dyDescent="0.25">
      <c r="A272" s="77"/>
      <c r="B272" s="78"/>
      <c r="C272" s="79" t="s">
        <v>194</v>
      </c>
      <c r="D272" s="80" t="s">
        <v>4</v>
      </c>
      <c r="E272" s="81">
        <v>3</v>
      </c>
      <c r="F272" s="82">
        <v>3.66</v>
      </c>
      <c r="G272" s="82">
        <v>2.5750000000000002</v>
      </c>
      <c r="H272" s="83"/>
      <c r="I272" s="82"/>
      <c r="J272" s="84" t="s">
        <v>75</v>
      </c>
      <c r="K272" s="83">
        <f t="shared" si="74"/>
        <v>28.274000000000001</v>
      </c>
      <c r="L272" s="85"/>
    </row>
    <row r="273" spans="1:12" s="43" customFormat="1" ht="20.100000000000001" hidden="1" customHeight="1" outlineLevel="2" x14ac:dyDescent="0.25">
      <c r="A273" s="77"/>
      <c r="B273" s="78"/>
      <c r="C273" s="79" t="s">
        <v>197</v>
      </c>
      <c r="D273" s="80" t="s">
        <v>4</v>
      </c>
      <c r="E273" s="81">
        <v>3</v>
      </c>
      <c r="F273" s="82">
        <v>1.95</v>
      </c>
      <c r="G273" s="82">
        <v>0.79</v>
      </c>
      <c r="H273" s="83"/>
      <c r="I273" s="82"/>
      <c r="J273" s="84" t="s">
        <v>75</v>
      </c>
      <c r="K273" s="83">
        <f t="shared" si="74"/>
        <v>4.6219999999999999</v>
      </c>
      <c r="L273" s="85"/>
    </row>
    <row r="274" spans="1:12" s="43" customFormat="1" ht="20.100000000000001" hidden="1" customHeight="1" outlineLevel="2" x14ac:dyDescent="0.25">
      <c r="A274" s="77"/>
      <c r="B274" s="78"/>
      <c r="C274" s="79"/>
      <c r="D274" s="80"/>
      <c r="E274" s="81">
        <v>3</v>
      </c>
      <c r="F274" s="82">
        <v>2.69</v>
      </c>
      <c r="G274" s="82">
        <v>0.79</v>
      </c>
      <c r="H274" s="83"/>
      <c r="I274" s="82"/>
      <c r="J274" s="84" t="s">
        <v>75</v>
      </c>
      <c r="K274" s="83">
        <f t="shared" ref="K274" si="75">ROUND(PRODUCT(E274:J274),3)</f>
        <v>6.375</v>
      </c>
      <c r="L274" s="85"/>
    </row>
    <row r="275" spans="1:12" s="43" customFormat="1" ht="20.100000000000001" hidden="1" customHeight="1" outlineLevel="2" x14ac:dyDescent="0.25">
      <c r="A275" s="77"/>
      <c r="B275" s="78"/>
      <c r="C275" s="79" t="s">
        <v>203</v>
      </c>
      <c r="D275" s="80" t="s">
        <v>4</v>
      </c>
      <c r="E275" s="81">
        <v>3</v>
      </c>
      <c r="F275" s="82">
        <v>1.95</v>
      </c>
      <c r="G275" s="82">
        <v>1.55</v>
      </c>
      <c r="H275" s="83"/>
      <c r="I275" s="82"/>
      <c r="J275" s="84" t="s">
        <v>75</v>
      </c>
      <c r="K275" s="83">
        <f t="shared" si="74"/>
        <v>9.0679999999999996</v>
      </c>
      <c r="L275" s="85"/>
    </row>
    <row r="276" spans="1:12" s="43" customFormat="1" ht="20.100000000000001" hidden="1" customHeight="1" outlineLevel="2" x14ac:dyDescent="0.25">
      <c r="A276" s="77"/>
      <c r="B276" s="78"/>
      <c r="C276" s="79" t="s">
        <v>189</v>
      </c>
      <c r="D276" s="80" t="s">
        <v>4</v>
      </c>
      <c r="E276" s="81">
        <v>-3</v>
      </c>
      <c r="F276" s="82">
        <v>0.22</v>
      </c>
      <c r="G276" s="82">
        <v>0.48</v>
      </c>
      <c r="H276" s="83"/>
      <c r="I276" s="82"/>
      <c r="J276" s="84" t="s">
        <v>75</v>
      </c>
      <c r="K276" s="83">
        <f t="shared" si="74"/>
        <v>-0.317</v>
      </c>
      <c r="L276" s="85"/>
    </row>
    <row r="277" spans="1:12" s="43" customFormat="1" ht="20.100000000000001" hidden="1" customHeight="1" outlineLevel="2" x14ac:dyDescent="0.25">
      <c r="A277" s="77"/>
      <c r="B277" s="78"/>
      <c r="C277" s="79" t="s">
        <v>195</v>
      </c>
      <c r="D277" s="80" t="s">
        <v>4</v>
      </c>
      <c r="E277" s="81">
        <v>3</v>
      </c>
      <c r="F277" s="82">
        <v>0.22</v>
      </c>
      <c r="G277" s="82">
        <v>0.48</v>
      </c>
      <c r="H277" s="83">
        <v>0.15</v>
      </c>
      <c r="I277" s="82"/>
      <c r="J277" s="84" t="s">
        <v>136</v>
      </c>
      <c r="K277" s="83">
        <f>ROUND(E277*(F277+G277)*2*H277,3)</f>
        <v>0.63</v>
      </c>
      <c r="L277" s="85"/>
    </row>
    <row r="278" spans="1:12" s="43" customFormat="1" ht="20.100000000000001" hidden="1" customHeight="1" outlineLevel="2" x14ac:dyDescent="0.25">
      <c r="A278" s="77"/>
      <c r="B278" s="78"/>
      <c r="C278" s="79" t="s">
        <v>200</v>
      </c>
      <c r="D278" s="80" t="s">
        <v>4</v>
      </c>
      <c r="E278" s="81">
        <v>3</v>
      </c>
      <c r="F278" s="82">
        <v>2.69</v>
      </c>
      <c r="G278" s="82">
        <v>1.55</v>
      </c>
      <c r="H278" s="83">
        <v>0.12</v>
      </c>
      <c r="I278" s="82"/>
      <c r="J278" s="84" t="s">
        <v>136</v>
      </c>
      <c r="K278" s="83">
        <f>ROUND(E278*(F278+G278)*2*H278,3)</f>
        <v>3.0529999999999999</v>
      </c>
      <c r="L278" s="85"/>
    </row>
    <row r="279" spans="1:12" s="43" customFormat="1" ht="20.100000000000001" hidden="1" customHeight="1" outlineLevel="2" thickBot="1" x14ac:dyDescent="0.3">
      <c r="A279" s="77"/>
      <c r="B279" s="78"/>
      <c r="C279" s="79" t="s">
        <v>204</v>
      </c>
      <c r="D279" s="80" t="s">
        <v>4</v>
      </c>
      <c r="E279" s="81">
        <v>3</v>
      </c>
      <c r="F279" s="82">
        <v>0.4</v>
      </c>
      <c r="G279" s="82">
        <v>2.56</v>
      </c>
      <c r="H279" s="83">
        <v>0.12</v>
      </c>
      <c r="I279" s="82"/>
      <c r="J279" s="84" t="s">
        <v>136</v>
      </c>
      <c r="K279" s="83">
        <f>ROUND(E279*(F279+G279)*2*H279,3)</f>
        <v>2.1309999999999998</v>
      </c>
      <c r="L279" s="85"/>
    </row>
    <row r="280" spans="1:12" s="42" customFormat="1" ht="24.95" hidden="1" customHeight="1" outlineLevel="1" x14ac:dyDescent="0.25">
      <c r="A280" s="66">
        <v>7.4</v>
      </c>
      <c r="B280" s="59" t="s">
        <v>177</v>
      </c>
      <c r="C280" s="60"/>
      <c r="D280" s="61" t="s">
        <v>4</v>
      </c>
      <c r="E280" s="61"/>
      <c r="F280" s="62"/>
      <c r="G280" s="62"/>
      <c r="H280" s="62"/>
      <c r="I280" s="63"/>
      <c r="J280" s="61"/>
      <c r="K280" s="64">
        <f>SUBTOTAL(9,K281:K290)</f>
        <v>67.828999999999994</v>
      </c>
      <c r="L280" s="67"/>
    </row>
    <row r="281" spans="1:12" s="43" customFormat="1" ht="20.100000000000001" hidden="1" customHeight="1" outlineLevel="2" x14ac:dyDescent="0.25">
      <c r="A281" s="68"/>
      <c r="B281" s="69"/>
      <c r="C281" s="70" t="s">
        <v>201</v>
      </c>
      <c r="D281" s="71" t="s">
        <v>4</v>
      </c>
      <c r="E281" s="72">
        <v>3</v>
      </c>
      <c r="F281" s="73">
        <v>14.21</v>
      </c>
      <c r="G281" s="73">
        <v>3</v>
      </c>
      <c r="H281" s="74">
        <v>0.1</v>
      </c>
      <c r="I281" s="73"/>
      <c r="J281" s="75" t="s">
        <v>136</v>
      </c>
      <c r="K281" s="74">
        <f>ROUND(E281*(F281+G281)*2*H281,3)</f>
        <v>10.326000000000001</v>
      </c>
      <c r="L281" s="76"/>
    </row>
    <row r="282" spans="1:12" s="43" customFormat="1" ht="20.100000000000001" hidden="1" customHeight="1" outlineLevel="2" x14ac:dyDescent="0.25">
      <c r="A282" s="77"/>
      <c r="B282" s="78"/>
      <c r="C282" s="79" t="s">
        <v>202</v>
      </c>
      <c r="D282" s="80" t="s">
        <v>4</v>
      </c>
      <c r="E282" s="81">
        <v>3</v>
      </c>
      <c r="F282" s="82">
        <v>0.59</v>
      </c>
      <c r="G282" s="82">
        <v>2.56</v>
      </c>
      <c r="H282" s="83"/>
      <c r="I282" s="82"/>
      <c r="J282" s="84" t="s">
        <v>75</v>
      </c>
      <c r="K282" s="83">
        <f t="shared" ref="K282:K287" si="76">ROUND(PRODUCT(E282:J282),3)</f>
        <v>4.5309999999999997</v>
      </c>
      <c r="L282" s="85"/>
    </row>
    <row r="283" spans="1:12" s="43" customFormat="1" ht="20.100000000000001" hidden="1" customHeight="1" outlineLevel="2" x14ac:dyDescent="0.25">
      <c r="A283" s="77"/>
      <c r="B283" s="78"/>
      <c r="C283" s="79" t="s">
        <v>194</v>
      </c>
      <c r="D283" s="80" t="s">
        <v>4</v>
      </c>
      <c r="E283" s="81">
        <v>3</v>
      </c>
      <c r="F283" s="82">
        <v>3.66</v>
      </c>
      <c r="G283" s="82">
        <v>2.5750000000000002</v>
      </c>
      <c r="H283" s="83"/>
      <c r="I283" s="82"/>
      <c r="J283" s="84" t="s">
        <v>75</v>
      </c>
      <c r="K283" s="83">
        <f t="shared" si="76"/>
        <v>28.274000000000001</v>
      </c>
      <c r="L283" s="85"/>
    </row>
    <row r="284" spans="1:12" s="43" customFormat="1" ht="20.100000000000001" hidden="1" customHeight="1" outlineLevel="2" x14ac:dyDescent="0.25">
      <c r="A284" s="77"/>
      <c r="B284" s="78"/>
      <c r="C284" s="79" t="s">
        <v>197</v>
      </c>
      <c r="D284" s="80" t="s">
        <v>4</v>
      </c>
      <c r="E284" s="81">
        <v>3</v>
      </c>
      <c r="F284" s="82">
        <v>1.95</v>
      </c>
      <c r="G284" s="82">
        <v>0.79</v>
      </c>
      <c r="H284" s="83"/>
      <c r="I284" s="82"/>
      <c r="J284" s="84" t="s">
        <v>75</v>
      </c>
      <c r="K284" s="83">
        <f t="shared" si="76"/>
        <v>4.6219999999999999</v>
      </c>
      <c r="L284" s="85"/>
    </row>
    <row r="285" spans="1:12" s="43" customFormat="1" ht="20.100000000000001" hidden="1" customHeight="1" outlineLevel="2" x14ac:dyDescent="0.25">
      <c r="A285" s="77"/>
      <c r="B285" s="78"/>
      <c r="C285" s="79"/>
      <c r="D285" s="80"/>
      <c r="E285" s="81">
        <v>3</v>
      </c>
      <c r="F285" s="82">
        <v>2.69</v>
      </c>
      <c r="G285" s="82">
        <v>0.79</v>
      </c>
      <c r="H285" s="83"/>
      <c r="I285" s="82"/>
      <c r="J285" s="84" t="s">
        <v>75</v>
      </c>
      <c r="K285" s="83">
        <f t="shared" si="76"/>
        <v>6.375</v>
      </c>
      <c r="L285" s="85"/>
    </row>
    <row r="286" spans="1:12" s="43" customFormat="1" ht="20.100000000000001" hidden="1" customHeight="1" outlineLevel="2" x14ac:dyDescent="0.25">
      <c r="A286" s="77"/>
      <c r="B286" s="78"/>
      <c r="C286" s="79" t="s">
        <v>203</v>
      </c>
      <c r="D286" s="80" t="s">
        <v>4</v>
      </c>
      <c r="E286" s="81">
        <v>3</v>
      </c>
      <c r="F286" s="82">
        <v>1.95</v>
      </c>
      <c r="G286" s="82">
        <v>1.55</v>
      </c>
      <c r="H286" s="83"/>
      <c r="I286" s="82"/>
      <c r="J286" s="84" t="s">
        <v>75</v>
      </c>
      <c r="K286" s="83">
        <f t="shared" si="76"/>
        <v>9.0679999999999996</v>
      </c>
      <c r="L286" s="85"/>
    </row>
    <row r="287" spans="1:12" s="43" customFormat="1" ht="20.100000000000001" hidden="1" customHeight="1" outlineLevel="2" x14ac:dyDescent="0.25">
      <c r="A287" s="77"/>
      <c r="B287" s="78"/>
      <c r="C287" s="79" t="s">
        <v>189</v>
      </c>
      <c r="D287" s="80" t="s">
        <v>4</v>
      </c>
      <c r="E287" s="81">
        <v>-3</v>
      </c>
      <c r="F287" s="82">
        <v>0.22</v>
      </c>
      <c r="G287" s="82">
        <v>0.48</v>
      </c>
      <c r="H287" s="83"/>
      <c r="I287" s="82"/>
      <c r="J287" s="84" t="s">
        <v>75</v>
      </c>
      <c r="K287" s="83">
        <f t="shared" si="76"/>
        <v>-0.317</v>
      </c>
      <c r="L287" s="85"/>
    </row>
    <row r="288" spans="1:12" s="43" customFormat="1" ht="20.100000000000001" hidden="1" customHeight="1" outlineLevel="2" x14ac:dyDescent="0.25">
      <c r="A288" s="77"/>
      <c r="B288" s="78"/>
      <c r="C288" s="79" t="s">
        <v>195</v>
      </c>
      <c r="D288" s="80" t="s">
        <v>4</v>
      </c>
      <c r="E288" s="81">
        <v>3</v>
      </c>
      <c r="F288" s="82">
        <v>0.22</v>
      </c>
      <c r="G288" s="82">
        <v>0.48</v>
      </c>
      <c r="H288" s="83">
        <v>0.15</v>
      </c>
      <c r="I288" s="82"/>
      <c r="J288" s="84" t="s">
        <v>136</v>
      </c>
      <c r="K288" s="83">
        <f>ROUND(E288*(F288+G288)*2*H288,3)</f>
        <v>0.63</v>
      </c>
      <c r="L288" s="85"/>
    </row>
    <row r="289" spans="1:12" s="43" customFormat="1" ht="20.100000000000001" hidden="1" customHeight="1" outlineLevel="2" x14ac:dyDescent="0.25">
      <c r="A289" s="77"/>
      <c r="B289" s="78"/>
      <c r="C289" s="79" t="s">
        <v>200</v>
      </c>
      <c r="D289" s="80" t="s">
        <v>4</v>
      </c>
      <c r="E289" s="81">
        <v>3</v>
      </c>
      <c r="F289" s="82">
        <v>2.69</v>
      </c>
      <c r="G289" s="82">
        <v>1.55</v>
      </c>
      <c r="H289" s="83">
        <v>0.1</v>
      </c>
      <c r="I289" s="82"/>
      <c r="J289" s="84" t="s">
        <v>136</v>
      </c>
      <c r="K289" s="83">
        <f>ROUND(E289*(F289+G289)*2*H289,3)</f>
        <v>2.544</v>
      </c>
      <c r="L289" s="85"/>
    </row>
    <row r="290" spans="1:12" s="43" customFormat="1" ht="20.100000000000001" hidden="1" customHeight="1" outlineLevel="2" thickBot="1" x14ac:dyDescent="0.3">
      <c r="A290" s="77"/>
      <c r="B290" s="78"/>
      <c r="C290" s="79" t="s">
        <v>204</v>
      </c>
      <c r="D290" s="80" t="s">
        <v>4</v>
      </c>
      <c r="E290" s="81">
        <v>3</v>
      </c>
      <c r="F290" s="82">
        <v>0.4</v>
      </c>
      <c r="G290" s="82">
        <v>2.56</v>
      </c>
      <c r="H290" s="83">
        <v>0.1</v>
      </c>
      <c r="I290" s="82"/>
      <c r="J290" s="84" t="s">
        <v>136</v>
      </c>
      <c r="K290" s="83">
        <f>ROUND(E290*(F290+G290)*2*H290,3)</f>
        <v>1.776</v>
      </c>
      <c r="L290" s="85"/>
    </row>
    <row r="291" spans="1:12" s="42" customFormat="1" ht="24.95" hidden="1" customHeight="1" outlineLevel="1" x14ac:dyDescent="0.25">
      <c r="A291" s="66">
        <v>7.5</v>
      </c>
      <c r="B291" s="59" t="s">
        <v>185</v>
      </c>
      <c r="C291" s="60"/>
      <c r="D291" s="61" t="s">
        <v>4</v>
      </c>
      <c r="E291" s="61"/>
      <c r="F291" s="62"/>
      <c r="G291" s="62"/>
      <c r="H291" s="62"/>
      <c r="I291" s="63"/>
      <c r="J291" s="61"/>
      <c r="K291" s="64">
        <f>SUBTOTAL(9,K292:K294)</f>
        <v>14.058</v>
      </c>
      <c r="L291" s="67"/>
    </row>
    <row r="292" spans="1:12" s="43" customFormat="1" ht="20.100000000000001" hidden="1" customHeight="1" outlineLevel="2" x14ac:dyDescent="0.25">
      <c r="A292" s="68"/>
      <c r="B292" s="69"/>
      <c r="C292" s="70" t="s">
        <v>201</v>
      </c>
      <c r="D292" s="71" t="s">
        <v>4</v>
      </c>
      <c r="E292" s="72">
        <v>1</v>
      </c>
      <c r="F292" s="73">
        <v>5.19</v>
      </c>
      <c r="G292" s="73">
        <v>3</v>
      </c>
      <c r="H292" s="74">
        <v>0.1</v>
      </c>
      <c r="I292" s="73"/>
      <c r="J292" s="75" t="s">
        <v>136</v>
      </c>
      <c r="K292" s="74">
        <f>ROUND(E292*(F292+G292)*2*H292,3)</f>
        <v>1.6379999999999999</v>
      </c>
      <c r="L292" s="76"/>
    </row>
    <row r="293" spans="1:12" s="43" customFormat="1" ht="20.100000000000001" hidden="1" customHeight="1" outlineLevel="2" x14ac:dyDescent="0.25">
      <c r="A293" s="122"/>
      <c r="B293" s="123"/>
      <c r="C293" s="79" t="s">
        <v>194</v>
      </c>
      <c r="D293" s="80" t="s">
        <v>4</v>
      </c>
      <c r="E293" s="81">
        <v>1</v>
      </c>
      <c r="F293" s="82">
        <v>0.59</v>
      </c>
      <c r="G293" s="82">
        <v>3</v>
      </c>
      <c r="H293" s="83"/>
      <c r="I293" s="82"/>
      <c r="J293" s="84" t="s">
        <v>75</v>
      </c>
      <c r="K293" s="83">
        <f t="shared" ref="K293" si="77">ROUND(PRODUCT(E293:J293),3)</f>
        <v>1.77</v>
      </c>
      <c r="L293" s="85"/>
    </row>
    <row r="294" spans="1:12" s="43" customFormat="1" ht="20.100000000000001" hidden="1" customHeight="1" outlineLevel="2" thickBot="1" x14ac:dyDescent="0.3">
      <c r="A294" s="90"/>
      <c r="B294" s="91"/>
      <c r="C294" s="117" t="s">
        <v>197</v>
      </c>
      <c r="D294" s="120" t="s">
        <v>4</v>
      </c>
      <c r="E294" s="121">
        <v>1</v>
      </c>
      <c r="F294" s="92">
        <v>4.16</v>
      </c>
      <c r="G294" s="92">
        <v>2.56</v>
      </c>
      <c r="H294" s="94"/>
      <c r="I294" s="92"/>
      <c r="J294" s="93" t="s">
        <v>75</v>
      </c>
      <c r="K294" s="94">
        <f t="shared" ref="K294" si="78">ROUND(PRODUCT(E294:J294),3)</f>
        <v>10.65</v>
      </c>
      <c r="L294" s="95"/>
    </row>
    <row r="295" spans="1:12" s="42" customFormat="1" ht="36.75" customHeight="1" collapsed="1" thickBot="1" x14ac:dyDescent="0.3">
      <c r="A295" s="58">
        <v>27</v>
      </c>
      <c r="B295" s="59" t="s">
        <v>325</v>
      </c>
      <c r="C295" s="60"/>
      <c r="D295" s="61" t="s">
        <v>321</v>
      </c>
      <c r="E295" s="61"/>
      <c r="F295" s="62"/>
      <c r="G295" s="62"/>
      <c r="H295" s="62"/>
      <c r="I295" s="63"/>
      <c r="J295" s="61"/>
      <c r="K295" s="64">
        <v>250.416</v>
      </c>
      <c r="L295" s="65"/>
    </row>
    <row r="296" spans="1:12" s="42" customFormat="1" ht="36.75" customHeight="1" collapsed="1" thickBot="1" x14ac:dyDescent="0.3">
      <c r="A296" s="58">
        <v>28</v>
      </c>
      <c r="B296" s="59" t="s">
        <v>366</v>
      </c>
      <c r="C296" s="60"/>
      <c r="D296" s="61" t="s">
        <v>2</v>
      </c>
      <c r="E296" s="61"/>
      <c r="F296" s="62"/>
      <c r="G296" s="62"/>
      <c r="H296" s="62"/>
      <c r="I296" s="63"/>
      <c r="J296" s="61"/>
      <c r="K296" s="64">
        <f>SUBTOTAL(9,K297:K308)</f>
        <v>3.0822964332973219</v>
      </c>
      <c r="L296" s="65"/>
    </row>
    <row r="297" spans="1:12" s="42" customFormat="1" ht="24.95" hidden="1" customHeight="1" outlineLevel="1" x14ac:dyDescent="0.25">
      <c r="A297" s="66">
        <v>8.1</v>
      </c>
      <c r="B297" s="59" t="s">
        <v>167</v>
      </c>
      <c r="C297" s="60"/>
      <c r="D297" s="61" t="s">
        <v>2</v>
      </c>
      <c r="E297" s="61"/>
      <c r="F297" s="62"/>
      <c r="G297" s="62"/>
      <c r="H297" s="62"/>
      <c r="I297" s="63"/>
      <c r="J297" s="61"/>
      <c r="K297" s="64">
        <f>SUBTOTAL(9,K298:K302)</f>
        <v>0.64660585362349132</v>
      </c>
      <c r="L297" s="67"/>
    </row>
    <row r="298" spans="1:12" s="43" customFormat="1" ht="20.100000000000001" hidden="1" customHeight="1" outlineLevel="2" x14ac:dyDescent="0.25">
      <c r="A298" s="68"/>
      <c r="B298" s="69"/>
      <c r="C298" s="79" t="s">
        <v>205</v>
      </c>
      <c r="D298" s="80" t="s">
        <v>2</v>
      </c>
      <c r="E298" s="81">
        <v>1</v>
      </c>
      <c r="F298" s="82">
        <v>0.875</v>
      </c>
      <c r="G298" s="82">
        <v>1.25</v>
      </c>
      <c r="H298" s="83">
        <v>0.95</v>
      </c>
      <c r="I298" s="82">
        <v>0.1</v>
      </c>
      <c r="J298" s="84" t="s">
        <v>212</v>
      </c>
      <c r="K298" s="83">
        <f>E298*SQRT(F298^2+G298^2)*H298*I298</f>
        <v>0.14495284793683771</v>
      </c>
      <c r="L298" s="76"/>
    </row>
    <row r="299" spans="1:12" s="43" customFormat="1" ht="20.100000000000001" hidden="1" customHeight="1" outlineLevel="2" x14ac:dyDescent="0.25">
      <c r="A299" s="77"/>
      <c r="B299" s="78"/>
      <c r="C299" s="79" t="s">
        <v>207</v>
      </c>
      <c r="D299" s="80" t="s">
        <v>2</v>
      </c>
      <c r="E299" s="81">
        <v>1</v>
      </c>
      <c r="F299" s="82">
        <v>0.95</v>
      </c>
      <c r="G299" s="82">
        <v>1.01</v>
      </c>
      <c r="H299" s="83">
        <v>0.1</v>
      </c>
      <c r="I299" s="82"/>
      <c r="J299" s="84" t="s">
        <v>75</v>
      </c>
      <c r="K299" s="83">
        <f t="shared" ref="K299" si="79">ROUND(PRODUCT(E299:J299),3)</f>
        <v>9.6000000000000002E-2</v>
      </c>
      <c r="L299" s="85"/>
    </row>
    <row r="300" spans="1:12" s="43" customFormat="1" ht="20.100000000000001" hidden="1" customHeight="1" outlineLevel="2" x14ac:dyDescent="0.25">
      <c r="A300" s="77"/>
      <c r="B300" s="78"/>
      <c r="C300" s="79" t="s">
        <v>208</v>
      </c>
      <c r="D300" s="80" t="s">
        <v>2</v>
      </c>
      <c r="E300" s="81">
        <v>1</v>
      </c>
      <c r="F300" s="82">
        <v>1.4</v>
      </c>
      <c r="G300" s="82">
        <v>1.88</v>
      </c>
      <c r="H300" s="83">
        <v>0.95</v>
      </c>
      <c r="I300" s="82">
        <v>0.1</v>
      </c>
      <c r="J300" s="84" t="s">
        <v>206</v>
      </c>
      <c r="K300" s="83">
        <f>E300*SQRT(F300^2+G300^2)*H300*I300</f>
        <v>0.22268129692455091</v>
      </c>
      <c r="L300" s="85"/>
    </row>
    <row r="301" spans="1:12" s="43" customFormat="1" ht="20.100000000000001" hidden="1" customHeight="1" outlineLevel="2" x14ac:dyDescent="0.25">
      <c r="A301" s="77"/>
      <c r="B301" s="78"/>
      <c r="C301" s="79" t="s">
        <v>210</v>
      </c>
      <c r="D301" s="80" t="s">
        <v>2</v>
      </c>
      <c r="E301" s="81">
        <v>1</v>
      </c>
      <c r="F301" s="82">
        <v>0.95</v>
      </c>
      <c r="G301" s="82">
        <v>1.01</v>
      </c>
      <c r="H301" s="83">
        <v>0.1</v>
      </c>
      <c r="I301" s="82"/>
      <c r="J301" s="84" t="s">
        <v>75</v>
      </c>
      <c r="K301" s="83">
        <f t="shared" ref="K301" si="80">ROUND(PRODUCT(E301:J301),3)</f>
        <v>9.6000000000000002E-2</v>
      </c>
      <c r="L301" s="85"/>
    </row>
    <row r="302" spans="1:12" s="43" customFormat="1" ht="20.100000000000001" hidden="1" customHeight="1" outlineLevel="2" thickBot="1" x14ac:dyDescent="0.3">
      <c r="A302" s="77"/>
      <c r="B302" s="78"/>
      <c r="C302" s="79" t="s">
        <v>209</v>
      </c>
      <c r="D302" s="80" t="s">
        <v>2</v>
      </c>
      <c r="E302" s="81">
        <v>1</v>
      </c>
      <c r="F302" s="82">
        <v>0.52500000000000002</v>
      </c>
      <c r="G302" s="82">
        <v>0.75</v>
      </c>
      <c r="H302" s="83">
        <v>0.95</v>
      </c>
      <c r="I302" s="82">
        <v>0.1</v>
      </c>
      <c r="J302" s="84" t="s">
        <v>206</v>
      </c>
      <c r="K302" s="83">
        <f>E302*SQRT(F302^2+G302^2)*H302*I302</f>
        <v>8.697170876210264E-2</v>
      </c>
      <c r="L302" s="85"/>
    </row>
    <row r="303" spans="1:12" s="42" customFormat="1" ht="24.95" hidden="1" customHeight="1" outlineLevel="1" x14ac:dyDescent="0.25">
      <c r="A303" s="66">
        <v>8.1999999999999993</v>
      </c>
      <c r="B303" s="59" t="s">
        <v>211</v>
      </c>
      <c r="C303" s="60"/>
      <c r="D303" s="61" t="s">
        <v>2</v>
      </c>
      <c r="E303" s="61"/>
      <c r="F303" s="62"/>
      <c r="G303" s="62"/>
      <c r="H303" s="62"/>
      <c r="I303" s="63"/>
      <c r="J303" s="61"/>
      <c r="K303" s="64">
        <f>SUBTOTAL(9,K304:K308)</f>
        <v>2.4356905796738308</v>
      </c>
      <c r="L303" s="67"/>
    </row>
    <row r="304" spans="1:12" s="43" customFormat="1" ht="20.100000000000001" hidden="1" customHeight="1" outlineLevel="2" x14ac:dyDescent="0.25">
      <c r="A304" s="68"/>
      <c r="B304" s="69"/>
      <c r="C304" s="70" t="s">
        <v>205</v>
      </c>
      <c r="D304" s="71" t="s">
        <v>2</v>
      </c>
      <c r="E304" s="72">
        <v>4</v>
      </c>
      <c r="F304" s="73">
        <v>0.875</v>
      </c>
      <c r="G304" s="73">
        <v>1.25</v>
      </c>
      <c r="H304" s="74">
        <v>0.9</v>
      </c>
      <c r="I304" s="73">
        <v>0.1</v>
      </c>
      <c r="J304" s="75" t="s">
        <v>206</v>
      </c>
      <c r="K304" s="74">
        <f>E304*SQRT(F304^2+G304^2)*H304*I304</f>
        <v>0.54929500270801668</v>
      </c>
      <c r="L304" s="76"/>
    </row>
    <row r="305" spans="1:12" s="43" customFormat="1" ht="20.100000000000001" hidden="1" customHeight="1" outlineLevel="2" x14ac:dyDescent="0.25">
      <c r="A305" s="77"/>
      <c r="B305" s="78"/>
      <c r="C305" s="79" t="s">
        <v>207</v>
      </c>
      <c r="D305" s="80" t="s">
        <v>2</v>
      </c>
      <c r="E305" s="81">
        <v>4</v>
      </c>
      <c r="F305" s="82">
        <v>0.9</v>
      </c>
      <c r="G305" s="82">
        <v>0.9</v>
      </c>
      <c r="H305" s="83">
        <v>0.1</v>
      </c>
      <c r="I305" s="82"/>
      <c r="J305" s="84" t="s">
        <v>75</v>
      </c>
      <c r="K305" s="83">
        <f t="shared" ref="K305" si="81">ROUND(PRODUCT(E305:J305),3)</f>
        <v>0.32400000000000001</v>
      </c>
      <c r="L305" s="85"/>
    </row>
    <row r="306" spans="1:12" s="43" customFormat="1" ht="20.100000000000001" hidden="1" customHeight="1" outlineLevel="2" x14ac:dyDescent="0.25">
      <c r="A306" s="77"/>
      <c r="B306" s="78"/>
      <c r="C306" s="79" t="s">
        <v>208</v>
      </c>
      <c r="D306" s="80" t="s">
        <v>2</v>
      </c>
      <c r="E306" s="81">
        <v>4</v>
      </c>
      <c r="F306" s="82">
        <v>0.7</v>
      </c>
      <c r="G306" s="82">
        <v>1.1000000000000001</v>
      </c>
      <c r="H306" s="83">
        <v>0.9</v>
      </c>
      <c r="I306" s="82">
        <v>0.1</v>
      </c>
      <c r="J306" s="84" t="s">
        <v>206</v>
      </c>
      <c r="K306" s="83">
        <f>E306*SQRT(F306^2+G306^2)*H306*I306</f>
        <v>0.4693825731745907</v>
      </c>
      <c r="L306" s="85"/>
    </row>
    <row r="307" spans="1:12" s="43" customFormat="1" ht="20.100000000000001" hidden="1" customHeight="1" outlineLevel="2" x14ac:dyDescent="0.25">
      <c r="A307" s="77"/>
      <c r="B307" s="78"/>
      <c r="C307" s="79" t="s">
        <v>210</v>
      </c>
      <c r="D307" s="80" t="s">
        <v>2</v>
      </c>
      <c r="E307" s="81">
        <v>4</v>
      </c>
      <c r="F307" s="82">
        <v>0.9</v>
      </c>
      <c r="G307" s="82">
        <v>0.9</v>
      </c>
      <c r="H307" s="83">
        <v>0.1</v>
      </c>
      <c r="I307" s="82"/>
      <c r="J307" s="84" t="s">
        <v>75</v>
      </c>
      <c r="K307" s="83">
        <f t="shared" ref="K307" si="82">ROUND(PRODUCT(E307:J307),3)</f>
        <v>0.32400000000000001</v>
      </c>
      <c r="L307" s="85"/>
    </row>
    <row r="308" spans="1:12" s="43" customFormat="1" ht="20.100000000000001" hidden="1" customHeight="1" outlineLevel="2" thickBot="1" x14ac:dyDescent="0.3">
      <c r="A308" s="96"/>
      <c r="B308" s="97"/>
      <c r="C308" s="98" t="s">
        <v>209</v>
      </c>
      <c r="D308" s="99" t="s">
        <v>2</v>
      </c>
      <c r="E308" s="100">
        <v>4</v>
      </c>
      <c r="F308" s="101">
        <v>1.2250000000000001</v>
      </c>
      <c r="G308" s="101">
        <f>7*250/1000</f>
        <v>1.75</v>
      </c>
      <c r="H308" s="102">
        <v>0.9</v>
      </c>
      <c r="I308" s="101">
        <v>0.1</v>
      </c>
      <c r="J308" s="103" t="s">
        <v>206</v>
      </c>
      <c r="K308" s="102">
        <f>E308*SQRT(F308^2+G308^2)*H308*I308</f>
        <v>0.76901300379122339</v>
      </c>
      <c r="L308" s="104"/>
    </row>
    <row r="309" spans="1:12" s="42" customFormat="1" ht="36.75" customHeight="1" collapsed="1" thickBot="1" x14ac:dyDescent="0.3">
      <c r="A309" s="58">
        <v>29</v>
      </c>
      <c r="B309" s="59" t="s">
        <v>213</v>
      </c>
      <c r="C309" s="60"/>
      <c r="D309" s="61" t="s">
        <v>4</v>
      </c>
      <c r="E309" s="61"/>
      <c r="F309" s="62"/>
      <c r="G309" s="62"/>
      <c r="H309" s="62"/>
      <c r="I309" s="63"/>
      <c r="J309" s="61"/>
      <c r="K309" s="64">
        <f>SUBTOTAL(9,K310:K327)</f>
        <v>30.371819676775889</v>
      </c>
      <c r="L309" s="65"/>
    </row>
    <row r="310" spans="1:12" s="42" customFormat="1" ht="24.95" hidden="1" customHeight="1" outlineLevel="1" x14ac:dyDescent="0.25">
      <c r="A310" s="66">
        <v>9.1</v>
      </c>
      <c r="B310" s="59" t="s">
        <v>167</v>
      </c>
      <c r="C310" s="60"/>
      <c r="D310" s="61" t="s">
        <v>4</v>
      </c>
      <c r="E310" s="61"/>
      <c r="F310" s="62"/>
      <c r="G310" s="62"/>
      <c r="H310" s="62"/>
      <c r="I310" s="63"/>
      <c r="J310" s="61"/>
      <c r="K310" s="64">
        <f>SUBTOTAL(9,K311:K318)</f>
        <v>6.9445910137333247</v>
      </c>
      <c r="L310" s="67"/>
    </row>
    <row r="311" spans="1:12" s="43" customFormat="1" ht="20.100000000000001" hidden="1" customHeight="1" outlineLevel="2" x14ac:dyDescent="0.25">
      <c r="A311" s="68"/>
      <c r="B311" s="69"/>
      <c r="C311" s="79" t="s">
        <v>205</v>
      </c>
      <c r="D311" s="80" t="s">
        <v>4</v>
      </c>
      <c r="E311" s="81">
        <v>1</v>
      </c>
      <c r="F311" s="82">
        <v>0.875</v>
      </c>
      <c r="G311" s="82">
        <v>1.25</v>
      </c>
      <c r="H311" s="83">
        <v>0.95</v>
      </c>
      <c r="I311" s="82"/>
      <c r="J311" s="84" t="s">
        <v>206</v>
      </c>
      <c r="K311" s="83">
        <f>E311*SQRT(F311^2+G311^2)*H311</f>
        <v>1.4495284793683771</v>
      </c>
      <c r="L311" s="76"/>
    </row>
    <row r="312" spans="1:12" s="43" customFormat="1" ht="20.100000000000001" hidden="1" customHeight="1" outlineLevel="2" x14ac:dyDescent="0.25">
      <c r="A312" s="86"/>
      <c r="B312" s="87"/>
      <c r="C312" s="79"/>
      <c r="D312" s="80" t="s">
        <v>4</v>
      </c>
      <c r="E312" s="81">
        <v>1</v>
      </c>
      <c r="F312" s="82">
        <v>0.875</v>
      </c>
      <c r="G312" s="82">
        <v>1.25</v>
      </c>
      <c r="H312" s="83">
        <v>0.1</v>
      </c>
      <c r="I312" s="82"/>
      <c r="J312" s="84" t="s">
        <v>206</v>
      </c>
      <c r="K312" s="83">
        <f>E312*SQRT(F312^2+G312^2)*H312</f>
        <v>0.15258194519667129</v>
      </c>
      <c r="L312" s="89"/>
    </row>
    <row r="313" spans="1:12" s="43" customFormat="1" ht="20.100000000000001" hidden="1" customHeight="1" outlineLevel="2" x14ac:dyDescent="0.25">
      <c r="A313" s="77"/>
      <c r="B313" s="78"/>
      <c r="C313" s="79" t="s">
        <v>207</v>
      </c>
      <c r="D313" s="80" t="s">
        <v>4</v>
      </c>
      <c r="E313" s="81">
        <v>1</v>
      </c>
      <c r="F313" s="82">
        <v>0.95</v>
      </c>
      <c r="G313" s="82">
        <v>1.01</v>
      </c>
      <c r="H313" s="83"/>
      <c r="I313" s="82"/>
      <c r="J313" s="84" t="s">
        <v>75</v>
      </c>
      <c r="K313" s="83">
        <f t="shared" ref="K313" si="83">ROUND(PRODUCT(E313:J313),3)</f>
        <v>0.96</v>
      </c>
      <c r="L313" s="85"/>
    </row>
    <row r="314" spans="1:12" s="43" customFormat="1" ht="20.100000000000001" hidden="1" customHeight="1" outlineLevel="2" x14ac:dyDescent="0.25">
      <c r="A314" s="77"/>
      <c r="B314" s="78"/>
      <c r="C314" s="79" t="s">
        <v>208</v>
      </c>
      <c r="D314" s="80" t="s">
        <v>4</v>
      </c>
      <c r="E314" s="81">
        <v>1</v>
      </c>
      <c r="F314" s="82">
        <v>1.4</v>
      </c>
      <c r="G314" s="82">
        <v>1.88</v>
      </c>
      <c r="H314" s="83">
        <v>0.95</v>
      </c>
      <c r="I314" s="82"/>
      <c r="J314" s="84" t="s">
        <v>206</v>
      </c>
      <c r="K314" s="83">
        <f>E314*SQRT(F314^2+G314^2)*H314</f>
        <v>2.226812969245509</v>
      </c>
      <c r="L314" s="85"/>
    </row>
    <row r="315" spans="1:12" s="43" customFormat="1" ht="20.100000000000001" hidden="1" customHeight="1" outlineLevel="2" x14ac:dyDescent="0.25">
      <c r="A315" s="77"/>
      <c r="B315" s="78"/>
      <c r="C315" s="79"/>
      <c r="D315" s="80" t="s">
        <v>4</v>
      </c>
      <c r="E315" s="81">
        <v>1</v>
      </c>
      <c r="F315" s="82">
        <v>1.4</v>
      </c>
      <c r="G315" s="82">
        <v>1.88</v>
      </c>
      <c r="H315" s="83">
        <v>0.1</v>
      </c>
      <c r="I315" s="82"/>
      <c r="J315" s="84" t="s">
        <v>206</v>
      </c>
      <c r="K315" s="83">
        <f>E315*SQRT(F315^2+G315^2)*H315</f>
        <v>0.23440136518373778</v>
      </c>
      <c r="L315" s="85"/>
    </row>
    <row r="316" spans="1:12" s="43" customFormat="1" ht="20.100000000000001" hidden="1" customHeight="1" outlineLevel="2" x14ac:dyDescent="0.25">
      <c r="A316" s="77"/>
      <c r="B316" s="78"/>
      <c r="C316" s="79" t="s">
        <v>210</v>
      </c>
      <c r="D316" s="80" t="s">
        <v>4</v>
      </c>
      <c r="E316" s="81">
        <v>1</v>
      </c>
      <c r="F316" s="82">
        <v>0.95</v>
      </c>
      <c r="G316" s="82">
        <v>1.01</v>
      </c>
      <c r="H316" s="83"/>
      <c r="I316" s="82"/>
      <c r="J316" s="84" t="s">
        <v>75</v>
      </c>
      <c r="K316" s="83">
        <f t="shared" ref="K316" si="84">ROUND(PRODUCT(E316:J316),3)</f>
        <v>0.96</v>
      </c>
      <c r="L316" s="85"/>
    </row>
    <row r="317" spans="1:12" s="43" customFormat="1" ht="20.100000000000001" hidden="1" customHeight="1" outlineLevel="2" x14ac:dyDescent="0.25">
      <c r="A317" s="77"/>
      <c r="B317" s="78"/>
      <c r="C317" s="79" t="s">
        <v>209</v>
      </c>
      <c r="D317" s="80" t="s">
        <v>4</v>
      </c>
      <c r="E317" s="81">
        <v>1</v>
      </c>
      <c r="F317" s="82">
        <v>0.52500000000000002</v>
      </c>
      <c r="G317" s="82">
        <v>0.75</v>
      </c>
      <c r="H317" s="83">
        <v>0.95</v>
      </c>
      <c r="I317" s="82"/>
      <c r="J317" s="84" t="s">
        <v>206</v>
      </c>
      <c r="K317" s="83">
        <f>E317*SQRT(F317^2+G317^2)*H317</f>
        <v>0.86971708762102629</v>
      </c>
      <c r="L317" s="85"/>
    </row>
    <row r="318" spans="1:12" s="43" customFormat="1" ht="20.100000000000001" hidden="1" customHeight="1" outlineLevel="2" thickBot="1" x14ac:dyDescent="0.3">
      <c r="A318" s="122"/>
      <c r="B318" s="123"/>
      <c r="C318" s="124"/>
      <c r="D318" s="80" t="s">
        <v>4</v>
      </c>
      <c r="E318" s="81">
        <v>1</v>
      </c>
      <c r="F318" s="82">
        <v>0.52500000000000002</v>
      </c>
      <c r="G318" s="82">
        <v>0.75</v>
      </c>
      <c r="H318" s="83">
        <v>0.1</v>
      </c>
      <c r="I318" s="82"/>
      <c r="J318" s="84" t="s">
        <v>206</v>
      </c>
      <c r="K318" s="83">
        <f>E318*SQRT(F318^2+G318^2)*H318</f>
        <v>9.1549167118002775E-2</v>
      </c>
      <c r="L318" s="125"/>
    </row>
    <row r="319" spans="1:12" s="42" customFormat="1" ht="24.95" hidden="1" customHeight="1" outlineLevel="1" x14ac:dyDescent="0.25">
      <c r="A319" s="66">
        <v>9.1999999999999993</v>
      </c>
      <c r="B319" s="59" t="s">
        <v>211</v>
      </c>
      <c r="C319" s="60"/>
      <c r="D319" s="61" t="s">
        <v>4</v>
      </c>
      <c r="E319" s="61"/>
      <c r="F319" s="62"/>
      <c r="G319" s="62"/>
      <c r="H319" s="62"/>
      <c r="I319" s="63"/>
      <c r="J319" s="61"/>
      <c r="K319" s="64">
        <f>SUBTOTAL(9,K320:K327)</f>
        <v>23.427228663042563</v>
      </c>
      <c r="L319" s="67"/>
    </row>
    <row r="320" spans="1:12" s="43" customFormat="1" ht="20.100000000000001" hidden="1" customHeight="1" outlineLevel="2" x14ac:dyDescent="0.25">
      <c r="A320" s="68"/>
      <c r="B320" s="69"/>
      <c r="C320" s="70" t="s">
        <v>205</v>
      </c>
      <c r="D320" s="71" t="s">
        <v>4</v>
      </c>
      <c r="E320" s="72">
        <v>4</v>
      </c>
      <c r="F320" s="73">
        <v>0.875</v>
      </c>
      <c r="G320" s="73">
        <v>1.25</v>
      </c>
      <c r="H320" s="74">
        <v>0.9</v>
      </c>
      <c r="I320" s="73"/>
      <c r="J320" s="75" t="s">
        <v>206</v>
      </c>
      <c r="K320" s="74">
        <f>E320*SQRT(F320^2+G320^2)*H320</f>
        <v>5.4929500270801661</v>
      </c>
      <c r="L320" s="76"/>
    </row>
    <row r="321" spans="1:12" s="43" customFormat="1" ht="20.100000000000001" hidden="1" customHeight="1" outlineLevel="2" x14ac:dyDescent="0.25">
      <c r="A321" s="77"/>
      <c r="B321" s="78"/>
      <c r="C321" s="79"/>
      <c r="D321" s="80" t="s">
        <v>4</v>
      </c>
      <c r="E321" s="81">
        <v>4</v>
      </c>
      <c r="F321" s="82">
        <v>0.875</v>
      </c>
      <c r="G321" s="82">
        <v>1.25</v>
      </c>
      <c r="H321" s="83">
        <v>0.1</v>
      </c>
      <c r="I321" s="82"/>
      <c r="J321" s="84" t="s">
        <v>206</v>
      </c>
      <c r="K321" s="83">
        <f>E321*SQRT(F321^2+G321^2)*H321</f>
        <v>0.61032778078668515</v>
      </c>
      <c r="L321" s="85"/>
    </row>
    <row r="322" spans="1:12" s="43" customFormat="1" ht="20.100000000000001" hidden="1" customHeight="1" outlineLevel="2" x14ac:dyDescent="0.25">
      <c r="A322" s="77"/>
      <c r="B322" s="78"/>
      <c r="C322" s="79" t="s">
        <v>207</v>
      </c>
      <c r="D322" s="80" t="s">
        <v>4</v>
      </c>
      <c r="E322" s="81">
        <v>4</v>
      </c>
      <c r="F322" s="82">
        <v>0.9</v>
      </c>
      <c r="G322" s="82">
        <v>0.9</v>
      </c>
      <c r="H322" s="83"/>
      <c r="I322" s="82"/>
      <c r="J322" s="84" t="s">
        <v>75</v>
      </c>
      <c r="K322" s="83">
        <f t="shared" ref="K322" si="85">ROUND(PRODUCT(E322:J322),3)</f>
        <v>3.24</v>
      </c>
      <c r="L322" s="85"/>
    </row>
    <row r="323" spans="1:12" s="43" customFormat="1" ht="20.100000000000001" hidden="1" customHeight="1" outlineLevel="2" x14ac:dyDescent="0.25">
      <c r="A323" s="77"/>
      <c r="B323" s="78"/>
      <c r="C323" s="79" t="s">
        <v>208</v>
      </c>
      <c r="D323" s="80" t="s">
        <v>4</v>
      </c>
      <c r="E323" s="81">
        <v>4</v>
      </c>
      <c r="F323" s="82">
        <v>0.7</v>
      </c>
      <c r="G323" s="82">
        <v>1.1000000000000001</v>
      </c>
      <c r="H323" s="83">
        <v>0.9</v>
      </c>
      <c r="I323" s="82"/>
      <c r="J323" s="84" t="s">
        <v>206</v>
      </c>
      <c r="K323" s="83">
        <f>E323*SQRT(F323^2+G323^2)*H323</f>
        <v>4.6938257317459069</v>
      </c>
      <c r="L323" s="85"/>
    </row>
    <row r="324" spans="1:12" s="43" customFormat="1" ht="20.100000000000001" hidden="1" customHeight="1" outlineLevel="2" x14ac:dyDescent="0.25">
      <c r="A324" s="77"/>
      <c r="B324" s="78"/>
      <c r="C324" s="79"/>
      <c r="D324" s="80" t="s">
        <v>4</v>
      </c>
      <c r="E324" s="81">
        <v>4</v>
      </c>
      <c r="F324" s="82">
        <v>0.7</v>
      </c>
      <c r="G324" s="82">
        <v>1.1000000000000001</v>
      </c>
      <c r="H324" s="83">
        <v>0.1</v>
      </c>
      <c r="I324" s="82"/>
      <c r="J324" s="84" t="s">
        <v>206</v>
      </c>
      <c r="K324" s="83">
        <f>E324*SQRT(F324^2+G324^2)*H324</f>
        <v>0.52153619241621196</v>
      </c>
      <c r="L324" s="85"/>
    </row>
    <row r="325" spans="1:12" s="43" customFormat="1" ht="20.100000000000001" hidden="1" customHeight="1" outlineLevel="2" x14ac:dyDescent="0.25">
      <c r="A325" s="77"/>
      <c r="B325" s="78"/>
      <c r="C325" s="79" t="s">
        <v>210</v>
      </c>
      <c r="D325" s="80" t="s">
        <v>4</v>
      </c>
      <c r="E325" s="81">
        <v>4</v>
      </c>
      <c r="F325" s="82">
        <v>0.9</v>
      </c>
      <c r="G325" s="82">
        <v>0.9</v>
      </c>
      <c r="H325" s="83">
        <v>0.1</v>
      </c>
      <c r="I325" s="82"/>
      <c r="J325" s="84" t="s">
        <v>75</v>
      </c>
      <c r="K325" s="83">
        <f t="shared" ref="K325" si="86">ROUND(PRODUCT(E325:J325),3)</f>
        <v>0.32400000000000001</v>
      </c>
      <c r="L325" s="85"/>
    </row>
    <row r="326" spans="1:12" s="43" customFormat="1" ht="20.100000000000001" hidden="1" customHeight="1" outlineLevel="2" x14ac:dyDescent="0.25">
      <c r="A326" s="77"/>
      <c r="B326" s="78"/>
      <c r="C326" s="79" t="s">
        <v>209</v>
      </c>
      <c r="D326" s="80" t="s">
        <v>4</v>
      </c>
      <c r="E326" s="81">
        <v>4</v>
      </c>
      <c r="F326" s="82">
        <v>1.2250000000000001</v>
      </c>
      <c r="G326" s="82">
        <f>7*250/1000</f>
        <v>1.75</v>
      </c>
      <c r="H326" s="83">
        <v>0.9</v>
      </c>
      <c r="I326" s="82"/>
      <c r="J326" s="84" t="s">
        <v>206</v>
      </c>
      <c r="K326" s="83">
        <f>E326*SQRT(F326^2+G326^2)*H326</f>
        <v>7.6901300379122333</v>
      </c>
      <c r="L326" s="85"/>
    </row>
    <row r="327" spans="1:12" s="43" customFormat="1" ht="20.100000000000001" hidden="1" customHeight="1" outlineLevel="2" thickBot="1" x14ac:dyDescent="0.3">
      <c r="A327" s="90"/>
      <c r="B327" s="91"/>
      <c r="C327" s="117"/>
      <c r="D327" s="120" t="s">
        <v>4</v>
      </c>
      <c r="E327" s="121">
        <v>4</v>
      </c>
      <c r="F327" s="92">
        <v>1.2250000000000001</v>
      </c>
      <c r="G327" s="92">
        <f>7*250/1000</f>
        <v>1.75</v>
      </c>
      <c r="H327" s="94">
        <v>0.1</v>
      </c>
      <c r="I327" s="92"/>
      <c r="J327" s="93" t="s">
        <v>206</v>
      </c>
      <c r="K327" s="94">
        <f>E327*SQRT(F327^2+G327^2)*H327</f>
        <v>0.85445889310135925</v>
      </c>
      <c r="L327" s="95"/>
    </row>
    <row r="328" spans="1:12" s="42" customFormat="1" ht="36.75" customHeight="1" collapsed="1" thickBot="1" x14ac:dyDescent="0.3">
      <c r="A328" s="58">
        <v>30</v>
      </c>
      <c r="B328" s="59" t="s">
        <v>330</v>
      </c>
      <c r="C328" s="60"/>
      <c r="D328" s="61" t="s">
        <v>2</v>
      </c>
      <c r="E328" s="61"/>
      <c r="F328" s="62"/>
      <c r="G328" s="62"/>
      <c r="H328" s="62"/>
      <c r="I328" s="63"/>
      <c r="J328" s="61"/>
      <c r="K328" s="64">
        <f>SUBTOTAL(9,K329:K340)</f>
        <v>16.353999999999999</v>
      </c>
      <c r="L328" s="65"/>
    </row>
    <row r="329" spans="1:12" s="42" customFormat="1" ht="24.95" hidden="1" customHeight="1" outlineLevel="1" x14ac:dyDescent="0.25">
      <c r="A329" s="66">
        <v>10.1</v>
      </c>
      <c r="B329" s="59" t="s">
        <v>167</v>
      </c>
      <c r="C329" s="60"/>
      <c r="D329" s="61" t="s">
        <v>2</v>
      </c>
      <c r="E329" s="61"/>
      <c r="F329" s="62"/>
      <c r="G329" s="62"/>
      <c r="H329" s="62"/>
      <c r="I329" s="63"/>
      <c r="J329" s="61"/>
      <c r="K329" s="64">
        <f>SUBTOTAL(9,K330:K332)</f>
        <v>2.419</v>
      </c>
      <c r="L329" s="67"/>
    </row>
    <row r="330" spans="1:12" s="43" customFormat="1" ht="20.100000000000001" hidden="1" customHeight="1" outlineLevel="2" x14ac:dyDescent="0.25">
      <c r="A330" s="68"/>
      <c r="B330" s="69" t="s">
        <v>214</v>
      </c>
      <c r="C330" s="79" t="s">
        <v>215</v>
      </c>
      <c r="D330" s="80" t="s">
        <v>2</v>
      </c>
      <c r="E330" s="81">
        <v>1</v>
      </c>
      <c r="F330" s="82">
        <v>4.16</v>
      </c>
      <c r="G330" s="82">
        <v>0.22</v>
      </c>
      <c r="H330" s="83">
        <f>2.85-0.4</f>
        <v>2.4500000000000002</v>
      </c>
      <c r="I330" s="82"/>
      <c r="J330" s="84" t="s">
        <v>75</v>
      </c>
      <c r="K330" s="83">
        <f t="shared" ref="K330" si="87">ROUND(PRODUCT(E330:J330),3)</f>
        <v>2.242</v>
      </c>
      <c r="L330" s="76"/>
    </row>
    <row r="331" spans="1:12" s="43" customFormat="1" ht="20.100000000000001" hidden="1" customHeight="1" outlineLevel="2" x14ac:dyDescent="0.25">
      <c r="A331" s="86"/>
      <c r="B331" s="87"/>
      <c r="C331" s="79" t="s">
        <v>168</v>
      </c>
      <c r="D331" s="80" t="s">
        <v>2</v>
      </c>
      <c r="E331" s="81">
        <v>1</v>
      </c>
      <c r="F331" s="82">
        <v>2.56</v>
      </c>
      <c r="G331" s="82">
        <v>0.22</v>
      </c>
      <c r="H331" s="83">
        <f>3.15-0.3</f>
        <v>2.85</v>
      </c>
      <c r="I331" s="82"/>
      <c r="J331" s="84" t="s">
        <v>75</v>
      </c>
      <c r="K331" s="83">
        <f t="shared" ref="K331" si="88">ROUND(PRODUCT(E331:J331),3)</f>
        <v>1.605</v>
      </c>
      <c r="L331" s="89"/>
    </row>
    <row r="332" spans="1:12" s="43" customFormat="1" ht="20.100000000000001" hidden="1" customHeight="1" outlineLevel="2" thickBot="1" x14ac:dyDescent="0.3">
      <c r="A332" s="77"/>
      <c r="B332" s="78"/>
      <c r="C332" s="79" t="s">
        <v>216</v>
      </c>
      <c r="D332" s="80" t="s">
        <v>2</v>
      </c>
      <c r="E332" s="81">
        <v>-1</v>
      </c>
      <c r="F332" s="82">
        <v>2.4</v>
      </c>
      <c r="G332" s="82">
        <v>0.22</v>
      </c>
      <c r="H332" s="83">
        <v>2.7050000000000001</v>
      </c>
      <c r="I332" s="82"/>
      <c r="J332" s="84" t="s">
        <v>75</v>
      </c>
      <c r="K332" s="83">
        <f t="shared" ref="K332" si="89">ROUND(PRODUCT(E332:J332),3)</f>
        <v>-1.4279999999999999</v>
      </c>
      <c r="L332" s="85"/>
    </row>
    <row r="333" spans="1:12" s="42" customFormat="1" ht="24.95" hidden="1" customHeight="1" outlineLevel="1" x14ac:dyDescent="0.25">
      <c r="A333" s="66">
        <v>10.199999999999999</v>
      </c>
      <c r="B333" s="59" t="s">
        <v>55</v>
      </c>
      <c r="C333" s="60"/>
      <c r="D333" s="61" t="s">
        <v>2</v>
      </c>
      <c r="E333" s="61"/>
      <c r="F333" s="62"/>
      <c r="G333" s="62"/>
      <c r="H333" s="62"/>
      <c r="I333" s="63"/>
      <c r="J333" s="61"/>
      <c r="K333" s="64">
        <f>SUBTOTAL(9,K334:K337)</f>
        <v>5.0129999999999999</v>
      </c>
      <c r="L333" s="67"/>
    </row>
    <row r="334" spans="1:12" s="43" customFormat="1" ht="20.100000000000001" hidden="1" customHeight="1" outlineLevel="2" x14ac:dyDescent="0.25">
      <c r="A334" s="68"/>
      <c r="B334" s="69" t="s">
        <v>218</v>
      </c>
      <c r="C334" s="70" t="s">
        <v>215</v>
      </c>
      <c r="D334" s="71" t="s">
        <v>2</v>
      </c>
      <c r="E334" s="72">
        <v>2</v>
      </c>
      <c r="F334" s="73">
        <v>4.16</v>
      </c>
      <c r="G334" s="73">
        <v>0.22</v>
      </c>
      <c r="H334" s="74">
        <f>2.8-0.4</f>
        <v>2.4</v>
      </c>
      <c r="I334" s="73"/>
      <c r="J334" s="75" t="s">
        <v>75</v>
      </c>
      <c r="K334" s="74">
        <f t="shared" ref="K334:K335" si="90">ROUND(PRODUCT(E334:J334),3)</f>
        <v>4.3929999999999998</v>
      </c>
      <c r="L334" s="76"/>
    </row>
    <row r="335" spans="1:12" s="43" customFormat="1" ht="20.100000000000001" hidden="1" customHeight="1" outlineLevel="2" x14ac:dyDescent="0.25">
      <c r="A335" s="77"/>
      <c r="B335" s="78"/>
      <c r="C335" s="79" t="s">
        <v>168</v>
      </c>
      <c r="D335" s="80" t="s">
        <v>2</v>
      </c>
      <c r="E335" s="81">
        <v>1</v>
      </c>
      <c r="F335" s="82">
        <v>2.56</v>
      </c>
      <c r="G335" s="82">
        <v>0.22</v>
      </c>
      <c r="H335" s="83">
        <v>2.9750000000000001</v>
      </c>
      <c r="I335" s="82"/>
      <c r="J335" s="84" t="s">
        <v>75</v>
      </c>
      <c r="K335" s="83">
        <f t="shared" si="90"/>
        <v>1.6759999999999999</v>
      </c>
      <c r="L335" s="85"/>
    </row>
    <row r="336" spans="1:12" s="43" customFormat="1" ht="20.100000000000001" hidden="1" customHeight="1" outlineLevel="2" x14ac:dyDescent="0.25">
      <c r="A336" s="105"/>
      <c r="B336" s="106"/>
      <c r="C336" s="126" t="s">
        <v>220</v>
      </c>
      <c r="D336" s="80" t="s">
        <v>2</v>
      </c>
      <c r="E336" s="81">
        <v>-1</v>
      </c>
      <c r="F336" s="82">
        <v>2.4</v>
      </c>
      <c r="G336" s="82">
        <v>0.22</v>
      </c>
      <c r="H336" s="83">
        <v>2.9249999999999998</v>
      </c>
      <c r="I336" s="82"/>
      <c r="J336" s="84" t="s">
        <v>75</v>
      </c>
      <c r="K336" s="83">
        <f t="shared" ref="K336" si="91">ROUND(PRODUCT(E336:J336),3)</f>
        <v>-1.544</v>
      </c>
      <c r="L336" s="107"/>
    </row>
    <row r="337" spans="1:12" s="43" customFormat="1" ht="20.100000000000001" hidden="1" customHeight="1" outlineLevel="2" thickBot="1" x14ac:dyDescent="0.3">
      <c r="A337" s="96"/>
      <c r="B337" s="97" t="s">
        <v>217</v>
      </c>
      <c r="C337" s="98" t="s">
        <v>163</v>
      </c>
      <c r="D337" s="99" t="s">
        <v>2</v>
      </c>
      <c r="E337" s="100">
        <v>1</v>
      </c>
      <c r="F337" s="101">
        <v>0.746</v>
      </c>
      <c r="G337" s="101">
        <v>0.22</v>
      </c>
      <c r="H337" s="102">
        <v>2.9750000000000001</v>
      </c>
      <c r="I337" s="101"/>
      <c r="J337" s="103" t="s">
        <v>75</v>
      </c>
      <c r="K337" s="102">
        <f t="shared" ref="K337" si="92">ROUND(PRODUCT(E337:J337),3)</f>
        <v>0.48799999999999999</v>
      </c>
      <c r="L337" s="104"/>
    </row>
    <row r="338" spans="1:12" s="42" customFormat="1" ht="24.95" hidden="1" customHeight="1" outlineLevel="1" x14ac:dyDescent="0.25">
      <c r="A338" s="66">
        <v>10.3</v>
      </c>
      <c r="B338" s="59" t="s">
        <v>184</v>
      </c>
      <c r="C338" s="60"/>
      <c r="D338" s="61" t="s">
        <v>2</v>
      </c>
      <c r="E338" s="61"/>
      <c r="F338" s="62"/>
      <c r="G338" s="62"/>
      <c r="H338" s="62"/>
      <c r="I338" s="63"/>
      <c r="J338" s="61"/>
      <c r="K338" s="64">
        <f>SUBTOTAL(9,K339:K340)</f>
        <v>8.9220000000000006</v>
      </c>
      <c r="L338" s="67"/>
    </row>
    <row r="339" spans="1:12" s="43" customFormat="1" ht="20.100000000000001" hidden="1" customHeight="1" outlineLevel="2" x14ac:dyDescent="0.25">
      <c r="A339" s="68"/>
      <c r="B339" s="69" t="s">
        <v>217</v>
      </c>
      <c r="C339" s="70" t="s">
        <v>215</v>
      </c>
      <c r="D339" s="71" t="s">
        <v>2</v>
      </c>
      <c r="E339" s="72">
        <v>4</v>
      </c>
      <c r="F339" s="73">
        <v>2.91</v>
      </c>
      <c r="G339" s="73">
        <v>0.22</v>
      </c>
      <c r="H339" s="74">
        <f>2.975-0.3</f>
        <v>2.6750000000000003</v>
      </c>
      <c r="I339" s="73"/>
      <c r="J339" s="75" t="s">
        <v>75</v>
      </c>
      <c r="K339" s="74">
        <f t="shared" ref="K339:K340" si="93">ROUND(PRODUCT(E339:J339),3)</f>
        <v>6.85</v>
      </c>
      <c r="L339" s="76"/>
    </row>
    <row r="340" spans="1:12" s="43" customFormat="1" ht="20.100000000000001" hidden="1" customHeight="1" outlineLevel="2" thickBot="1" x14ac:dyDescent="0.3">
      <c r="A340" s="96"/>
      <c r="B340" s="97"/>
      <c r="C340" s="98" t="s">
        <v>219</v>
      </c>
      <c r="D340" s="99" t="s">
        <v>2</v>
      </c>
      <c r="E340" s="100">
        <v>8</v>
      </c>
      <c r="F340" s="101">
        <v>0.44</v>
      </c>
      <c r="G340" s="101">
        <v>0.22</v>
      </c>
      <c r="H340" s="102">
        <v>2.6749999999999998</v>
      </c>
      <c r="I340" s="101"/>
      <c r="J340" s="103" t="s">
        <v>75</v>
      </c>
      <c r="K340" s="102">
        <f t="shared" si="93"/>
        <v>2.0720000000000001</v>
      </c>
      <c r="L340" s="104"/>
    </row>
    <row r="341" spans="1:12" s="42" customFormat="1" ht="36.75" customHeight="1" collapsed="1" thickBot="1" x14ac:dyDescent="0.3">
      <c r="A341" s="58">
        <v>31</v>
      </c>
      <c r="B341" s="59" t="s">
        <v>331</v>
      </c>
      <c r="C341" s="60"/>
      <c r="D341" s="61" t="s">
        <v>2</v>
      </c>
      <c r="E341" s="61"/>
      <c r="F341" s="62"/>
      <c r="G341" s="62"/>
      <c r="H341" s="62"/>
      <c r="I341" s="63"/>
      <c r="J341" s="61"/>
      <c r="K341" s="64">
        <f>SUBTOTAL(9,K342:K424)</f>
        <v>50.050000000000018</v>
      </c>
      <c r="L341" s="65"/>
    </row>
    <row r="342" spans="1:12" s="42" customFormat="1" ht="24.95" hidden="1" customHeight="1" outlineLevel="1" x14ac:dyDescent="0.25">
      <c r="A342" s="66">
        <v>11.1</v>
      </c>
      <c r="B342" s="59" t="s">
        <v>167</v>
      </c>
      <c r="C342" s="60"/>
      <c r="D342" s="61" t="s">
        <v>2</v>
      </c>
      <c r="E342" s="61"/>
      <c r="F342" s="62"/>
      <c r="G342" s="62"/>
      <c r="H342" s="62"/>
      <c r="I342" s="63"/>
      <c r="J342" s="61"/>
      <c r="K342" s="64">
        <f>SUBTOTAL(9,K343:K352)</f>
        <v>6.7429999999999994</v>
      </c>
      <c r="L342" s="67"/>
    </row>
    <row r="343" spans="1:12" s="43" customFormat="1" ht="20.100000000000001" hidden="1" customHeight="1" outlineLevel="2" x14ac:dyDescent="0.25">
      <c r="A343" s="68"/>
      <c r="B343" s="69" t="s">
        <v>218</v>
      </c>
      <c r="C343" s="79" t="s">
        <v>163</v>
      </c>
      <c r="D343" s="80" t="s">
        <v>2</v>
      </c>
      <c r="E343" s="81">
        <v>2</v>
      </c>
      <c r="F343" s="82">
        <v>4.3600000000000003</v>
      </c>
      <c r="G343" s="82">
        <v>0.11</v>
      </c>
      <c r="H343" s="83">
        <f>3.15-0.4</f>
        <v>2.75</v>
      </c>
      <c r="I343" s="82"/>
      <c r="J343" s="84" t="s">
        <v>75</v>
      </c>
      <c r="K343" s="83">
        <f t="shared" ref="K343:K345" si="94">ROUND(PRODUCT(E343:J343),3)</f>
        <v>2.6379999999999999</v>
      </c>
      <c r="L343" s="76"/>
    </row>
    <row r="344" spans="1:12" s="43" customFormat="1" ht="20.100000000000001" hidden="1" customHeight="1" outlineLevel="2" x14ac:dyDescent="0.25">
      <c r="A344" s="86"/>
      <c r="B344" s="87" t="s">
        <v>218</v>
      </c>
      <c r="C344" s="79" t="s">
        <v>221</v>
      </c>
      <c r="D344" s="80" t="s">
        <v>2</v>
      </c>
      <c r="E344" s="81">
        <v>1</v>
      </c>
      <c r="F344" s="82">
        <v>4.16</v>
      </c>
      <c r="G344" s="82">
        <v>0.11</v>
      </c>
      <c r="H344" s="83">
        <f>2.85-0.4</f>
        <v>2.4500000000000002</v>
      </c>
      <c r="I344" s="82"/>
      <c r="J344" s="84" t="s">
        <v>75</v>
      </c>
      <c r="K344" s="83">
        <f t="shared" ref="K344" si="95">ROUND(PRODUCT(E344:J344),3)</f>
        <v>1.121</v>
      </c>
      <c r="L344" s="89"/>
    </row>
    <row r="345" spans="1:12" s="43" customFormat="1" ht="20.100000000000001" hidden="1" customHeight="1" outlineLevel="2" x14ac:dyDescent="0.25">
      <c r="A345" s="86"/>
      <c r="B345" s="87" t="s">
        <v>218</v>
      </c>
      <c r="C345" s="79" t="s">
        <v>222</v>
      </c>
      <c r="D345" s="80" t="s">
        <v>2</v>
      </c>
      <c r="E345" s="81">
        <v>2</v>
      </c>
      <c r="F345" s="82">
        <v>3.38</v>
      </c>
      <c r="G345" s="82">
        <v>0.11</v>
      </c>
      <c r="H345" s="83">
        <f>2.85-0.4</f>
        <v>2.4500000000000002</v>
      </c>
      <c r="I345" s="82"/>
      <c r="J345" s="84" t="s">
        <v>75</v>
      </c>
      <c r="K345" s="83">
        <f t="shared" si="94"/>
        <v>1.8220000000000001</v>
      </c>
      <c r="L345" s="89"/>
    </row>
    <row r="346" spans="1:12" s="43" customFormat="1" ht="20.100000000000001" hidden="1" customHeight="1" outlineLevel="2" x14ac:dyDescent="0.25">
      <c r="A346" s="86"/>
      <c r="B346" s="87"/>
      <c r="C346" s="79" t="s">
        <v>169</v>
      </c>
      <c r="D346" s="80" t="s">
        <v>2</v>
      </c>
      <c r="E346" s="81">
        <v>1</v>
      </c>
      <c r="F346" s="82">
        <v>2.56</v>
      </c>
      <c r="G346" s="82">
        <v>0.11</v>
      </c>
      <c r="H346" s="83">
        <f>2.85-0.4</f>
        <v>2.4500000000000002</v>
      </c>
      <c r="I346" s="82"/>
      <c r="J346" s="84" t="s">
        <v>75</v>
      </c>
      <c r="K346" s="83">
        <f t="shared" ref="K346" si="96">ROUND(PRODUCT(E346:J346),3)</f>
        <v>0.69</v>
      </c>
      <c r="L346" s="89"/>
    </row>
    <row r="347" spans="1:12" s="43" customFormat="1" ht="20.100000000000001" hidden="1" customHeight="1" outlineLevel="2" x14ac:dyDescent="0.25">
      <c r="A347" s="86"/>
      <c r="B347" s="87"/>
      <c r="C347" s="79" t="s">
        <v>223</v>
      </c>
      <c r="D347" s="80" t="s">
        <v>2</v>
      </c>
      <c r="E347" s="81">
        <v>-1</v>
      </c>
      <c r="F347" s="82">
        <v>1.2</v>
      </c>
      <c r="G347" s="82">
        <v>0.11</v>
      </c>
      <c r="H347" s="83">
        <v>1.2</v>
      </c>
      <c r="I347" s="82"/>
      <c r="J347" s="84" t="s">
        <v>75</v>
      </c>
      <c r="K347" s="83">
        <f t="shared" ref="K347" si="97">ROUND(PRODUCT(E347:J347),3)</f>
        <v>-0.158</v>
      </c>
      <c r="L347" s="89"/>
    </row>
    <row r="348" spans="1:12" s="43" customFormat="1" ht="20.100000000000001" hidden="1" customHeight="1" outlineLevel="2" x14ac:dyDescent="0.25">
      <c r="A348" s="86"/>
      <c r="B348" s="87"/>
      <c r="C348" s="79" t="s">
        <v>224</v>
      </c>
      <c r="D348" s="80" t="s">
        <v>2</v>
      </c>
      <c r="E348" s="81">
        <v>-1</v>
      </c>
      <c r="F348" s="82">
        <v>2.56</v>
      </c>
      <c r="G348" s="82">
        <v>0.11</v>
      </c>
      <c r="H348" s="83">
        <v>0.21</v>
      </c>
      <c r="I348" s="82"/>
      <c r="J348" s="84" t="s">
        <v>75</v>
      </c>
      <c r="K348" s="83">
        <f t="shared" ref="K348" si="98">ROUND(PRODUCT(E348:J348),3)</f>
        <v>-5.8999999999999997E-2</v>
      </c>
      <c r="L348" s="89"/>
    </row>
    <row r="349" spans="1:12" s="43" customFormat="1" ht="20.100000000000001" hidden="1" customHeight="1" outlineLevel="2" x14ac:dyDescent="0.25">
      <c r="A349" s="86"/>
      <c r="B349" s="87"/>
      <c r="C349" s="79" t="s">
        <v>225</v>
      </c>
      <c r="D349" s="80" t="s">
        <v>2</v>
      </c>
      <c r="E349" s="81">
        <v>1</v>
      </c>
      <c r="F349" s="82">
        <v>0.9</v>
      </c>
      <c r="G349" s="82">
        <v>0.11</v>
      </c>
      <c r="H349" s="83">
        <v>2.75</v>
      </c>
      <c r="I349" s="82"/>
      <c r="J349" s="84" t="s">
        <v>75</v>
      </c>
      <c r="K349" s="83">
        <f t="shared" ref="K349" si="99">ROUND(PRODUCT(E349:J349),3)</f>
        <v>0.27200000000000002</v>
      </c>
      <c r="L349" s="89"/>
    </row>
    <row r="350" spans="1:12" s="43" customFormat="1" ht="20.100000000000001" hidden="1" customHeight="1" outlineLevel="2" x14ac:dyDescent="0.25">
      <c r="A350" s="86"/>
      <c r="B350" s="87"/>
      <c r="C350" s="79" t="s">
        <v>226</v>
      </c>
      <c r="D350" s="80" t="s">
        <v>2</v>
      </c>
      <c r="E350" s="81">
        <v>1</v>
      </c>
      <c r="F350" s="82">
        <v>2.69</v>
      </c>
      <c r="G350" s="82">
        <f>+(1.75+1.29)/2</f>
        <v>1.52</v>
      </c>
      <c r="H350" s="83">
        <v>0.11</v>
      </c>
      <c r="I350" s="82"/>
      <c r="J350" s="84" t="s">
        <v>75</v>
      </c>
      <c r="K350" s="83">
        <f t="shared" ref="K350" si="100">ROUND(PRODUCT(E350:J350),3)</f>
        <v>0.45</v>
      </c>
      <c r="L350" s="89"/>
    </row>
    <row r="351" spans="1:12" s="43" customFormat="1" ht="20.100000000000001" hidden="1" customHeight="1" outlineLevel="2" x14ac:dyDescent="0.25">
      <c r="A351" s="86"/>
      <c r="B351" s="87"/>
      <c r="C351" s="79"/>
      <c r="D351" s="80" t="s">
        <v>2</v>
      </c>
      <c r="E351" s="81">
        <v>1</v>
      </c>
      <c r="F351" s="82">
        <v>0.79</v>
      </c>
      <c r="G351" s="82">
        <v>1.75</v>
      </c>
      <c r="H351" s="83">
        <v>0.11</v>
      </c>
      <c r="I351" s="82"/>
      <c r="J351" s="84" t="s">
        <v>75</v>
      </c>
      <c r="K351" s="83">
        <f t="shared" ref="K351" si="101">ROUND(PRODUCT(E351:J351),3)</f>
        <v>0.152</v>
      </c>
      <c r="L351" s="89"/>
    </row>
    <row r="352" spans="1:12" s="43" customFormat="1" ht="20.100000000000001" hidden="1" customHeight="1" outlineLevel="2" thickBot="1" x14ac:dyDescent="0.3">
      <c r="A352" s="86"/>
      <c r="B352" s="87"/>
      <c r="C352" s="79" t="s">
        <v>227</v>
      </c>
      <c r="D352" s="80" t="s">
        <v>2</v>
      </c>
      <c r="E352" s="81">
        <v>-1</v>
      </c>
      <c r="F352" s="82">
        <v>0.8</v>
      </c>
      <c r="G352" s="82">
        <v>2.1</v>
      </c>
      <c r="H352" s="83">
        <v>0.11</v>
      </c>
      <c r="I352" s="82"/>
      <c r="J352" s="84" t="s">
        <v>75</v>
      </c>
      <c r="K352" s="83">
        <f t="shared" ref="K352" si="102">ROUND(PRODUCT(E352:J352),3)</f>
        <v>-0.185</v>
      </c>
      <c r="L352" s="89"/>
    </row>
    <row r="353" spans="1:12" s="42" customFormat="1" ht="24.95" hidden="1" customHeight="1" outlineLevel="1" x14ac:dyDescent="0.25">
      <c r="A353" s="66">
        <v>11.2</v>
      </c>
      <c r="B353" s="59" t="s">
        <v>55</v>
      </c>
      <c r="C353" s="60"/>
      <c r="D353" s="61" t="s">
        <v>2</v>
      </c>
      <c r="E353" s="61"/>
      <c r="F353" s="62"/>
      <c r="G353" s="62"/>
      <c r="H353" s="62"/>
      <c r="I353" s="63"/>
      <c r="J353" s="61"/>
      <c r="K353" s="64">
        <f>SUBTOTAL(9,K354:K362)</f>
        <v>6.2629999999999981</v>
      </c>
      <c r="L353" s="67"/>
    </row>
    <row r="354" spans="1:12" s="43" customFormat="1" ht="20.100000000000001" hidden="1" customHeight="1" outlineLevel="2" x14ac:dyDescent="0.25">
      <c r="A354" s="68"/>
      <c r="B354" s="70" t="s">
        <v>217</v>
      </c>
      <c r="C354" s="70" t="s">
        <v>163</v>
      </c>
      <c r="D354" s="71" t="s">
        <v>2</v>
      </c>
      <c r="E354" s="72">
        <v>1</v>
      </c>
      <c r="F354" s="73">
        <v>3.6150000000000002</v>
      </c>
      <c r="G354" s="73">
        <v>0.11</v>
      </c>
      <c r="H354" s="74">
        <v>2.75</v>
      </c>
      <c r="I354" s="73"/>
      <c r="J354" s="75" t="s">
        <v>75</v>
      </c>
      <c r="K354" s="74">
        <f t="shared" ref="K354" si="103">ROUND(PRODUCT(E354:J354),3)</f>
        <v>1.0940000000000001</v>
      </c>
      <c r="L354" s="76"/>
    </row>
    <row r="355" spans="1:12" s="43" customFormat="1" ht="20.100000000000001" hidden="1" customHeight="1" outlineLevel="2" x14ac:dyDescent="0.25">
      <c r="A355" s="86"/>
      <c r="B355" s="87"/>
      <c r="C355" s="79" t="s">
        <v>222</v>
      </c>
      <c r="D355" s="80" t="s">
        <v>2</v>
      </c>
      <c r="E355" s="81">
        <v>1</v>
      </c>
      <c r="F355" s="82">
        <v>3.38</v>
      </c>
      <c r="G355" s="82">
        <v>0.11</v>
      </c>
      <c r="H355" s="83">
        <f>2.85-0.4</f>
        <v>2.4500000000000002</v>
      </c>
      <c r="I355" s="82"/>
      <c r="J355" s="84" t="s">
        <v>75</v>
      </c>
      <c r="K355" s="83">
        <f t="shared" ref="K355:K356" si="104">ROUND(PRODUCT(E355:J355),3)</f>
        <v>0.91100000000000003</v>
      </c>
      <c r="L355" s="89"/>
    </row>
    <row r="356" spans="1:12" s="43" customFormat="1" ht="20.100000000000001" hidden="1" customHeight="1" outlineLevel="2" x14ac:dyDescent="0.25">
      <c r="A356" s="86"/>
      <c r="B356" s="87" t="s">
        <v>214</v>
      </c>
      <c r="C356" s="79" t="s">
        <v>163</v>
      </c>
      <c r="D356" s="80" t="s">
        <v>2</v>
      </c>
      <c r="E356" s="81">
        <v>1</v>
      </c>
      <c r="F356" s="82">
        <v>4.3600000000000003</v>
      </c>
      <c r="G356" s="82">
        <v>0.11</v>
      </c>
      <c r="H356" s="83">
        <v>2.75</v>
      </c>
      <c r="I356" s="82"/>
      <c r="J356" s="84" t="s">
        <v>75</v>
      </c>
      <c r="K356" s="83">
        <f t="shared" si="104"/>
        <v>1.319</v>
      </c>
      <c r="L356" s="89"/>
    </row>
    <row r="357" spans="1:12" s="43" customFormat="1" ht="20.100000000000001" hidden="1" customHeight="1" outlineLevel="2" x14ac:dyDescent="0.25">
      <c r="A357" s="86"/>
      <c r="B357" s="87"/>
      <c r="C357" s="79" t="s">
        <v>222</v>
      </c>
      <c r="D357" s="80" t="s">
        <v>2</v>
      </c>
      <c r="E357" s="81">
        <v>1</v>
      </c>
      <c r="F357" s="82">
        <v>3.38</v>
      </c>
      <c r="G357" s="82">
        <v>0.11</v>
      </c>
      <c r="H357" s="83">
        <f>2.85-0.4</f>
        <v>2.4500000000000002</v>
      </c>
      <c r="I357" s="82"/>
      <c r="J357" s="84" t="s">
        <v>75</v>
      </c>
      <c r="K357" s="83">
        <f t="shared" ref="K357" si="105">ROUND(PRODUCT(E357:J357),3)</f>
        <v>0.91100000000000003</v>
      </c>
      <c r="L357" s="89"/>
    </row>
    <row r="358" spans="1:12" s="43" customFormat="1" ht="20.100000000000001" hidden="1" customHeight="1" outlineLevel="2" x14ac:dyDescent="0.25">
      <c r="A358" s="86"/>
      <c r="B358" s="87"/>
      <c r="C358" s="79" t="s">
        <v>169</v>
      </c>
      <c r="D358" s="80" t="s">
        <v>2</v>
      </c>
      <c r="E358" s="81">
        <v>2</v>
      </c>
      <c r="F358" s="82">
        <v>2.56</v>
      </c>
      <c r="G358" s="82">
        <v>0.11</v>
      </c>
      <c r="H358" s="83">
        <f>2.85-0.4</f>
        <v>2.4500000000000002</v>
      </c>
      <c r="I358" s="82"/>
      <c r="J358" s="84" t="s">
        <v>75</v>
      </c>
      <c r="K358" s="83">
        <f t="shared" ref="K358" si="106">ROUND(PRODUCT(E358:J358),3)</f>
        <v>1.38</v>
      </c>
      <c r="L358" s="89"/>
    </row>
    <row r="359" spans="1:12" s="43" customFormat="1" ht="20.100000000000001" hidden="1" customHeight="1" outlineLevel="2" x14ac:dyDescent="0.25">
      <c r="A359" s="86"/>
      <c r="B359" s="87"/>
      <c r="C359" s="79" t="s">
        <v>223</v>
      </c>
      <c r="D359" s="80" t="s">
        <v>2</v>
      </c>
      <c r="E359" s="81">
        <v>-1</v>
      </c>
      <c r="F359" s="82">
        <v>1.2</v>
      </c>
      <c r="G359" s="82">
        <v>0.11</v>
      </c>
      <c r="H359" s="83">
        <v>1.2</v>
      </c>
      <c r="I359" s="82"/>
      <c r="J359" s="84" t="s">
        <v>75</v>
      </c>
      <c r="K359" s="83">
        <f t="shared" ref="K359" si="107">ROUND(PRODUCT(E359:J359),3)</f>
        <v>-0.158</v>
      </c>
      <c r="L359" s="89"/>
    </row>
    <row r="360" spans="1:12" s="43" customFormat="1" ht="20.100000000000001" hidden="1" customHeight="1" outlineLevel="2" x14ac:dyDescent="0.25">
      <c r="A360" s="86"/>
      <c r="B360" s="87"/>
      <c r="C360" s="79" t="s">
        <v>174</v>
      </c>
      <c r="D360" s="80" t="s">
        <v>2</v>
      </c>
      <c r="E360" s="81">
        <v>1</v>
      </c>
      <c r="F360" s="82">
        <v>2.56</v>
      </c>
      <c r="G360" s="82">
        <v>0.11</v>
      </c>
      <c r="H360" s="83">
        <f>2.85-0.4</f>
        <v>2.4500000000000002</v>
      </c>
      <c r="I360" s="82"/>
      <c r="J360" s="84" t="s">
        <v>75</v>
      </c>
      <c r="K360" s="83">
        <f t="shared" ref="K360" si="108">ROUND(PRODUCT(E360:J360),3)</f>
        <v>0.69</v>
      </c>
      <c r="L360" s="89"/>
    </row>
    <row r="361" spans="1:12" s="43" customFormat="1" ht="20.100000000000001" hidden="1" customHeight="1" outlineLevel="2" x14ac:dyDescent="0.25">
      <c r="A361" s="86"/>
      <c r="B361" s="87"/>
      <c r="C361" s="79" t="s">
        <v>228</v>
      </c>
      <c r="D361" s="80" t="s">
        <v>2</v>
      </c>
      <c r="E361" s="81">
        <v>-1</v>
      </c>
      <c r="F361" s="82">
        <v>0.9</v>
      </c>
      <c r="G361" s="82">
        <v>0.11</v>
      </c>
      <c r="H361" s="83">
        <v>2.1</v>
      </c>
      <c r="I361" s="82"/>
      <c r="J361" s="84" t="s">
        <v>75</v>
      </c>
      <c r="K361" s="83">
        <f t="shared" ref="K361" si="109">ROUND(PRODUCT(E361:J361),3)</f>
        <v>-0.20799999999999999</v>
      </c>
      <c r="L361" s="89"/>
    </row>
    <row r="362" spans="1:12" s="43" customFormat="1" ht="20.100000000000001" hidden="1" customHeight="1" outlineLevel="2" thickBot="1" x14ac:dyDescent="0.3">
      <c r="A362" s="122"/>
      <c r="B362" s="123"/>
      <c r="C362" s="79" t="s">
        <v>230</v>
      </c>
      <c r="D362" s="80" t="s">
        <v>2</v>
      </c>
      <c r="E362" s="81">
        <v>1</v>
      </c>
      <c r="F362" s="82">
        <f>0.22+0.7</f>
        <v>0.91999999999999993</v>
      </c>
      <c r="G362" s="82">
        <v>0.11</v>
      </c>
      <c r="H362" s="83">
        <f>3.325-0.12</f>
        <v>3.2050000000000001</v>
      </c>
      <c r="I362" s="82"/>
      <c r="J362" s="84" t="s">
        <v>75</v>
      </c>
      <c r="K362" s="83">
        <f t="shared" ref="K362" si="110">ROUND(PRODUCT(E362:J362),3)</f>
        <v>0.32400000000000001</v>
      </c>
      <c r="L362" s="125"/>
    </row>
    <row r="363" spans="1:12" s="42" customFormat="1" ht="24.95" hidden="1" customHeight="1" outlineLevel="1" x14ac:dyDescent="0.25">
      <c r="A363" s="66">
        <v>11.3</v>
      </c>
      <c r="B363" s="59" t="s">
        <v>175</v>
      </c>
      <c r="C363" s="60"/>
      <c r="D363" s="61" t="s">
        <v>2</v>
      </c>
      <c r="E363" s="61"/>
      <c r="F363" s="62"/>
      <c r="G363" s="62"/>
      <c r="H363" s="62"/>
      <c r="I363" s="63"/>
      <c r="J363" s="61"/>
      <c r="K363" s="64">
        <f>SUBTOTAL(9,K364:K387)</f>
        <v>11.579000000000001</v>
      </c>
      <c r="L363" s="67"/>
    </row>
    <row r="364" spans="1:12" s="43" customFormat="1" ht="20.100000000000001" hidden="1" customHeight="1" outlineLevel="2" x14ac:dyDescent="0.25">
      <c r="A364" s="68"/>
      <c r="B364" s="69" t="s">
        <v>217</v>
      </c>
      <c r="C364" s="70" t="s">
        <v>229</v>
      </c>
      <c r="D364" s="71" t="s">
        <v>2</v>
      </c>
      <c r="E364" s="72">
        <v>1</v>
      </c>
      <c r="F364" s="73">
        <v>0.7</v>
      </c>
      <c r="G364" s="73">
        <v>0.11</v>
      </c>
      <c r="H364" s="74">
        <f>2.975-0.12</f>
        <v>2.855</v>
      </c>
      <c r="I364" s="73"/>
      <c r="J364" s="75" t="s">
        <v>75</v>
      </c>
      <c r="K364" s="74">
        <f t="shared" ref="K364" si="111">ROUND(PRODUCT(E364:J364),3)</f>
        <v>0.22</v>
      </c>
      <c r="L364" s="76"/>
    </row>
    <row r="365" spans="1:12" s="43" customFormat="1" ht="20.100000000000001" hidden="1" customHeight="1" outlineLevel="2" x14ac:dyDescent="0.25">
      <c r="A365" s="77"/>
      <c r="B365" s="78"/>
      <c r="C365" s="79" t="s">
        <v>163</v>
      </c>
      <c r="D365" s="80" t="s">
        <v>2</v>
      </c>
      <c r="E365" s="81">
        <v>1</v>
      </c>
      <c r="F365" s="82">
        <v>4.3600000000000003</v>
      </c>
      <c r="G365" s="82">
        <v>0.11</v>
      </c>
      <c r="H365" s="83">
        <f>2.975-0.4</f>
        <v>2.5750000000000002</v>
      </c>
      <c r="I365" s="82"/>
      <c r="J365" s="84" t="s">
        <v>75</v>
      </c>
      <c r="K365" s="83">
        <f t="shared" ref="K365" si="112">ROUND(PRODUCT(E365:J365),3)</f>
        <v>1.2350000000000001</v>
      </c>
      <c r="L365" s="85"/>
    </row>
    <row r="366" spans="1:12" s="43" customFormat="1" ht="20.100000000000001" hidden="1" customHeight="1" outlineLevel="2" x14ac:dyDescent="0.25">
      <c r="A366" s="77"/>
      <c r="B366" s="78"/>
      <c r="C366" s="79" t="s">
        <v>221</v>
      </c>
      <c r="D366" s="80" t="s">
        <v>2</v>
      </c>
      <c r="E366" s="81">
        <v>1</v>
      </c>
      <c r="F366" s="82">
        <v>1.25</v>
      </c>
      <c r="G366" s="82">
        <v>0.11</v>
      </c>
      <c r="H366" s="83">
        <f>2.975-0.4</f>
        <v>2.5750000000000002</v>
      </c>
      <c r="I366" s="82"/>
      <c r="J366" s="84" t="s">
        <v>75</v>
      </c>
      <c r="K366" s="83">
        <f t="shared" ref="K366" si="113">ROUND(PRODUCT(E366:J366),3)</f>
        <v>0.35399999999999998</v>
      </c>
      <c r="L366" s="85"/>
    </row>
    <row r="367" spans="1:12" s="43" customFormat="1" ht="20.100000000000001" hidden="1" customHeight="1" outlineLevel="2" x14ac:dyDescent="0.25">
      <c r="A367" s="77"/>
      <c r="B367" s="78"/>
      <c r="C367" s="79" t="s">
        <v>222</v>
      </c>
      <c r="D367" s="80" t="s">
        <v>2</v>
      </c>
      <c r="E367" s="81">
        <v>1</v>
      </c>
      <c r="F367" s="82">
        <v>3.38</v>
      </c>
      <c r="G367" s="82">
        <v>0.11</v>
      </c>
      <c r="H367" s="83">
        <f>2.975-0.4</f>
        <v>2.5750000000000002</v>
      </c>
      <c r="I367" s="82"/>
      <c r="J367" s="84" t="s">
        <v>75</v>
      </c>
      <c r="K367" s="83">
        <f t="shared" ref="K367:K370" si="114">ROUND(PRODUCT(E367:J367),3)</f>
        <v>0.95699999999999996</v>
      </c>
      <c r="L367" s="85"/>
    </row>
    <row r="368" spans="1:12" s="43" customFormat="1" ht="20.100000000000001" hidden="1" customHeight="1" outlineLevel="2" x14ac:dyDescent="0.25">
      <c r="A368" s="77"/>
      <c r="B368" s="78" t="s">
        <v>214</v>
      </c>
      <c r="C368" s="79" t="s">
        <v>229</v>
      </c>
      <c r="D368" s="80" t="s">
        <v>2</v>
      </c>
      <c r="E368" s="81">
        <v>1</v>
      </c>
      <c r="F368" s="82">
        <v>0.7</v>
      </c>
      <c r="G368" s="82">
        <v>0.11</v>
      </c>
      <c r="H368" s="83">
        <f>2.975-0.12</f>
        <v>2.855</v>
      </c>
      <c r="I368" s="82"/>
      <c r="J368" s="84" t="s">
        <v>75</v>
      </c>
      <c r="K368" s="83">
        <f t="shared" si="114"/>
        <v>0.22</v>
      </c>
      <c r="L368" s="85"/>
    </row>
    <row r="369" spans="1:12" s="43" customFormat="1" ht="20.100000000000001" hidden="1" customHeight="1" outlineLevel="2" x14ac:dyDescent="0.25">
      <c r="A369" s="77"/>
      <c r="B369" s="78"/>
      <c r="C369" s="79" t="s">
        <v>163</v>
      </c>
      <c r="D369" s="80" t="s">
        <v>2</v>
      </c>
      <c r="E369" s="81">
        <v>1</v>
      </c>
      <c r="F369" s="82">
        <v>4.3600000000000003</v>
      </c>
      <c r="G369" s="82">
        <v>0.11</v>
      </c>
      <c r="H369" s="83">
        <f>2.975-0.4</f>
        <v>2.5750000000000002</v>
      </c>
      <c r="I369" s="82"/>
      <c r="J369" s="84" t="s">
        <v>75</v>
      </c>
      <c r="K369" s="83">
        <f t="shared" si="114"/>
        <v>1.2350000000000001</v>
      </c>
      <c r="L369" s="85"/>
    </row>
    <row r="370" spans="1:12" s="43" customFormat="1" ht="20.100000000000001" hidden="1" customHeight="1" outlineLevel="2" x14ac:dyDescent="0.25">
      <c r="A370" s="77"/>
      <c r="B370" s="78"/>
      <c r="C370" s="79" t="s">
        <v>221</v>
      </c>
      <c r="D370" s="80" t="s">
        <v>2</v>
      </c>
      <c r="E370" s="81">
        <v>1</v>
      </c>
      <c r="F370" s="82">
        <v>4.16</v>
      </c>
      <c r="G370" s="82">
        <v>0.11</v>
      </c>
      <c r="H370" s="83">
        <f>2.975-0.4</f>
        <v>2.5750000000000002</v>
      </c>
      <c r="I370" s="82"/>
      <c r="J370" s="84" t="s">
        <v>75</v>
      </c>
      <c r="K370" s="83">
        <f t="shared" si="114"/>
        <v>1.1779999999999999</v>
      </c>
      <c r="L370" s="85"/>
    </row>
    <row r="371" spans="1:12" s="43" customFormat="1" ht="20.100000000000001" hidden="1" customHeight="1" outlineLevel="2" x14ac:dyDescent="0.25">
      <c r="A371" s="77"/>
      <c r="B371" s="78"/>
      <c r="C371" s="79" t="s">
        <v>222</v>
      </c>
      <c r="D371" s="80" t="s">
        <v>2</v>
      </c>
      <c r="E371" s="81">
        <v>1</v>
      </c>
      <c r="F371" s="82">
        <v>3.38</v>
      </c>
      <c r="G371" s="82">
        <v>0.11</v>
      </c>
      <c r="H371" s="83">
        <f>2.975-0.4</f>
        <v>2.5750000000000002</v>
      </c>
      <c r="I371" s="82"/>
      <c r="J371" s="84" t="s">
        <v>75</v>
      </c>
      <c r="K371" s="83">
        <f t="shared" ref="K371" si="115">ROUND(PRODUCT(E371:J371),3)</f>
        <v>0.95699999999999996</v>
      </c>
      <c r="L371" s="85"/>
    </row>
    <row r="372" spans="1:12" s="43" customFormat="1" ht="20.100000000000001" hidden="1" customHeight="1" outlineLevel="2" x14ac:dyDescent="0.25">
      <c r="A372" s="77"/>
      <c r="B372" s="78"/>
      <c r="C372" s="79" t="s">
        <v>231</v>
      </c>
      <c r="D372" s="80" t="s">
        <v>2</v>
      </c>
      <c r="E372" s="81">
        <v>1</v>
      </c>
      <c r="F372" s="82">
        <v>2.78</v>
      </c>
      <c r="G372" s="82">
        <v>0.11</v>
      </c>
      <c r="H372" s="83">
        <f>2.975-0.3</f>
        <v>2.6750000000000003</v>
      </c>
      <c r="I372" s="82"/>
      <c r="J372" s="84" t="s">
        <v>75</v>
      </c>
      <c r="K372" s="83">
        <f t="shared" ref="K372" si="116">ROUND(PRODUCT(E372:J372),3)</f>
        <v>0.81799999999999995</v>
      </c>
      <c r="L372" s="85"/>
    </row>
    <row r="373" spans="1:12" s="43" customFormat="1" ht="20.100000000000001" hidden="1" customHeight="1" outlineLevel="2" x14ac:dyDescent="0.25">
      <c r="A373" s="77"/>
      <c r="B373" s="78"/>
      <c r="C373" s="79" t="s">
        <v>223</v>
      </c>
      <c r="D373" s="80" t="s">
        <v>2</v>
      </c>
      <c r="E373" s="81">
        <v>-1</v>
      </c>
      <c r="F373" s="82">
        <v>2.4</v>
      </c>
      <c r="G373" s="82">
        <v>0.11</v>
      </c>
      <c r="H373" s="83">
        <v>1.2</v>
      </c>
      <c r="I373" s="82"/>
      <c r="J373" s="84" t="s">
        <v>75</v>
      </c>
      <c r="K373" s="83">
        <f t="shared" ref="K373:K374" si="117">ROUND(PRODUCT(E373:J373),3)</f>
        <v>-0.317</v>
      </c>
      <c r="L373" s="85"/>
    </row>
    <row r="374" spans="1:12" s="43" customFormat="1" ht="20.100000000000001" hidden="1" customHeight="1" outlineLevel="2" x14ac:dyDescent="0.25">
      <c r="A374" s="77"/>
      <c r="B374" s="78"/>
      <c r="C374" s="79" t="s">
        <v>230</v>
      </c>
      <c r="D374" s="80" t="s">
        <v>2</v>
      </c>
      <c r="E374" s="81">
        <v>1</v>
      </c>
      <c r="F374" s="82">
        <f>0.22+0.7</f>
        <v>0.91999999999999993</v>
      </c>
      <c r="G374" s="82">
        <v>0.11</v>
      </c>
      <c r="H374" s="83">
        <f>2.975-0.12</f>
        <v>2.855</v>
      </c>
      <c r="I374" s="82"/>
      <c r="J374" s="84" t="s">
        <v>75</v>
      </c>
      <c r="K374" s="83">
        <f t="shared" si="117"/>
        <v>0.28899999999999998</v>
      </c>
      <c r="L374" s="85"/>
    </row>
    <row r="375" spans="1:12" s="43" customFormat="1" ht="20.100000000000001" hidden="1" customHeight="1" outlineLevel="2" x14ac:dyDescent="0.25">
      <c r="A375" s="77"/>
      <c r="B375" s="78"/>
      <c r="C375" s="79" t="s">
        <v>232</v>
      </c>
      <c r="D375" s="80" t="s">
        <v>2</v>
      </c>
      <c r="E375" s="81">
        <v>1</v>
      </c>
      <c r="F375" s="82">
        <v>1.44</v>
      </c>
      <c r="G375" s="82">
        <v>0.11</v>
      </c>
      <c r="H375" s="83">
        <f t="shared" ref="H375:H379" si="118">2.975-0.12</f>
        <v>2.855</v>
      </c>
      <c r="I375" s="82"/>
      <c r="J375" s="84" t="s">
        <v>75</v>
      </c>
      <c r="K375" s="83">
        <f t="shared" ref="K375:K376" si="119">ROUND(PRODUCT(E375:J375),3)</f>
        <v>0.45200000000000001</v>
      </c>
      <c r="L375" s="85"/>
    </row>
    <row r="376" spans="1:12" s="43" customFormat="1" ht="20.100000000000001" hidden="1" customHeight="1" outlineLevel="2" x14ac:dyDescent="0.25">
      <c r="A376" s="77"/>
      <c r="B376" s="78"/>
      <c r="C376" s="79"/>
      <c r="D376" s="80" t="s">
        <v>2</v>
      </c>
      <c r="E376" s="81">
        <v>1</v>
      </c>
      <c r="F376" s="82">
        <v>2.17</v>
      </c>
      <c r="G376" s="82">
        <v>0.11</v>
      </c>
      <c r="H376" s="83">
        <f t="shared" si="118"/>
        <v>2.855</v>
      </c>
      <c r="I376" s="82"/>
      <c r="J376" s="84" t="s">
        <v>75</v>
      </c>
      <c r="K376" s="83">
        <f t="shared" si="119"/>
        <v>0.68100000000000005</v>
      </c>
      <c r="L376" s="85"/>
    </row>
    <row r="377" spans="1:12" s="43" customFormat="1" ht="20.100000000000001" hidden="1" customHeight="1" outlineLevel="2" x14ac:dyDescent="0.25">
      <c r="A377" s="77"/>
      <c r="B377" s="78"/>
      <c r="C377" s="79"/>
      <c r="D377" s="80" t="s">
        <v>2</v>
      </c>
      <c r="E377" s="81">
        <v>1</v>
      </c>
      <c r="F377" s="82">
        <v>1.55</v>
      </c>
      <c r="G377" s="82">
        <v>0.11</v>
      </c>
      <c r="H377" s="83">
        <f t="shared" si="118"/>
        <v>2.855</v>
      </c>
      <c r="I377" s="82"/>
      <c r="J377" s="84" t="s">
        <v>75</v>
      </c>
      <c r="K377" s="83">
        <f t="shared" ref="K377" si="120">ROUND(PRODUCT(E377:J377),3)</f>
        <v>0.48699999999999999</v>
      </c>
      <c r="L377" s="85"/>
    </row>
    <row r="378" spans="1:12" s="43" customFormat="1" ht="20.100000000000001" hidden="1" customHeight="1" outlineLevel="2" x14ac:dyDescent="0.25">
      <c r="A378" s="77"/>
      <c r="B378" s="78"/>
      <c r="C378" s="79" t="s">
        <v>227</v>
      </c>
      <c r="D378" s="80" t="s">
        <v>2</v>
      </c>
      <c r="E378" s="81">
        <v>-1</v>
      </c>
      <c r="F378" s="82">
        <v>0.8</v>
      </c>
      <c r="G378" s="82">
        <v>0.11</v>
      </c>
      <c r="H378" s="83">
        <v>2.1</v>
      </c>
      <c r="I378" s="82"/>
      <c r="J378" s="84" t="s">
        <v>75</v>
      </c>
      <c r="K378" s="83">
        <f t="shared" ref="K378" si="121">ROUND(PRODUCT(E378:J378),3)</f>
        <v>-0.185</v>
      </c>
      <c r="L378" s="85"/>
    </row>
    <row r="379" spans="1:12" s="43" customFormat="1" ht="20.100000000000001" hidden="1" customHeight="1" outlineLevel="2" x14ac:dyDescent="0.25">
      <c r="A379" s="77"/>
      <c r="B379" s="78"/>
      <c r="C379" s="79" t="s">
        <v>233</v>
      </c>
      <c r="D379" s="80" t="s">
        <v>2</v>
      </c>
      <c r="E379" s="81">
        <v>1</v>
      </c>
      <c r="F379" s="82">
        <v>1.01</v>
      </c>
      <c r="G379" s="82">
        <v>0.11</v>
      </c>
      <c r="H379" s="83">
        <f t="shared" si="118"/>
        <v>2.855</v>
      </c>
      <c r="I379" s="82"/>
      <c r="J379" s="84" t="s">
        <v>75</v>
      </c>
      <c r="K379" s="83">
        <f t="shared" ref="K379" si="122">ROUND(PRODUCT(E379:J379),3)</f>
        <v>0.317</v>
      </c>
      <c r="L379" s="85"/>
    </row>
    <row r="380" spans="1:12" s="43" customFormat="1" ht="20.100000000000001" hidden="1" customHeight="1" outlineLevel="2" x14ac:dyDescent="0.25">
      <c r="A380" s="77"/>
      <c r="B380" s="78"/>
      <c r="C380" s="79" t="s">
        <v>234</v>
      </c>
      <c r="D380" s="80" t="s">
        <v>2</v>
      </c>
      <c r="E380" s="81">
        <v>-1</v>
      </c>
      <c r="F380" s="82">
        <v>0.9</v>
      </c>
      <c r="G380" s="82">
        <v>0.11</v>
      </c>
      <c r="H380" s="83">
        <v>2.1</v>
      </c>
      <c r="I380" s="82"/>
      <c r="J380" s="84" t="s">
        <v>75</v>
      </c>
      <c r="K380" s="83">
        <f t="shared" ref="K380" si="123">ROUND(PRODUCT(E380:J380),3)</f>
        <v>-0.20799999999999999</v>
      </c>
      <c r="L380" s="85"/>
    </row>
    <row r="381" spans="1:12" s="43" customFormat="1" ht="20.100000000000001" hidden="1" customHeight="1" outlineLevel="2" x14ac:dyDescent="0.25">
      <c r="A381" s="77"/>
      <c r="B381" s="78"/>
      <c r="C381" s="79" t="s">
        <v>174</v>
      </c>
      <c r="D381" s="80" t="s">
        <v>2</v>
      </c>
      <c r="E381" s="81">
        <v>1</v>
      </c>
      <c r="F381" s="82">
        <v>2.56</v>
      </c>
      <c r="G381" s="82">
        <v>0.11</v>
      </c>
      <c r="H381" s="83">
        <f>2.975-0.3</f>
        <v>2.6750000000000003</v>
      </c>
      <c r="I381" s="82"/>
      <c r="J381" s="84" t="s">
        <v>75</v>
      </c>
      <c r="K381" s="83">
        <f t="shared" ref="K381:K382" si="124">ROUND(PRODUCT(E381:J381),3)</f>
        <v>0.753</v>
      </c>
      <c r="L381" s="85"/>
    </row>
    <row r="382" spans="1:12" s="43" customFormat="1" ht="20.100000000000001" hidden="1" customHeight="1" outlineLevel="2" x14ac:dyDescent="0.25">
      <c r="A382" s="77"/>
      <c r="B382" s="78"/>
      <c r="C382" s="79" t="s">
        <v>234</v>
      </c>
      <c r="D382" s="80" t="s">
        <v>2</v>
      </c>
      <c r="E382" s="81">
        <v>-1</v>
      </c>
      <c r="F382" s="82">
        <v>0.9</v>
      </c>
      <c r="G382" s="82">
        <v>0.11</v>
      </c>
      <c r="H382" s="83">
        <v>2.1</v>
      </c>
      <c r="I382" s="82"/>
      <c r="J382" s="84" t="s">
        <v>75</v>
      </c>
      <c r="K382" s="83">
        <f t="shared" si="124"/>
        <v>-0.20799999999999999</v>
      </c>
      <c r="L382" s="85"/>
    </row>
    <row r="383" spans="1:12" s="43" customFormat="1" ht="20.100000000000001" hidden="1" customHeight="1" outlineLevel="2" x14ac:dyDescent="0.25">
      <c r="A383" s="77"/>
      <c r="B383" s="78"/>
      <c r="C383" s="79" t="s">
        <v>235</v>
      </c>
      <c r="D383" s="80" t="s">
        <v>2</v>
      </c>
      <c r="E383" s="81">
        <v>1</v>
      </c>
      <c r="F383" s="82">
        <v>1.6</v>
      </c>
      <c r="G383" s="82">
        <v>0.11</v>
      </c>
      <c r="H383" s="83">
        <f>2.975-0.12</f>
        <v>2.855</v>
      </c>
      <c r="I383" s="82"/>
      <c r="J383" s="84" t="s">
        <v>75</v>
      </c>
      <c r="K383" s="83">
        <f t="shared" ref="K383" si="125">ROUND(PRODUCT(E383:J383),3)</f>
        <v>0.502</v>
      </c>
      <c r="L383" s="85"/>
    </row>
    <row r="384" spans="1:12" s="43" customFormat="1" ht="20.100000000000001" hidden="1" customHeight="1" outlineLevel="2" x14ac:dyDescent="0.25">
      <c r="A384" s="77"/>
      <c r="B384" s="78"/>
      <c r="C384" s="79"/>
      <c r="D384" s="80" t="s">
        <v>2</v>
      </c>
      <c r="E384" s="81">
        <v>1</v>
      </c>
      <c r="F384" s="82">
        <v>2.16</v>
      </c>
      <c r="G384" s="82">
        <v>0.11</v>
      </c>
      <c r="H384" s="83">
        <f>2.975-0.12</f>
        <v>2.855</v>
      </c>
      <c r="I384" s="82"/>
      <c r="J384" s="84" t="s">
        <v>75</v>
      </c>
      <c r="K384" s="83">
        <f t="shared" ref="K384" si="126">ROUND(PRODUCT(E384:J384),3)</f>
        <v>0.67800000000000005</v>
      </c>
      <c r="L384" s="85"/>
    </row>
    <row r="385" spans="1:12" s="43" customFormat="1" ht="20.100000000000001" hidden="1" customHeight="1" outlineLevel="2" x14ac:dyDescent="0.25">
      <c r="A385" s="77"/>
      <c r="B385" s="78"/>
      <c r="C385" s="79" t="s">
        <v>236</v>
      </c>
      <c r="D385" s="80" t="s">
        <v>2</v>
      </c>
      <c r="E385" s="81">
        <v>-1</v>
      </c>
      <c r="F385" s="82">
        <v>0.8</v>
      </c>
      <c r="G385" s="82">
        <v>0.11</v>
      </c>
      <c r="H385" s="83">
        <v>2.1</v>
      </c>
      <c r="I385" s="82"/>
      <c r="J385" s="84" t="s">
        <v>75</v>
      </c>
      <c r="K385" s="83">
        <f t="shared" ref="K385" si="127">ROUND(PRODUCT(E385:J385),3)</f>
        <v>-0.185</v>
      </c>
      <c r="L385" s="85"/>
    </row>
    <row r="386" spans="1:12" s="43" customFormat="1" ht="20.100000000000001" hidden="1" customHeight="1" outlineLevel="2" x14ac:dyDescent="0.25">
      <c r="A386" s="77"/>
      <c r="B386" s="78"/>
      <c r="C386" s="79" t="s">
        <v>169</v>
      </c>
      <c r="D386" s="80" t="s">
        <v>2</v>
      </c>
      <c r="E386" s="81">
        <v>2</v>
      </c>
      <c r="F386" s="82">
        <v>2.56</v>
      </c>
      <c r="G386" s="82">
        <v>0.11</v>
      </c>
      <c r="H386" s="83">
        <f>2.975-0.3</f>
        <v>2.6750000000000003</v>
      </c>
      <c r="I386" s="82"/>
      <c r="J386" s="84" t="s">
        <v>75</v>
      </c>
      <c r="K386" s="83">
        <f t="shared" ref="K386" si="128">ROUND(PRODUCT(E386:J386),3)</f>
        <v>1.5069999999999999</v>
      </c>
      <c r="L386" s="85"/>
    </row>
    <row r="387" spans="1:12" s="43" customFormat="1" ht="20.100000000000001" hidden="1" customHeight="1" outlineLevel="2" thickBot="1" x14ac:dyDescent="0.3">
      <c r="A387" s="96"/>
      <c r="B387" s="97"/>
      <c r="C387" s="98" t="s">
        <v>223</v>
      </c>
      <c r="D387" s="99" t="s">
        <v>2</v>
      </c>
      <c r="E387" s="100">
        <v>-1</v>
      </c>
      <c r="F387" s="101">
        <v>1.2</v>
      </c>
      <c r="G387" s="101">
        <v>0.11</v>
      </c>
      <c r="H387" s="102">
        <v>1.2</v>
      </c>
      <c r="I387" s="101"/>
      <c r="J387" s="103" t="s">
        <v>75</v>
      </c>
      <c r="K387" s="102">
        <f t="shared" ref="K387" si="129">ROUND(PRODUCT(E387:J387),3)</f>
        <v>-0.158</v>
      </c>
      <c r="L387" s="104"/>
    </row>
    <row r="388" spans="1:12" s="42" customFormat="1" ht="24.95" hidden="1" customHeight="1" outlineLevel="1" x14ac:dyDescent="0.25">
      <c r="A388" s="66">
        <v>11.4</v>
      </c>
      <c r="B388" s="59" t="s">
        <v>237</v>
      </c>
      <c r="C388" s="60"/>
      <c r="D388" s="61" t="s">
        <v>2</v>
      </c>
      <c r="E388" s="61"/>
      <c r="F388" s="62"/>
      <c r="G388" s="62"/>
      <c r="H388" s="62"/>
      <c r="I388" s="63"/>
      <c r="J388" s="61"/>
      <c r="K388" s="64">
        <f>SUBTOTAL(9,K389:K409)</f>
        <v>21.101999999999997</v>
      </c>
      <c r="L388" s="67"/>
    </row>
    <row r="389" spans="1:12" s="43" customFormat="1" ht="20.100000000000001" hidden="1" customHeight="1" outlineLevel="2" x14ac:dyDescent="0.25">
      <c r="A389" s="68"/>
      <c r="B389" s="69" t="s">
        <v>217</v>
      </c>
      <c r="C389" s="70" t="s">
        <v>229</v>
      </c>
      <c r="D389" s="71" t="s">
        <v>2</v>
      </c>
      <c r="E389" s="72">
        <v>2</v>
      </c>
      <c r="F389" s="73">
        <v>0.7</v>
      </c>
      <c r="G389" s="73">
        <v>0.11</v>
      </c>
      <c r="H389" s="74">
        <f>2.975-0.12</f>
        <v>2.855</v>
      </c>
      <c r="I389" s="73"/>
      <c r="J389" s="75" t="s">
        <v>75</v>
      </c>
      <c r="K389" s="74">
        <f t="shared" ref="K389:K409" si="130">ROUND(PRODUCT(E389:J389),3)</f>
        <v>0.44</v>
      </c>
      <c r="L389" s="76"/>
    </row>
    <row r="390" spans="1:12" s="43" customFormat="1" ht="20.100000000000001" hidden="1" customHeight="1" outlineLevel="2" x14ac:dyDescent="0.25">
      <c r="A390" s="77"/>
      <c r="B390" s="78"/>
      <c r="C390" s="79" t="s">
        <v>163</v>
      </c>
      <c r="D390" s="80" t="s">
        <v>2</v>
      </c>
      <c r="E390" s="81">
        <v>2</v>
      </c>
      <c r="F390" s="82">
        <v>4.3600000000000003</v>
      </c>
      <c r="G390" s="82">
        <v>0.11</v>
      </c>
      <c r="H390" s="83">
        <f>2.975-0.4</f>
        <v>2.5750000000000002</v>
      </c>
      <c r="I390" s="82"/>
      <c r="J390" s="84" t="s">
        <v>75</v>
      </c>
      <c r="K390" s="83">
        <f t="shared" si="130"/>
        <v>2.4700000000000002</v>
      </c>
      <c r="L390" s="85"/>
    </row>
    <row r="391" spans="1:12" s="43" customFormat="1" ht="20.100000000000001" hidden="1" customHeight="1" outlineLevel="2" x14ac:dyDescent="0.25">
      <c r="A391" s="77"/>
      <c r="B391" s="78"/>
      <c r="C391" s="79" t="s">
        <v>221</v>
      </c>
      <c r="D391" s="80" t="s">
        <v>2</v>
      </c>
      <c r="E391" s="81">
        <v>2</v>
      </c>
      <c r="F391" s="82">
        <v>1.25</v>
      </c>
      <c r="G391" s="82">
        <v>0.11</v>
      </c>
      <c r="H391" s="83">
        <f>2.975-0.4</f>
        <v>2.5750000000000002</v>
      </c>
      <c r="I391" s="82"/>
      <c r="J391" s="84" t="s">
        <v>75</v>
      </c>
      <c r="K391" s="83">
        <f t="shared" si="130"/>
        <v>0.70799999999999996</v>
      </c>
      <c r="L391" s="85"/>
    </row>
    <row r="392" spans="1:12" s="43" customFormat="1" ht="20.100000000000001" hidden="1" customHeight="1" outlineLevel="2" x14ac:dyDescent="0.25">
      <c r="A392" s="77"/>
      <c r="B392" s="78"/>
      <c r="C392" s="79" t="s">
        <v>222</v>
      </c>
      <c r="D392" s="80" t="s">
        <v>2</v>
      </c>
      <c r="E392" s="81">
        <v>2</v>
      </c>
      <c r="F392" s="82">
        <v>3.38</v>
      </c>
      <c r="G392" s="82">
        <v>0.11</v>
      </c>
      <c r="H392" s="83">
        <f>2.975-0.4</f>
        <v>2.5750000000000002</v>
      </c>
      <c r="I392" s="82"/>
      <c r="J392" s="84" t="s">
        <v>75</v>
      </c>
      <c r="K392" s="83">
        <f t="shared" si="130"/>
        <v>1.915</v>
      </c>
      <c r="L392" s="85"/>
    </row>
    <row r="393" spans="1:12" s="43" customFormat="1" ht="20.100000000000001" hidden="1" customHeight="1" outlineLevel="2" x14ac:dyDescent="0.25">
      <c r="A393" s="77"/>
      <c r="B393" s="78" t="s">
        <v>214</v>
      </c>
      <c r="C393" s="79" t="s">
        <v>229</v>
      </c>
      <c r="D393" s="80" t="s">
        <v>2</v>
      </c>
      <c r="E393" s="81">
        <v>2</v>
      </c>
      <c r="F393" s="82">
        <v>0.7</v>
      </c>
      <c r="G393" s="82">
        <v>0.11</v>
      </c>
      <c r="H393" s="83">
        <f>2.975-0.12</f>
        <v>2.855</v>
      </c>
      <c r="I393" s="82"/>
      <c r="J393" s="84" t="s">
        <v>75</v>
      </c>
      <c r="K393" s="83">
        <f t="shared" si="130"/>
        <v>0.44</v>
      </c>
      <c r="L393" s="85"/>
    </row>
    <row r="394" spans="1:12" s="43" customFormat="1" ht="20.100000000000001" hidden="1" customHeight="1" outlineLevel="2" x14ac:dyDescent="0.25">
      <c r="A394" s="77"/>
      <c r="B394" s="78"/>
      <c r="C394" s="79" t="s">
        <v>163</v>
      </c>
      <c r="D394" s="80" t="s">
        <v>2</v>
      </c>
      <c r="E394" s="81">
        <v>2</v>
      </c>
      <c r="F394" s="82">
        <v>4.3600000000000003</v>
      </c>
      <c r="G394" s="82">
        <v>0.11</v>
      </c>
      <c r="H394" s="83">
        <f>2.975-0.4</f>
        <v>2.5750000000000002</v>
      </c>
      <c r="I394" s="82"/>
      <c r="J394" s="84" t="s">
        <v>75</v>
      </c>
      <c r="K394" s="83">
        <f t="shared" si="130"/>
        <v>2.4700000000000002</v>
      </c>
      <c r="L394" s="85"/>
    </row>
    <row r="395" spans="1:12" s="43" customFormat="1" ht="20.100000000000001" hidden="1" customHeight="1" outlineLevel="2" x14ac:dyDescent="0.25">
      <c r="A395" s="77"/>
      <c r="B395" s="78"/>
      <c r="C395" s="79" t="s">
        <v>221</v>
      </c>
      <c r="D395" s="80" t="s">
        <v>2</v>
      </c>
      <c r="E395" s="81">
        <v>2</v>
      </c>
      <c r="F395" s="82">
        <v>4.16</v>
      </c>
      <c r="G395" s="82">
        <v>0.11</v>
      </c>
      <c r="H395" s="83">
        <f>2.975-0.4</f>
        <v>2.5750000000000002</v>
      </c>
      <c r="I395" s="82"/>
      <c r="J395" s="84" t="s">
        <v>75</v>
      </c>
      <c r="K395" s="83">
        <f t="shared" si="130"/>
        <v>2.3570000000000002</v>
      </c>
      <c r="L395" s="85"/>
    </row>
    <row r="396" spans="1:12" s="43" customFormat="1" ht="20.100000000000001" hidden="1" customHeight="1" outlineLevel="2" x14ac:dyDescent="0.25">
      <c r="A396" s="77"/>
      <c r="B396" s="78"/>
      <c r="C396" s="79" t="s">
        <v>222</v>
      </c>
      <c r="D396" s="80" t="s">
        <v>2</v>
      </c>
      <c r="E396" s="81">
        <v>2</v>
      </c>
      <c r="F396" s="82">
        <v>3.38</v>
      </c>
      <c r="G396" s="82">
        <v>0.11</v>
      </c>
      <c r="H396" s="83">
        <f>2.975-0.4</f>
        <v>2.5750000000000002</v>
      </c>
      <c r="I396" s="82"/>
      <c r="J396" s="84" t="s">
        <v>75</v>
      </c>
      <c r="K396" s="83">
        <f t="shared" si="130"/>
        <v>1.915</v>
      </c>
      <c r="L396" s="85"/>
    </row>
    <row r="397" spans="1:12" s="43" customFormat="1" ht="20.100000000000001" hidden="1" customHeight="1" outlineLevel="2" x14ac:dyDescent="0.25">
      <c r="A397" s="77"/>
      <c r="B397" s="78"/>
      <c r="C397" s="79" t="s">
        <v>231</v>
      </c>
      <c r="D397" s="80" t="s">
        <v>2</v>
      </c>
      <c r="E397" s="81">
        <v>2</v>
      </c>
      <c r="F397" s="82">
        <v>2.78</v>
      </c>
      <c r="G397" s="82">
        <v>0.11</v>
      </c>
      <c r="H397" s="83">
        <f>2.975-0.3</f>
        <v>2.6750000000000003</v>
      </c>
      <c r="I397" s="82"/>
      <c r="J397" s="84" t="s">
        <v>75</v>
      </c>
      <c r="K397" s="83">
        <f t="shared" si="130"/>
        <v>1.6359999999999999</v>
      </c>
      <c r="L397" s="85"/>
    </row>
    <row r="398" spans="1:12" s="43" customFormat="1" ht="20.100000000000001" hidden="1" customHeight="1" outlineLevel="2" x14ac:dyDescent="0.25">
      <c r="A398" s="77"/>
      <c r="B398" s="78"/>
      <c r="C398" s="79" t="s">
        <v>223</v>
      </c>
      <c r="D398" s="80" t="s">
        <v>2</v>
      </c>
      <c r="E398" s="81">
        <v>-2</v>
      </c>
      <c r="F398" s="82">
        <v>2.4</v>
      </c>
      <c r="G398" s="82">
        <v>0.11</v>
      </c>
      <c r="H398" s="83">
        <v>1.2</v>
      </c>
      <c r="I398" s="82"/>
      <c r="J398" s="84" t="s">
        <v>75</v>
      </c>
      <c r="K398" s="83">
        <f t="shared" si="130"/>
        <v>-0.63400000000000001</v>
      </c>
      <c r="L398" s="85"/>
    </row>
    <row r="399" spans="1:12" s="43" customFormat="1" ht="20.100000000000001" hidden="1" customHeight="1" outlineLevel="2" x14ac:dyDescent="0.25">
      <c r="A399" s="77"/>
      <c r="B399" s="78"/>
      <c r="C399" s="79" t="s">
        <v>230</v>
      </c>
      <c r="D399" s="80" t="s">
        <v>2</v>
      </c>
      <c r="E399" s="81">
        <v>2</v>
      </c>
      <c r="F399" s="82">
        <f>0.22+0.7</f>
        <v>0.91999999999999993</v>
      </c>
      <c r="G399" s="82">
        <v>0.11</v>
      </c>
      <c r="H399" s="83">
        <f>2.975-0.12</f>
        <v>2.855</v>
      </c>
      <c r="I399" s="82"/>
      <c r="J399" s="84" t="s">
        <v>75</v>
      </c>
      <c r="K399" s="83">
        <f t="shared" si="130"/>
        <v>0.57799999999999996</v>
      </c>
      <c r="L399" s="85"/>
    </row>
    <row r="400" spans="1:12" s="43" customFormat="1" ht="20.100000000000001" hidden="1" customHeight="1" outlineLevel="2" x14ac:dyDescent="0.25">
      <c r="A400" s="77"/>
      <c r="B400" s="78"/>
      <c r="C400" s="79" t="s">
        <v>232</v>
      </c>
      <c r="D400" s="80" t="s">
        <v>2</v>
      </c>
      <c r="E400" s="81">
        <v>2</v>
      </c>
      <c r="F400" s="82">
        <v>1.44</v>
      </c>
      <c r="G400" s="82">
        <v>0.11</v>
      </c>
      <c r="H400" s="83">
        <f t="shared" ref="H400:H404" si="131">2.975-0.12</f>
        <v>2.855</v>
      </c>
      <c r="I400" s="82"/>
      <c r="J400" s="84" t="s">
        <v>75</v>
      </c>
      <c r="K400" s="83">
        <f t="shared" si="130"/>
        <v>0.90400000000000003</v>
      </c>
      <c r="L400" s="85"/>
    </row>
    <row r="401" spans="1:12" s="43" customFormat="1" ht="20.100000000000001" hidden="1" customHeight="1" outlineLevel="2" x14ac:dyDescent="0.25">
      <c r="A401" s="77"/>
      <c r="B401" s="78"/>
      <c r="C401" s="79"/>
      <c r="D401" s="80" t="s">
        <v>2</v>
      </c>
      <c r="E401" s="81">
        <v>2</v>
      </c>
      <c r="F401" s="82">
        <v>2.17</v>
      </c>
      <c r="G401" s="82">
        <v>0.11</v>
      </c>
      <c r="H401" s="83">
        <f t="shared" si="131"/>
        <v>2.855</v>
      </c>
      <c r="I401" s="82"/>
      <c r="J401" s="84" t="s">
        <v>75</v>
      </c>
      <c r="K401" s="83">
        <f t="shared" si="130"/>
        <v>1.363</v>
      </c>
      <c r="L401" s="85"/>
    </row>
    <row r="402" spans="1:12" s="43" customFormat="1" ht="20.100000000000001" hidden="1" customHeight="1" outlineLevel="2" x14ac:dyDescent="0.25">
      <c r="A402" s="77"/>
      <c r="B402" s="78"/>
      <c r="C402" s="79"/>
      <c r="D402" s="80" t="s">
        <v>2</v>
      </c>
      <c r="E402" s="81">
        <v>2</v>
      </c>
      <c r="F402" s="82">
        <v>1.55</v>
      </c>
      <c r="G402" s="82">
        <v>0.11</v>
      </c>
      <c r="H402" s="83">
        <f t="shared" si="131"/>
        <v>2.855</v>
      </c>
      <c r="I402" s="82"/>
      <c r="J402" s="84" t="s">
        <v>75</v>
      </c>
      <c r="K402" s="83">
        <f t="shared" si="130"/>
        <v>0.97399999999999998</v>
      </c>
      <c r="L402" s="85"/>
    </row>
    <row r="403" spans="1:12" s="43" customFormat="1" ht="20.100000000000001" hidden="1" customHeight="1" outlineLevel="2" x14ac:dyDescent="0.25">
      <c r="A403" s="77"/>
      <c r="B403" s="78"/>
      <c r="C403" s="79" t="s">
        <v>227</v>
      </c>
      <c r="D403" s="80" t="s">
        <v>2</v>
      </c>
      <c r="E403" s="81">
        <v>-2</v>
      </c>
      <c r="F403" s="82">
        <v>0.8</v>
      </c>
      <c r="G403" s="82">
        <v>0.11</v>
      </c>
      <c r="H403" s="83">
        <v>2.1</v>
      </c>
      <c r="I403" s="82"/>
      <c r="J403" s="84" t="s">
        <v>75</v>
      </c>
      <c r="K403" s="83">
        <f t="shared" si="130"/>
        <v>-0.37</v>
      </c>
      <c r="L403" s="85"/>
    </row>
    <row r="404" spans="1:12" s="43" customFormat="1" ht="20.100000000000001" hidden="1" customHeight="1" outlineLevel="2" x14ac:dyDescent="0.25">
      <c r="A404" s="77"/>
      <c r="B404" s="78"/>
      <c r="C404" s="79" t="s">
        <v>225</v>
      </c>
      <c r="D404" s="80" t="s">
        <v>2</v>
      </c>
      <c r="E404" s="81">
        <v>2</v>
      </c>
      <c r="F404" s="82">
        <v>0.9</v>
      </c>
      <c r="G404" s="82">
        <v>0.11</v>
      </c>
      <c r="H404" s="83">
        <f t="shared" si="131"/>
        <v>2.855</v>
      </c>
      <c r="I404" s="82"/>
      <c r="J404" s="84" t="s">
        <v>75</v>
      </c>
      <c r="K404" s="83">
        <f t="shared" si="130"/>
        <v>0.56499999999999995</v>
      </c>
      <c r="L404" s="85"/>
    </row>
    <row r="405" spans="1:12" s="43" customFormat="1" ht="20.100000000000001" hidden="1" customHeight="1" outlineLevel="2" x14ac:dyDescent="0.25">
      <c r="A405" s="77"/>
      <c r="B405" s="78"/>
      <c r="C405" s="79" t="s">
        <v>234</v>
      </c>
      <c r="D405" s="80" t="s">
        <v>2</v>
      </c>
      <c r="E405" s="81">
        <v>-2</v>
      </c>
      <c r="F405" s="82">
        <v>0.9</v>
      </c>
      <c r="G405" s="82">
        <v>0.11</v>
      </c>
      <c r="H405" s="83">
        <v>2.1</v>
      </c>
      <c r="I405" s="82"/>
      <c r="J405" s="84" t="s">
        <v>75</v>
      </c>
      <c r="K405" s="83">
        <f t="shared" si="130"/>
        <v>-0.41599999999999998</v>
      </c>
      <c r="L405" s="85"/>
    </row>
    <row r="406" spans="1:12" s="43" customFormat="1" ht="20.100000000000001" hidden="1" customHeight="1" outlineLevel="2" x14ac:dyDescent="0.25">
      <c r="A406" s="77"/>
      <c r="B406" s="78"/>
      <c r="C406" s="79" t="s">
        <v>174</v>
      </c>
      <c r="D406" s="80" t="s">
        <v>2</v>
      </c>
      <c r="E406" s="81">
        <v>2</v>
      </c>
      <c r="F406" s="82">
        <v>2.56</v>
      </c>
      <c r="G406" s="82">
        <v>0.11</v>
      </c>
      <c r="H406" s="83">
        <f>2.975-0.3</f>
        <v>2.6750000000000003</v>
      </c>
      <c r="I406" s="82"/>
      <c r="J406" s="84" t="s">
        <v>75</v>
      </c>
      <c r="K406" s="83">
        <f t="shared" si="130"/>
        <v>1.5069999999999999</v>
      </c>
      <c r="L406" s="85"/>
    </row>
    <row r="407" spans="1:12" s="43" customFormat="1" ht="20.100000000000001" hidden="1" customHeight="1" outlineLevel="2" x14ac:dyDescent="0.25">
      <c r="A407" s="77"/>
      <c r="B407" s="78"/>
      <c r="C407" s="79" t="s">
        <v>234</v>
      </c>
      <c r="D407" s="80" t="s">
        <v>2</v>
      </c>
      <c r="E407" s="81">
        <v>-2</v>
      </c>
      <c r="F407" s="82">
        <v>0.9</v>
      </c>
      <c r="G407" s="82">
        <v>0.11</v>
      </c>
      <c r="H407" s="83">
        <v>2.1</v>
      </c>
      <c r="I407" s="82"/>
      <c r="J407" s="84" t="s">
        <v>75</v>
      </c>
      <c r="K407" s="83">
        <f t="shared" si="130"/>
        <v>-0.41599999999999998</v>
      </c>
      <c r="L407" s="85"/>
    </row>
    <row r="408" spans="1:12" s="43" customFormat="1" ht="20.100000000000001" hidden="1" customHeight="1" outlineLevel="2" x14ac:dyDescent="0.25">
      <c r="A408" s="77"/>
      <c r="B408" s="78"/>
      <c r="C408" s="79" t="s">
        <v>169</v>
      </c>
      <c r="D408" s="80" t="s">
        <v>2</v>
      </c>
      <c r="E408" s="81">
        <v>4</v>
      </c>
      <c r="F408" s="82">
        <v>2.56</v>
      </c>
      <c r="G408" s="82">
        <v>0.11</v>
      </c>
      <c r="H408" s="83">
        <f>2.975-0.3</f>
        <v>2.6750000000000003</v>
      </c>
      <c r="I408" s="82"/>
      <c r="J408" s="84" t="s">
        <v>75</v>
      </c>
      <c r="K408" s="83">
        <f t="shared" si="130"/>
        <v>3.0129999999999999</v>
      </c>
      <c r="L408" s="85"/>
    </row>
    <row r="409" spans="1:12" s="43" customFormat="1" ht="20.100000000000001" hidden="1" customHeight="1" outlineLevel="2" thickBot="1" x14ac:dyDescent="0.3">
      <c r="A409" s="96"/>
      <c r="B409" s="97"/>
      <c r="C409" s="98" t="s">
        <v>223</v>
      </c>
      <c r="D409" s="99" t="s">
        <v>2</v>
      </c>
      <c r="E409" s="100">
        <v>-2</v>
      </c>
      <c r="F409" s="101">
        <v>1.2</v>
      </c>
      <c r="G409" s="101">
        <v>0.11</v>
      </c>
      <c r="H409" s="102">
        <v>1.2</v>
      </c>
      <c r="I409" s="101"/>
      <c r="J409" s="103" t="s">
        <v>75</v>
      </c>
      <c r="K409" s="102">
        <f t="shared" si="130"/>
        <v>-0.317</v>
      </c>
      <c r="L409" s="104"/>
    </row>
    <row r="410" spans="1:12" s="42" customFormat="1" ht="24.95" hidden="1" customHeight="1" outlineLevel="1" x14ac:dyDescent="0.25">
      <c r="A410" s="66">
        <v>11.5</v>
      </c>
      <c r="B410" s="59" t="s">
        <v>177</v>
      </c>
      <c r="C410" s="60"/>
      <c r="D410" s="61" t="s">
        <v>2</v>
      </c>
      <c r="E410" s="61"/>
      <c r="F410" s="62"/>
      <c r="G410" s="62"/>
      <c r="H410" s="62"/>
      <c r="I410" s="63"/>
      <c r="J410" s="61"/>
      <c r="K410" s="64">
        <f>SUBTOTAL(9,K411:K421)</f>
        <v>3.8759999999999994</v>
      </c>
      <c r="L410" s="67"/>
    </row>
    <row r="411" spans="1:12" s="43" customFormat="1" ht="20.100000000000001" hidden="1" customHeight="1" outlineLevel="2" x14ac:dyDescent="0.25">
      <c r="A411" s="68"/>
      <c r="B411" s="69" t="s">
        <v>217</v>
      </c>
      <c r="C411" s="70" t="s">
        <v>221</v>
      </c>
      <c r="D411" s="71" t="s">
        <v>2</v>
      </c>
      <c r="E411" s="72">
        <v>1</v>
      </c>
      <c r="F411" s="73">
        <v>1.25</v>
      </c>
      <c r="G411" s="73">
        <v>0.11</v>
      </c>
      <c r="H411" s="74">
        <f>2.975-0.4</f>
        <v>2.5750000000000002</v>
      </c>
      <c r="I411" s="73"/>
      <c r="J411" s="75" t="s">
        <v>75</v>
      </c>
      <c r="K411" s="74">
        <f t="shared" ref="K411:K421" si="132">ROUND(PRODUCT(E411:J411),3)</f>
        <v>0.35399999999999998</v>
      </c>
      <c r="L411" s="76"/>
    </row>
    <row r="412" spans="1:12" s="43" customFormat="1" ht="20.100000000000001" hidden="1" customHeight="1" outlineLevel="2" x14ac:dyDescent="0.25">
      <c r="A412" s="77"/>
      <c r="B412" s="78" t="s">
        <v>214</v>
      </c>
      <c r="C412" s="79" t="s">
        <v>221</v>
      </c>
      <c r="D412" s="80" t="s">
        <v>2</v>
      </c>
      <c r="E412" s="81">
        <v>1</v>
      </c>
      <c r="F412" s="82">
        <v>4.16</v>
      </c>
      <c r="G412" s="82">
        <v>0.11</v>
      </c>
      <c r="H412" s="83">
        <f>2.975-0.4</f>
        <v>2.5750000000000002</v>
      </c>
      <c r="I412" s="82"/>
      <c r="J412" s="84" t="s">
        <v>75</v>
      </c>
      <c r="K412" s="83">
        <f t="shared" si="132"/>
        <v>1.1779999999999999</v>
      </c>
      <c r="L412" s="85"/>
    </row>
    <row r="413" spans="1:12" s="43" customFormat="1" ht="20.100000000000001" hidden="1" customHeight="1" outlineLevel="2" x14ac:dyDescent="0.25">
      <c r="A413" s="77"/>
      <c r="B413" s="78"/>
      <c r="C413" s="79" t="s">
        <v>230</v>
      </c>
      <c r="D413" s="80" t="s">
        <v>2</v>
      </c>
      <c r="E413" s="81">
        <v>1</v>
      </c>
      <c r="F413" s="82">
        <f>0.22+0.7</f>
        <v>0.91999999999999993</v>
      </c>
      <c r="G413" s="82">
        <v>0.11</v>
      </c>
      <c r="H413" s="83">
        <f>2.975-0.12</f>
        <v>2.855</v>
      </c>
      <c r="I413" s="82"/>
      <c r="J413" s="84" t="s">
        <v>75</v>
      </c>
      <c r="K413" s="83">
        <f t="shared" si="132"/>
        <v>0.28899999999999998</v>
      </c>
      <c r="L413" s="85"/>
    </row>
    <row r="414" spans="1:12" s="43" customFormat="1" ht="20.100000000000001" hidden="1" customHeight="1" outlineLevel="2" x14ac:dyDescent="0.25">
      <c r="A414" s="77"/>
      <c r="B414" s="78"/>
      <c r="C414" s="79" t="s">
        <v>232</v>
      </c>
      <c r="D414" s="80" t="s">
        <v>2</v>
      </c>
      <c r="E414" s="81">
        <v>1</v>
      </c>
      <c r="F414" s="82">
        <v>1.44</v>
      </c>
      <c r="G414" s="82">
        <v>0.11</v>
      </c>
      <c r="H414" s="83">
        <f t="shared" ref="H414:H418" si="133">2.975-0.12</f>
        <v>2.855</v>
      </c>
      <c r="I414" s="82"/>
      <c r="J414" s="84" t="s">
        <v>75</v>
      </c>
      <c r="K414" s="83">
        <f t="shared" si="132"/>
        <v>0.45200000000000001</v>
      </c>
      <c r="L414" s="85"/>
    </row>
    <row r="415" spans="1:12" s="43" customFormat="1" ht="20.100000000000001" hidden="1" customHeight="1" outlineLevel="2" x14ac:dyDescent="0.25">
      <c r="A415" s="77"/>
      <c r="B415" s="78"/>
      <c r="C415" s="79"/>
      <c r="D415" s="80" t="s">
        <v>2</v>
      </c>
      <c r="E415" s="81">
        <v>1</v>
      </c>
      <c r="F415" s="82">
        <v>2.17</v>
      </c>
      <c r="G415" s="82">
        <v>0.11</v>
      </c>
      <c r="H415" s="83">
        <f t="shared" si="133"/>
        <v>2.855</v>
      </c>
      <c r="I415" s="82"/>
      <c r="J415" s="84" t="s">
        <v>75</v>
      </c>
      <c r="K415" s="83">
        <f t="shared" si="132"/>
        <v>0.68100000000000005</v>
      </c>
      <c r="L415" s="85"/>
    </row>
    <row r="416" spans="1:12" s="43" customFormat="1" ht="20.100000000000001" hidden="1" customHeight="1" outlineLevel="2" x14ac:dyDescent="0.25">
      <c r="A416" s="77"/>
      <c r="B416" s="78"/>
      <c r="C416" s="79"/>
      <c r="D416" s="80" t="s">
        <v>2</v>
      </c>
      <c r="E416" s="81">
        <v>1</v>
      </c>
      <c r="F416" s="82">
        <v>1.55</v>
      </c>
      <c r="G416" s="82">
        <v>0.11</v>
      </c>
      <c r="H416" s="83">
        <f t="shared" si="133"/>
        <v>2.855</v>
      </c>
      <c r="I416" s="82"/>
      <c r="J416" s="84" t="s">
        <v>75</v>
      </c>
      <c r="K416" s="83">
        <f t="shared" si="132"/>
        <v>0.48699999999999999</v>
      </c>
      <c r="L416" s="85"/>
    </row>
    <row r="417" spans="1:12" s="43" customFormat="1" ht="20.100000000000001" hidden="1" customHeight="1" outlineLevel="2" x14ac:dyDescent="0.25">
      <c r="A417" s="77"/>
      <c r="B417" s="78"/>
      <c r="C417" s="79" t="s">
        <v>227</v>
      </c>
      <c r="D417" s="80" t="s">
        <v>2</v>
      </c>
      <c r="E417" s="81">
        <v>-1</v>
      </c>
      <c r="F417" s="82">
        <v>0.8</v>
      </c>
      <c r="G417" s="82">
        <v>0.11</v>
      </c>
      <c r="H417" s="83">
        <v>2.1</v>
      </c>
      <c r="I417" s="82"/>
      <c r="J417" s="84" t="s">
        <v>75</v>
      </c>
      <c r="K417" s="83">
        <f t="shared" si="132"/>
        <v>-0.185</v>
      </c>
      <c r="L417" s="85"/>
    </row>
    <row r="418" spans="1:12" s="43" customFormat="1" ht="20.100000000000001" hidden="1" customHeight="1" outlineLevel="2" x14ac:dyDescent="0.25">
      <c r="A418" s="77"/>
      <c r="B418" s="78"/>
      <c r="C418" s="79" t="s">
        <v>225</v>
      </c>
      <c r="D418" s="80" t="s">
        <v>2</v>
      </c>
      <c r="E418" s="81">
        <v>1</v>
      </c>
      <c r="F418" s="82">
        <v>0.9</v>
      </c>
      <c r="G418" s="82">
        <v>0.11</v>
      </c>
      <c r="H418" s="83">
        <f t="shared" si="133"/>
        <v>2.855</v>
      </c>
      <c r="I418" s="82"/>
      <c r="J418" s="84" t="s">
        <v>75</v>
      </c>
      <c r="K418" s="83">
        <f t="shared" si="132"/>
        <v>0.28299999999999997</v>
      </c>
      <c r="L418" s="85"/>
    </row>
    <row r="419" spans="1:12" s="43" customFormat="1" ht="20.100000000000001" hidden="1" customHeight="1" outlineLevel="2" x14ac:dyDescent="0.25">
      <c r="A419" s="77"/>
      <c r="B419" s="78"/>
      <c r="C419" s="79" t="s">
        <v>234</v>
      </c>
      <c r="D419" s="80" t="s">
        <v>2</v>
      </c>
      <c r="E419" s="81">
        <v>-1</v>
      </c>
      <c r="F419" s="82">
        <v>0.9</v>
      </c>
      <c r="G419" s="82">
        <v>0.11</v>
      </c>
      <c r="H419" s="83">
        <v>2.1</v>
      </c>
      <c r="I419" s="82"/>
      <c r="J419" s="84" t="s">
        <v>75</v>
      </c>
      <c r="K419" s="83">
        <f t="shared" si="132"/>
        <v>-0.20799999999999999</v>
      </c>
      <c r="L419" s="85"/>
    </row>
    <row r="420" spans="1:12" s="43" customFormat="1" ht="20.100000000000001" hidden="1" customHeight="1" outlineLevel="2" x14ac:dyDescent="0.25">
      <c r="A420" s="77"/>
      <c r="B420" s="78"/>
      <c r="C420" s="79" t="s">
        <v>174</v>
      </c>
      <c r="D420" s="80" t="s">
        <v>2</v>
      </c>
      <c r="E420" s="81">
        <v>1</v>
      </c>
      <c r="F420" s="82">
        <v>2.56</v>
      </c>
      <c r="G420" s="82">
        <v>0.11</v>
      </c>
      <c r="H420" s="83">
        <f>2.975-0.3</f>
        <v>2.6750000000000003</v>
      </c>
      <c r="I420" s="82"/>
      <c r="J420" s="84" t="s">
        <v>75</v>
      </c>
      <c r="K420" s="83">
        <f t="shared" si="132"/>
        <v>0.753</v>
      </c>
      <c r="L420" s="85"/>
    </row>
    <row r="421" spans="1:12" s="43" customFormat="1" ht="20.100000000000001" hidden="1" customHeight="1" outlineLevel="2" thickBot="1" x14ac:dyDescent="0.3">
      <c r="A421" s="96"/>
      <c r="B421" s="97"/>
      <c r="C421" s="98" t="s">
        <v>234</v>
      </c>
      <c r="D421" s="99" t="s">
        <v>2</v>
      </c>
      <c r="E421" s="100">
        <v>-1</v>
      </c>
      <c r="F421" s="101">
        <v>0.9</v>
      </c>
      <c r="G421" s="101">
        <v>0.11</v>
      </c>
      <c r="H421" s="102">
        <v>2.1</v>
      </c>
      <c r="I421" s="101"/>
      <c r="J421" s="103" t="s">
        <v>75</v>
      </c>
      <c r="K421" s="102">
        <f t="shared" si="132"/>
        <v>-0.20799999999999999</v>
      </c>
      <c r="L421" s="104"/>
    </row>
    <row r="422" spans="1:12" s="42" customFormat="1" ht="24.95" hidden="1" customHeight="1" outlineLevel="1" x14ac:dyDescent="0.25">
      <c r="A422" s="66">
        <v>11.6</v>
      </c>
      <c r="B422" s="59" t="s">
        <v>185</v>
      </c>
      <c r="C422" s="60"/>
      <c r="D422" s="61" t="s">
        <v>2</v>
      </c>
      <c r="E422" s="61"/>
      <c r="F422" s="62"/>
      <c r="G422" s="62"/>
      <c r="H422" s="62"/>
      <c r="I422" s="63"/>
      <c r="J422" s="61"/>
      <c r="K422" s="64">
        <f>SUBTOTAL(9,K423:K424)</f>
        <v>0.48699999999999999</v>
      </c>
      <c r="L422" s="67"/>
    </row>
    <row r="423" spans="1:12" s="43" customFormat="1" ht="20.100000000000001" hidden="1" customHeight="1" outlineLevel="2" x14ac:dyDescent="0.25">
      <c r="A423" s="68"/>
      <c r="B423" s="69"/>
      <c r="C423" s="70" t="s">
        <v>238</v>
      </c>
      <c r="D423" s="71" t="s">
        <v>2</v>
      </c>
      <c r="E423" s="72">
        <v>1</v>
      </c>
      <c r="F423" s="73">
        <v>4.38</v>
      </c>
      <c r="G423" s="73">
        <v>0.11</v>
      </c>
      <c r="H423" s="74">
        <v>0.6</v>
      </c>
      <c r="I423" s="73"/>
      <c r="J423" s="75" t="s">
        <v>75</v>
      </c>
      <c r="K423" s="74">
        <f t="shared" ref="K423:K424" si="134">ROUND(PRODUCT(E423:J423),3)</f>
        <v>0.28899999999999998</v>
      </c>
      <c r="L423" s="76"/>
    </row>
    <row r="424" spans="1:12" s="43" customFormat="1" ht="20.100000000000001" hidden="1" customHeight="1" outlineLevel="2" thickBot="1" x14ac:dyDescent="0.3">
      <c r="A424" s="96"/>
      <c r="B424" s="97"/>
      <c r="C424" s="98"/>
      <c r="D424" s="99" t="s">
        <v>2</v>
      </c>
      <c r="E424" s="100">
        <v>1</v>
      </c>
      <c r="F424" s="101">
        <v>3</v>
      </c>
      <c r="G424" s="101">
        <v>0.11</v>
      </c>
      <c r="H424" s="102">
        <v>0.6</v>
      </c>
      <c r="I424" s="101"/>
      <c r="J424" s="103" t="s">
        <v>75</v>
      </c>
      <c r="K424" s="102">
        <f t="shared" si="134"/>
        <v>0.19800000000000001</v>
      </c>
      <c r="L424" s="104"/>
    </row>
    <row r="425" spans="1:12" s="42" customFormat="1" ht="36.75" customHeight="1" collapsed="1" thickBot="1" x14ac:dyDescent="0.3">
      <c r="A425" s="58">
        <v>32</v>
      </c>
      <c r="B425" s="59" t="s">
        <v>332</v>
      </c>
      <c r="C425" s="60"/>
      <c r="D425" s="61" t="s">
        <v>2</v>
      </c>
      <c r="E425" s="61"/>
      <c r="F425" s="62"/>
      <c r="G425" s="62"/>
      <c r="H425" s="62"/>
      <c r="I425" s="63"/>
      <c r="J425" s="61"/>
      <c r="K425" s="64">
        <f>SUBTOTAL(9,K426:K442)</f>
        <v>3.1339999999999995</v>
      </c>
      <c r="L425" s="65"/>
    </row>
    <row r="426" spans="1:12" s="42" customFormat="1" ht="24.95" hidden="1" customHeight="1" outlineLevel="1" x14ac:dyDescent="0.25">
      <c r="A426" s="66">
        <v>17.100000000000001</v>
      </c>
      <c r="B426" s="59" t="s">
        <v>167</v>
      </c>
      <c r="C426" s="60"/>
      <c r="D426" s="61" t="s">
        <v>2</v>
      </c>
      <c r="E426" s="61"/>
      <c r="F426" s="62"/>
      <c r="G426" s="62"/>
      <c r="H426" s="62"/>
      <c r="I426" s="63"/>
      <c r="J426" s="61"/>
      <c r="K426" s="64">
        <f>SUBTOTAL(9,K427:K429)</f>
        <v>0.502</v>
      </c>
      <c r="L426" s="67"/>
    </row>
    <row r="427" spans="1:12" s="43" customFormat="1" ht="20.100000000000001" hidden="1" customHeight="1" outlineLevel="2" x14ac:dyDescent="0.25">
      <c r="A427" s="68"/>
      <c r="B427" s="69"/>
      <c r="C427" s="70" t="s">
        <v>243</v>
      </c>
      <c r="D427" s="71" t="s">
        <v>2</v>
      </c>
      <c r="E427" s="72">
        <v>2</v>
      </c>
      <c r="F427" s="73">
        <v>0.25</v>
      </c>
      <c r="G427" s="73">
        <v>0.17</v>
      </c>
      <c r="H427" s="74">
        <v>0.95</v>
      </c>
      <c r="I427" s="73"/>
      <c r="J427" s="75" t="s">
        <v>75</v>
      </c>
      <c r="K427" s="74">
        <f t="shared" ref="K427" si="135">ROUND(PRODUCT(E427:J427),3)</f>
        <v>8.1000000000000003E-2</v>
      </c>
      <c r="L427" s="76"/>
    </row>
    <row r="428" spans="1:12" s="43" customFormat="1" ht="20.100000000000001" hidden="1" customHeight="1" outlineLevel="2" x14ac:dyDescent="0.25">
      <c r="A428" s="77"/>
      <c r="B428" s="78"/>
      <c r="C428" s="79" t="s">
        <v>244</v>
      </c>
      <c r="D428" s="80" t="s">
        <v>2</v>
      </c>
      <c r="E428" s="81">
        <v>1</v>
      </c>
      <c r="F428" s="82">
        <v>0.95</v>
      </c>
      <c r="G428" s="82">
        <v>0.95</v>
      </c>
      <c r="H428" s="83">
        <v>0.17</v>
      </c>
      <c r="I428" s="82"/>
      <c r="J428" s="84" t="s">
        <v>75</v>
      </c>
      <c r="K428" s="83">
        <f t="shared" ref="K428" si="136">ROUND(PRODUCT(E428:J428),3)</f>
        <v>0.153</v>
      </c>
      <c r="L428" s="85"/>
    </row>
    <row r="429" spans="1:12" s="43" customFormat="1" ht="20.100000000000001" hidden="1" customHeight="1" outlineLevel="2" thickBot="1" x14ac:dyDescent="0.3">
      <c r="A429" s="77"/>
      <c r="B429" s="78"/>
      <c r="C429" s="79" t="s">
        <v>245</v>
      </c>
      <c r="D429" s="80" t="s">
        <v>2</v>
      </c>
      <c r="E429" s="81">
        <v>7</v>
      </c>
      <c r="F429" s="82">
        <v>0.25</v>
      </c>
      <c r="G429" s="82">
        <v>0.17</v>
      </c>
      <c r="H429" s="83">
        <v>0.9</v>
      </c>
      <c r="I429" s="82"/>
      <c r="J429" s="84" t="s">
        <v>75</v>
      </c>
      <c r="K429" s="83">
        <f t="shared" ref="K429" si="137">ROUND(PRODUCT(E429:J429),3)</f>
        <v>0.26800000000000002</v>
      </c>
      <c r="L429" s="85"/>
    </row>
    <row r="430" spans="1:12" s="42" customFormat="1" ht="24.95" hidden="1" customHeight="1" outlineLevel="1" x14ac:dyDescent="0.25">
      <c r="A430" s="66">
        <v>17.2</v>
      </c>
      <c r="B430" s="59" t="s">
        <v>55</v>
      </c>
      <c r="C430" s="60"/>
      <c r="D430" s="61" t="s">
        <v>2</v>
      </c>
      <c r="E430" s="61"/>
      <c r="F430" s="62"/>
      <c r="G430" s="62"/>
      <c r="H430" s="62"/>
      <c r="I430" s="63"/>
      <c r="J430" s="61"/>
      <c r="K430" s="64">
        <f>SUBTOTAL(9,K431:K436)</f>
        <v>0.65900000000000003</v>
      </c>
      <c r="L430" s="67"/>
    </row>
    <row r="431" spans="1:12" s="43" customFormat="1" ht="20.100000000000001" hidden="1" customHeight="1" outlineLevel="2" x14ac:dyDescent="0.25">
      <c r="A431" s="68"/>
      <c r="B431" s="70"/>
      <c r="C431" s="70" t="s">
        <v>242</v>
      </c>
      <c r="D431" s="71" t="s">
        <v>2</v>
      </c>
      <c r="E431" s="72">
        <v>2</v>
      </c>
      <c r="F431" s="73">
        <v>0.25</v>
      </c>
      <c r="G431" s="73">
        <v>0.17</v>
      </c>
      <c r="H431" s="74">
        <v>0.9</v>
      </c>
      <c r="I431" s="73"/>
      <c r="J431" s="75" t="s">
        <v>75</v>
      </c>
      <c r="K431" s="74">
        <f t="shared" ref="K431:K434" si="138">ROUND(PRODUCT(E431:J431),3)</f>
        <v>7.6999999999999999E-2</v>
      </c>
      <c r="L431" s="76"/>
    </row>
    <row r="432" spans="1:12" s="43" customFormat="1" ht="20.100000000000001" hidden="1" customHeight="1" outlineLevel="2" x14ac:dyDescent="0.25">
      <c r="A432" s="86"/>
      <c r="B432" s="87"/>
      <c r="C432" s="79" t="s">
        <v>240</v>
      </c>
      <c r="D432" s="80" t="s">
        <v>2</v>
      </c>
      <c r="E432" s="81">
        <v>1</v>
      </c>
      <c r="F432" s="82">
        <v>0.25</v>
      </c>
      <c r="G432" s="82">
        <v>0.17</v>
      </c>
      <c r="H432" s="83">
        <v>0.9</v>
      </c>
      <c r="I432" s="82"/>
      <c r="J432" s="84" t="s">
        <v>75</v>
      </c>
      <c r="K432" s="83">
        <f t="shared" si="138"/>
        <v>3.7999999999999999E-2</v>
      </c>
      <c r="L432" s="89"/>
    </row>
    <row r="433" spans="1:12" s="43" customFormat="1" ht="20.100000000000001" hidden="1" customHeight="1" outlineLevel="2" x14ac:dyDescent="0.25">
      <c r="A433" s="86"/>
      <c r="B433" s="87"/>
      <c r="C433" s="79" t="s">
        <v>241</v>
      </c>
      <c r="D433" s="80" t="s">
        <v>2</v>
      </c>
      <c r="E433" s="81">
        <v>1</v>
      </c>
      <c r="F433" s="82">
        <v>0.9</v>
      </c>
      <c r="G433" s="82">
        <v>0.9</v>
      </c>
      <c r="H433" s="83">
        <v>0.17</v>
      </c>
      <c r="I433" s="82"/>
      <c r="J433" s="84" t="s">
        <v>75</v>
      </c>
      <c r="K433" s="83">
        <f t="shared" si="138"/>
        <v>0.13800000000000001</v>
      </c>
      <c r="L433" s="89"/>
    </row>
    <row r="434" spans="1:12" s="43" customFormat="1" ht="20.100000000000001" hidden="1" customHeight="1" outlineLevel="2" x14ac:dyDescent="0.25">
      <c r="A434" s="86"/>
      <c r="B434" s="87"/>
      <c r="C434" s="79" t="s">
        <v>246</v>
      </c>
      <c r="D434" s="80" t="s">
        <v>2</v>
      </c>
      <c r="E434" s="81">
        <v>4</v>
      </c>
      <c r="F434" s="82">
        <v>0.25</v>
      </c>
      <c r="G434" s="82">
        <v>0.17</v>
      </c>
      <c r="H434" s="83">
        <v>0.9</v>
      </c>
      <c r="I434" s="82"/>
      <c r="J434" s="84" t="s">
        <v>75</v>
      </c>
      <c r="K434" s="83">
        <f t="shared" si="138"/>
        <v>0.153</v>
      </c>
      <c r="L434" s="89"/>
    </row>
    <row r="435" spans="1:12" s="43" customFormat="1" ht="20.100000000000001" hidden="1" customHeight="1" outlineLevel="2" x14ac:dyDescent="0.25">
      <c r="A435" s="86"/>
      <c r="B435" s="87"/>
      <c r="C435" s="79" t="s">
        <v>247</v>
      </c>
      <c r="D435" s="80" t="s">
        <v>2</v>
      </c>
      <c r="E435" s="81">
        <v>1</v>
      </c>
      <c r="F435" s="82">
        <v>0.9</v>
      </c>
      <c r="G435" s="82">
        <v>0.9</v>
      </c>
      <c r="H435" s="83">
        <v>0.17</v>
      </c>
      <c r="I435" s="82"/>
      <c r="J435" s="84" t="s">
        <v>75</v>
      </c>
      <c r="K435" s="83">
        <f t="shared" ref="K435:K436" si="139">ROUND(PRODUCT(E435:J435),3)</f>
        <v>0.13800000000000001</v>
      </c>
      <c r="L435" s="89"/>
    </row>
    <row r="436" spans="1:12" s="43" customFormat="1" ht="20.100000000000001" hidden="1" customHeight="1" outlineLevel="2" thickBot="1" x14ac:dyDescent="0.3">
      <c r="A436" s="86"/>
      <c r="B436" s="87"/>
      <c r="C436" s="79" t="s">
        <v>248</v>
      </c>
      <c r="D436" s="80" t="s">
        <v>2</v>
      </c>
      <c r="E436" s="81">
        <v>3</v>
      </c>
      <c r="F436" s="82">
        <v>0.25</v>
      </c>
      <c r="G436" s="82">
        <v>0.17</v>
      </c>
      <c r="H436" s="83">
        <v>0.9</v>
      </c>
      <c r="I436" s="82"/>
      <c r="J436" s="84" t="s">
        <v>75</v>
      </c>
      <c r="K436" s="83">
        <f t="shared" si="139"/>
        <v>0.115</v>
      </c>
      <c r="L436" s="89"/>
    </row>
    <row r="437" spans="1:12" s="42" customFormat="1" ht="24.95" hidden="1" customHeight="1" outlineLevel="1" x14ac:dyDescent="0.25">
      <c r="A437" s="66">
        <v>17.3</v>
      </c>
      <c r="B437" s="59" t="s">
        <v>176</v>
      </c>
      <c r="C437" s="60"/>
      <c r="D437" s="61" t="s">
        <v>2</v>
      </c>
      <c r="E437" s="61"/>
      <c r="F437" s="62"/>
      <c r="G437" s="62"/>
      <c r="H437" s="62"/>
      <c r="I437" s="63"/>
      <c r="J437" s="61"/>
      <c r="K437" s="64">
        <f>SUBTOTAL(9,K438:K442)</f>
        <v>1.9729999999999999</v>
      </c>
      <c r="L437" s="67"/>
    </row>
    <row r="438" spans="1:12" s="43" customFormat="1" ht="20.100000000000001" hidden="1" customHeight="1" outlineLevel="2" x14ac:dyDescent="0.25">
      <c r="A438" s="68"/>
      <c r="B438" s="69"/>
      <c r="C438" s="70" t="s">
        <v>242</v>
      </c>
      <c r="D438" s="71" t="s">
        <v>2</v>
      </c>
      <c r="E438" s="72">
        <v>9</v>
      </c>
      <c r="F438" s="73">
        <v>0.25</v>
      </c>
      <c r="G438" s="73">
        <v>0.17</v>
      </c>
      <c r="H438" s="74">
        <v>0.9</v>
      </c>
      <c r="I438" s="73"/>
      <c r="J438" s="75" t="s">
        <v>75</v>
      </c>
      <c r="K438" s="74">
        <f t="shared" ref="K438:K441" si="140">ROUND(PRODUCT(E438:J438),3)</f>
        <v>0.34399999999999997</v>
      </c>
      <c r="L438" s="76"/>
    </row>
    <row r="439" spans="1:12" s="43" customFormat="1" ht="20.100000000000001" hidden="1" customHeight="1" outlineLevel="2" x14ac:dyDescent="0.25">
      <c r="A439" s="77"/>
      <c r="B439" s="78"/>
      <c r="C439" s="79" t="s">
        <v>249</v>
      </c>
      <c r="D439" s="80" t="s">
        <v>2</v>
      </c>
      <c r="E439" s="81">
        <v>3</v>
      </c>
      <c r="F439" s="82">
        <v>0.9</v>
      </c>
      <c r="G439" s="82">
        <v>0.9</v>
      </c>
      <c r="H439" s="83">
        <v>0.17</v>
      </c>
      <c r="I439" s="82"/>
      <c r="J439" s="84" t="s">
        <v>75</v>
      </c>
      <c r="K439" s="83">
        <f t="shared" si="140"/>
        <v>0.41299999999999998</v>
      </c>
      <c r="L439" s="85"/>
    </row>
    <row r="440" spans="1:12" s="43" customFormat="1" ht="20.100000000000001" hidden="1" customHeight="1" outlineLevel="2" x14ac:dyDescent="0.25">
      <c r="A440" s="77"/>
      <c r="B440" s="78"/>
      <c r="C440" s="79" t="s">
        <v>250</v>
      </c>
      <c r="D440" s="80" t="s">
        <v>2</v>
      </c>
      <c r="E440" s="81">
        <v>12</v>
      </c>
      <c r="F440" s="82">
        <v>0.25</v>
      </c>
      <c r="G440" s="82">
        <v>0.17</v>
      </c>
      <c r="H440" s="83">
        <v>0.9</v>
      </c>
      <c r="I440" s="82"/>
      <c r="J440" s="84" t="s">
        <v>75</v>
      </c>
      <c r="K440" s="83">
        <f t="shared" ref="K440" si="141">ROUND(PRODUCT(E440:J440),3)</f>
        <v>0.45900000000000002</v>
      </c>
      <c r="L440" s="85"/>
    </row>
    <row r="441" spans="1:12" s="43" customFormat="1" ht="20.100000000000001" hidden="1" customHeight="1" outlineLevel="2" x14ac:dyDescent="0.25">
      <c r="A441" s="77"/>
      <c r="B441" s="78"/>
      <c r="C441" s="79" t="s">
        <v>251</v>
      </c>
      <c r="D441" s="80" t="s">
        <v>2</v>
      </c>
      <c r="E441" s="81">
        <v>3</v>
      </c>
      <c r="F441" s="82">
        <v>0.9</v>
      </c>
      <c r="G441" s="82">
        <v>0.9</v>
      </c>
      <c r="H441" s="83">
        <v>0.17</v>
      </c>
      <c r="I441" s="82"/>
      <c r="J441" s="84" t="s">
        <v>75</v>
      </c>
      <c r="K441" s="83">
        <f t="shared" si="140"/>
        <v>0.41299999999999998</v>
      </c>
      <c r="L441" s="85"/>
    </row>
    <row r="442" spans="1:12" s="43" customFormat="1" ht="20.100000000000001" hidden="1" customHeight="1" outlineLevel="2" thickBot="1" x14ac:dyDescent="0.3">
      <c r="A442" s="77"/>
      <c r="B442" s="78"/>
      <c r="C442" s="79" t="s">
        <v>252</v>
      </c>
      <c r="D442" s="80" t="s">
        <v>2</v>
      </c>
      <c r="E442" s="121">
        <v>9</v>
      </c>
      <c r="F442" s="92">
        <v>0.25</v>
      </c>
      <c r="G442" s="92">
        <v>0.17</v>
      </c>
      <c r="H442" s="94">
        <v>0.9</v>
      </c>
      <c r="I442" s="92"/>
      <c r="J442" s="93" t="s">
        <v>75</v>
      </c>
      <c r="K442" s="94">
        <f t="shared" ref="K442" si="142">ROUND(PRODUCT(E442:J442),3)</f>
        <v>0.34399999999999997</v>
      </c>
      <c r="L442" s="85"/>
    </row>
    <row r="443" spans="1:12" s="42" customFormat="1" ht="36.75" customHeight="1" collapsed="1" thickBot="1" x14ac:dyDescent="0.3">
      <c r="A443" s="58">
        <v>33</v>
      </c>
      <c r="B443" s="59" t="s">
        <v>279</v>
      </c>
      <c r="C443" s="60"/>
      <c r="D443" s="61" t="s">
        <v>4</v>
      </c>
      <c r="E443" s="61"/>
      <c r="F443" s="62"/>
      <c r="G443" s="62"/>
      <c r="H443" s="62"/>
      <c r="I443" s="63"/>
      <c r="J443" s="61"/>
      <c r="K443" s="64">
        <f>SUBTOTAL(9,K444:K478)</f>
        <v>458.47199999999998</v>
      </c>
      <c r="L443" s="65"/>
    </row>
    <row r="444" spans="1:12" s="42" customFormat="1" ht="24.95" hidden="1" customHeight="1" outlineLevel="1" x14ac:dyDescent="0.25">
      <c r="A444" s="66">
        <v>19.100000000000001</v>
      </c>
      <c r="B444" s="59" t="s">
        <v>167</v>
      </c>
      <c r="C444" s="60"/>
      <c r="D444" s="61" t="s">
        <v>4</v>
      </c>
      <c r="E444" s="61"/>
      <c r="F444" s="62"/>
      <c r="G444" s="62"/>
      <c r="H444" s="62"/>
      <c r="I444" s="63"/>
      <c r="J444" s="61"/>
      <c r="K444" s="64">
        <f>SUBTOTAL(9,K445:K450)</f>
        <v>48.105000000000004</v>
      </c>
      <c r="L444" s="67"/>
    </row>
    <row r="445" spans="1:12" s="43" customFormat="1" ht="20.100000000000001" hidden="1" customHeight="1" outlineLevel="2" x14ac:dyDescent="0.25">
      <c r="A445" s="68"/>
      <c r="B445" s="69"/>
      <c r="C445" s="70" t="s">
        <v>168</v>
      </c>
      <c r="D445" s="71" t="s">
        <v>4</v>
      </c>
      <c r="E445" s="72">
        <v>1</v>
      </c>
      <c r="F445" s="73">
        <v>3</v>
      </c>
      <c r="G445" s="73">
        <f>0.875+2.275</f>
        <v>3.15</v>
      </c>
      <c r="H445" s="74"/>
      <c r="I445" s="73"/>
      <c r="J445" s="75" t="s">
        <v>75</v>
      </c>
      <c r="K445" s="74">
        <f t="shared" ref="K445:K450" si="143">ROUND(PRODUCT(E445:J445),3)</f>
        <v>9.4499999999999993</v>
      </c>
      <c r="L445" s="76"/>
    </row>
    <row r="446" spans="1:12" s="43" customFormat="1" ht="20.100000000000001" hidden="1" customHeight="1" outlineLevel="2" x14ac:dyDescent="0.25">
      <c r="A446" s="77"/>
      <c r="B446" s="78"/>
      <c r="C446" s="79" t="s">
        <v>216</v>
      </c>
      <c r="D446" s="80" t="s">
        <v>4</v>
      </c>
      <c r="E446" s="81">
        <v>-1</v>
      </c>
      <c r="F446" s="82">
        <v>2.4</v>
      </c>
      <c r="G446" s="82">
        <v>2.7050000000000001</v>
      </c>
      <c r="H446" s="83"/>
      <c r="I446" s="82"/>
      <c r="J446" s="84" t="s">
        <v>75</v>
      </c>
      <c r="K446" s="83">
        <f t="shared" si="143"/>
        <v>-6.492</v>
      </c>
      <c r="L446" s="85"/>
    </row>
    <row r="447" spans="1:12" s="43" customFormat="1" ht="20.100000000000001" hidden="1" customHeight="1" outlineLevel="2" x14ac:dyDescent="0.25">
      <c r="A447" s="77"/>
      <c r="B447" s="78"/>
      <c r="C447" s="79" t="s">
        <v>361</v>
      </c>
      <c r="D447" s="80" t="s">
        <v>4</v>
      </c>
      <c r="E447" s="81">
        <v>-1</v>
      </c>
      <c r="F447" s="82">
        <v>2.4</v>
      </c>
      <c r="G447" s="82">
        <v>1.3</v>
      </c>
      <c r="H447" s="83"/>
      <c r="I447" s="82"/>
      <c r="J447" s="84" t="s">
        <v>75</v>
      </c>
      <c r="K447" s="83">
        <f t="shared" si="143"/>
        <v>-3.12</v>
      </c>
      <c r="L447" s="85"/>
    </row>
    <row r="448" spans="1:12" s="43" customFormat="1" ht="19.5" hidden="1" customHeight="1" outlineLevel="2" x14ac:dyDescent="0.25">
      <c r="A448" s="77"/>
      <c r="B448" s="78"/>
      <c r="C448" s="79" t="s">
        <v>214</v>
      </c>
      <c r="D448" s="80" t="s">
        <v>4</v>
      </c>
      <c r="E448" s="81">
        <v>1</v>
      </c>
      <c r="F448" s="82">
        <v>12.78</v>
      </c>
      <c r="G448" s="82">
        <v>3.15</v>
      </c>
      <c r="H448" s="83"/>
      <c r="I448" s="82"/>
      <c r="J448" s="84" t="s">
        <v>75</v>
      </c>
      <c r="K448" s="83">
        <f t="shared" si="143"/>
        <v>40.256999999999998</v>
      </c>
      <c r="L448" s="85"/>
    </row>
    <row r="449" spans="1:12" s="43" customFormat="1" ht="19.5" hidden="1" customHeight="1" outlineLevel="2" x14ac:dyDescent="0.25">
      <c r="A449" s="77"/>
      <c r="B449" s="78"/>
      <c r="C449" s="79" t="s">
        <v>169</v>
      </c>
      <c r="D449" s="80" t="s">
        <v>4</v>
      </c>
      <c r="E449" s="81">
        <v>1</v>
      </c>
      <c r="F449" s="82">
        <v>3</v>
      </c>
      <c r="G449" s="82">
        <v>3.15</v>
      </c>
      <c r="H449" s="83"/>
      <c r="I449" s="82"/>
      <c r="J449" s="84" t="s">
        <v>75</v>
      </c>
      <c r="K449" s="83">
        <f t="shared" si="143"/>
        <v>9.4499999999999993</v>
      </c>
      <c r="L449" s="85"/>
    </row>
    <row r="450" spans="1:12" s="43" customFormat="1" ht="19.5" hidden="1" customHeight="1" outlineLevel="2" thickBot="1" x14ac:dyDescent="0.3">
      <c r="A450" s="90"/>
      <c r="B450" s="91"/>
      <c r="C450" s="117" t="s">
        <v>223</v>
      </c>
      <c r="D450" s="80" t="s">
        <v>4</v>
      </c>
      <c r="E450" s="81">
        <v>-1</v>
      </c>
      <c r="F450" s="82">
        <v>1.2</v>
      </c>
      <c r="G450" s="82">
        <v>1.2</v>
      </c>
      <c r="H450" s="83"/>
      <c r="I450" s="82"/>
      <c r="J450" s="84" t="s">
        <v>75</v>
      </c>
      <c r="K450" s="83">
        <f t="shared" si="143"/>
        <v>-1.44</v>
      </c>
      <c r="L450" s="95"/>
    </row>
    <row r="451" spans="1:12" s="42" customFormat="1" ht="24.95" hidden="1" customHeight="1" outlineLevel="1" x14ac:dyDescent="0.25">
      <c r="A451" s="66">
        <v>19.2</v>
      </c>
      <c r="B451" s="59" t="s">
        <v>55</v>
      </c>
      <c r="C451" s="60"/>
      <c r="D451" s="61" t="s">
        <v>4</v>
      </c>
      <c r="E451" s="61"/>
      <c r="F451" s="62"/>
      <c r="G451" s="62"/>
      <c r="H451" s="62"/>
      <c r="I451" s="63"/>
      <c r="J451" s="61"/>
      <c r="K451" s="64">
        <f>SUBTOTAL(9,K452:K455)</f>
        <v>48.09</v>
      </c>
      <c r="L451" s="67"/>
    </row>
    <row r="452" spans="1:12" s="43" customFormat="1" ht="20.100000000000001" hidden="1" customHeight="1" outlineLevel="2" x14ac:dyDescent="0.25">
      <c r="A452" s="77"/>
      <c r="B452" s="78"/>
      <c r="C452" s="79" t="s">
        <v>168</v>
      </c>
      <c r="D452" s="80" t="s">
        <v>4</v>
      </c>
      <c r="E452" s="81">
        <v>1</v>
      </c>
      <c r="F452" s="82">
        <v>3</v>
      </c>
      <c r="G452" s="82">
        <f>3.325-0.12+0.35</f>
        <v>3.5550000000000002</v>
      </c>
      <c r="H452" s="83"/>
      <c r="I452" s="82"/>
      <c r="J452" s="84" t="s">
        <v>75</v>
      </c>
      <c r="K452" s="83">
        <f>ROUND(PRODUCT(E452:J452),3)</f>
        <v>10.664999999999999</v>
      </c>
      <c r="L452" s="85"/>
    </row>
    <row r="453" spans="1:12" s="43" customFormat="1" ht="20.100000000000001" hidden="1" customHeight="1" outlineLevel="2" x14ac:dyDescent="0.25">
      <c r="A453" s="105"/>
      <c r="B453" s="106"/>
      <c r="C453" s="126" t="s">
        <v>220</v>
      </c>
      <c r="D453" s="80" t="s">
        <v>4</v>
      </c>
      <c r="E453" s="81">
        <v>-1</v>
      </c>
      <c r="F453" s="82">
        <v>2.4</v>
      </c>
      <c r="G453" s="82">
        <v>2.9249999999999998</v>
      </c>
      <c r="H453" s="83"/>
      <c r="I453" s="82"/>
      <c r="J453" s="84" t="s">
        <v>75</v>
      </c>
      <c r="K453" s="83">
        <f>ROUND(PRODUCT(E453:J453),3)</f>
        <v>-7.02</v>
      </c>
      <c r="L453" s="107"/>
    </row>
    <row r="454" spans="1:12" s="43" customFormat="1" ht="20.100000000000001" hidden="1" customHeight="1" outlineLevel="2" x14ac:dyDescent="0.25">
      <c r="A454" s="105"/>
      <c r="B454" s="106"/>
      <c r="C454" s="126" t="s">
        <v>214</v>
      </c>
      <c r="D454" s="80" t="s">
        <v>4</v>
      </c>
      <c r="E454" s="81">
        <v>1</v>
      </c>
      <c r="F454" s="82">
        <v>13.22</v>
      </c>
      <c r="G454" s="82">
        <v>3.3250000000000002</v>
      </c>
      <c r="H454" s="83"/>
      <c r="I454" s="82"/>
      <c r="J454" s="84" t="s">
        <v>75</v>
      </c>
      <c r="K454" s="83">
        <f>ROUND(PRODUCT(E454:J454),3)</f>
        <v>43.957000000000001</v>
      </c>
      <c r="L454" s="107"/>
    </row>
    <row r="455" spans="1:12" s="43" customFormat="1" ht="20.100000000000001" hidden="1" customHeight="1" outlineLevel="2" thickBot="1" x14ac:dyDescent="0.3">
      <c r="A455" s="96"/>
      <c r="B455" s="97"/>
      <c r="C455" s="98" t="s">
        <v>163</v>
      </c>
      <c r="D455" s="99" t="s">
        <v>4</v>
      </c>
      <c r="E455" s="100">
        <v>1</v>
      </c>
      <c r="F455" s="101">
        <v>0.746</v>
      </c>
      <c r="G455" s="101">
        <v>0.22</v>
      </c>
      <c r="H455" s="102">
        <v>2.9750000000000001</v>
      </c>
      <c r="I455" s="101"/>
      <c r="J455" s="103" t="s">
        <v>75</v>
      </c>
      <c r="K455" s="102">
        <f>ROUND(PRODUCT(E455:J455),3)</f>
        <v>0.48799999999999999</v>
      </c>
      <c r="L455" s="104"/>
    </row>
    <row r="456" spans="1:12" s="42" customFormat="1" ht="24.95" hidden="1" customHeight="1" outlineLevel="1" x14ac:dyDescent="0.25">
      <c r="A456" s="66">
        <v>19.3</v>
      </c>
      <c r="B456" s="59" t="s">
        <v>175</v>
      </c>
      <c r="C456" s="60"/>
      <c r="D456" s="61" t="s">
        <v>4</v>
      </c>
      <c r="E456" s="61"/>
      <c r="F456" s="62"/>
      <c r="G456" s="62"/>
      <c r="H456" s="62"/>
      <c r="I456" s="63"/>
      <c r="J456" s="61"/>
      <c r="K456" s="64">
        <f>SUBTOTAL(9,K457:K464)</f>
        <v>81.316999999999993</v>
      </c>
      <c r="L456" s="67"/>
    </row>
    <row r="457" spans="1:12" s="43" customFormat="1" ht="20.100000000000001" hidden="1" customHeight="1" outlineLevel="2" x14ac:dyDescent="0.25">
      <c r="A457" s="68"/>
      <c r="B457" s="69" t="s">
        <v>217</v>
      </c>
      <c r="C457" s="70" t="s">
        <v>231</v>
      </c>
      <c r="D457" s="71" t="s">
        <v>4</v>
      </c>
      <c r="E457" s="72">
        <v>1</v>
      </c>
      <c r="F457" s="73">
        <v>0.7</v>
      </c>
      <c r="G457" s="73">
        <v>2.9750000000000001</v>
      </c>
      <c r="H457" s="74"/>
      <c r="I457" s="73"/>
      <c r="J457" s="75" t="s">
        <v>75</v>
      </c>
      <c r="K457" s="74">
        <f t="shared" ref="K457:K464" si="144">ROUND(PRODUCT(E457:J457),3)</f>
        <v>2.0830000000000002</v>
      </c>
      <c r="L457" s="76"/>
    </row>
    <row r="458" spans="1:12" s="43" customFormat="1" ht="20.100000000000001" hidden="1" customHeight="1" outlineLevel="2" x14ac:dyDescent="0.25">
      <c r="A458" s="77"/>
      <c r="B458" s="78"/>
      <c r="C458" s="79"/>
      <c r="D458" s="80" t="s">
        <v>4</v>
      </c>
      <c r="E458" s="81">
        <v>1</v>
      </c>
      <c r="F458" s="82">
        <v>3</v>
      </c>
      <c r="G458" s="82">
        <v>2.9750000000000001</v>
      </c>
      <c r="H458" s="83"/>
      <c r="I458" s="82"/>
      <c r="J458" s="84" t="s">
        <v>75</v>
      </c>
      <c r="K458" s="83">
        <f t="shared" si="144"/>
        <v>8.9250000000000007</v>
      </c>
      <c r="L458" s="85"/>
    </row>
    <row r="459" spans="1:12" s="43" customFormat="1" ht="20.100000000000001" hidden="1" customHeight="1" outlineLevel="2" x14ac:dyDescent="0.25">
      <c r="A459" s="77"/>
      <c r="B459" s="78"/>
      <c r="C459" s="79" t="s">
        <v>223</v>
      </c>
      <c r="D459" s="80" t="s">
        <v>4</v>
      </c>
      <c r="E459" s="81">
        <v>-1</v>
      </c>
      <c r="F459" s="82">
        <v>2.4</v>
      </c>
      <c r="G459" s="82">
        <v>1.2</v>
      </c>
      <c r="H459" s="83"/>
      <c r="I459" s="82"/>
      <c r="J459" s="84" t="s">
        <v>75</v>
      </c>
      <c r="K459" s="83">
        <f t="shared" si="144"/>
        <v>-2.88</v>
      </c>
      <c r="L459" s="85"/>
    </row>
    <row r="460" spans="1:12" s="43" customFormat="1" ht="20.100000000000001" hidden="1" customHeight="1" outlineLevel="2" x14ac:dyDescent="0.25">
      <c r="A460" s="77"/>
      <c r="B460" s="78"/>
      <c r="C460" s="79" t="s">
        <v>361</v>
      </c>
      <c r="D460" s="80" t="s">
        <v>4</v>
      </c>
      <c r="E460" s="81">
        <v>-1</v>
      </c>
      <c r="F460" s="82">
        <v>2.4</v>
      </c>
      <c r="G460" s="82">
        <v>1.3</v>
      </c>
      <c r="H460" s="83"/>
      <c r="I460" s="82"/>
      <c r="J460" s="84" t="s">
        <v>75</v>
      </c>
      <c r="K460" s="83">
        <f>ROUND(PRODUCT(E460:J460),3)</f>
        <v>-3.12</v>
      </c>
      <c r="L460" s="85"/>
    </row>
    <row r="461" spans="1:12" s="43" customFormat="1" ht="20.100000000000001" hidden="1" customHeight="1" outlineLevel="2" x14ac:dyDescent="0.25">
      <c r="A461" s="77"/>
      <c r="B461" s="78"/>
      <c r="C461" s="79" t="s">
        <v>163</v>
      </c>
      <c r="D461" s="80" t="s">
        <v>4</v>
      </c>
      <c r="E461" s="81">
        <v>1</v>
      </c>
      <c r="F461" s="82">
        <v>4.6900000000000004</v>
      </c>
      <c r="G461" s="82">
        <v>2.9750000000000001</v>
      </c>
      <c r="H461" s="83"/>
      <c r="I461" s="82"/>
      <c r="J461" s="84" t="s">
        <v>75</v>
      </c>
      <c r="K461" s="83">
        <f t="shared" si="144"/>
        <v>13.952999999999999</v>
      </c>
      <c r="L461" s="85"/>
    </row>
    <row r="462" spans="1:12" s="43" customFormat="1" ht="20.100000000000001" hidden="1" customHeight="1" outlineLevel="2" x14ac:dyDescent="0.25">
      <c r="A462" s="77"/>
      <c r="B462" s="78"/>
      <c r="C462" s="79" t="s">
        <v>222</v>
      </c>
      <c r="D462" s="80" t="s">
        <v>4</v>
      </c>
      <c r="E462" s="81">
        <v>1</v>
      </c>
      <c r="F462" s="82">
        <v>4.04</v>
      </c>
      <c r="G462" s="82">
        <v>2.9750000000000001</v>
      </c>
      <c r="H462" s="83"/>
      <c r="I462" s="82"/>
      <c r="J462" s="84" t="s">
        <v>75</v>
      </c>
      <c r="K462" s="83">
        <f t="shared" si="144"/>
        <v>12.019</v>
      </c>
      <c r="L462" s="85"/>
    </row>
    <row r="463" spans="1:12" s="43" customFormat="1" ht="20.100000000000001" hidden="1" customHeight="1" outlineLevel="2" x14ac:dyDescent="0.25">
      <c r="A463" s="77"/>
      <c r="B463" s="78" t="s">
        <v>214</v>
      </c>
      <c r="C463" s="79"/>
      <c r="D463" s="80" t="s">
        <v>4</v>
      </c>
      <c r="E463" s="81">
        <v>1</v>
      </c>
      <c r="F463" s="82">
        <v>13.92</v>
      </c>
      <c r="G463" s="82">
        <v>2.9750000000000001</v>
      </c>
      <c r="H463" s="83"/>
      <c r="I463" s="82"/>
      <c r="J463" s="84" t="s">
        <v>75</v>
      </c>
      <c r="K463" s="83">
        <f t="shared" si="144"/>
        <v>41.411999999999999</v>
      </c>
      <c r="L463" s="85"/>
    </row>
    <row r="464" spans="1:12" s="43" customFormat="1" ht="20.100000000000001" hidden="1" customHeight="1" outlineLevel="2" thickBot="1" x14ac:dyDescent="0.3">
      <c r="A464" s="96"/>
      <c r="B464" s="97"/>
      <c r="C464" s="98" t="s">
        <v>219</v>
      </c>
      <c r="D464" s="99" t="s">
        <v>4</v>
      </c>
      <c r="E464" s="100">
        <v>1</v>
      </c>
      <c r="F464" s="101">
        <v>3</v>
      </c>
      <c r="G464" s="101">
        <v>2.9750000000000001</v>
      </c>
      <c r="H464" s="102"/>
      <c r="I464" s="101"/>
      <c r="J464" s="103" t="s">
        <v>75</v>
      </c>
      <c r="K464" s="102">
        <f t="shared" si="144"/>
        <v>8.9250000000000007</v>
      </c>
      <c r="L464" s="104"/>
    </row>
    <row r="465" spans="1:12" s="42" customFormat="1" ht="24.95" hidden="1" customHeight="1" outlineLevel="1" x14ac:dyDescent="0.25">
      <c r="A465" s="66">
        <v>19.399999999999999</v>
      </c>
      <c r="B465" s="59" t="s">
        <v>237</v>
      </c>
      <c r="C465" s="60"/>
      <c r="D465" s="61" t="s">
        <v>4</v>
      </c>
      <c r="E465" s="61"/>
      <c r="F465" s="62"/>
      <c r="G465" s="62"/>
      <c r="H465" s="62"/>
      <c r="I465" s="63"/>
      <c r="J465" s="61"/>
      <c r="K465" s="64">
        <f>SUBTOTAL(9,K466:K469)</f>
        <v>189.69000000000003</v>
      </c>
      <c r="L465" s="67"/>
    </row>
    <row r="466" spans="1:12" s="43" customFormat="1" ht="20.100000000000001" hidden="1" customHeight="1" outlineLevel="2" x14ac:dyDescent="0.25">
      <c r="A466" s="68"/>
      <c r="B466" s="69" t="s">
        <v>280</v>
      </c>
      <c r="C466" s="70"/>
      <c r="D466" s="71" t="s">
        <v>4</v>
      </c>
      <c r="E466" s="72">
        <v>4</v>
      </c>
      <c r="F466" s="73">
        <v>14.1</v>
      </c>
      <c r="G466" s="73">
        <v>2.9750000000000001</v>
      </c>
      <c r="H466" s="74"/>
      <c r="I466" s="73"/>
      <c r="J466" s="75" t="s">
        <v>75</v>
      </c>
      <c r="K466" s="74">
        <f>ROUND(PRODUCT(E466:J466),3)</f>
        <v>167.79</v>
      </c>
      <c r="L466" s="76"/>
    </row>
    <row r="467" spans="1:12" s="43" customFormat="1" ht="20.100000000000001" hidden="1" customHeight="1" outlineLevel="2" x14ac:dyDescent="0.25">
      <c r="A467" s="77"/>
      <c r="B467" s="78" t="s">
        <v>281</v>
      </c>
      <c r="C467" s="79"/>
      <c r="D467" s="80" t="s">
        <v>4</v>
      </c>
      <c r="E467" s="81">
        <v>4</v>
      </c>
      <c r="F467" s="82">
        <v>3</v>
      </c>
      <c r="G467" s="82">
        <v>2.9750000000000001</v>
      </c>
      <c r="H467" s="83"/>
      <c r="I467" s="82"/>
      <c r="J467" s="84" t="s">
        <v>75</v>
      </c>
      <c r="K467" s="83">
        <f>ROUND(PRODUCT(E467:J467),3)</f>
        <v>35.700000000000003</v>
      </c>
      <c r="L467" s="85"/>
    </row>
    <row r="468" spans="1:12" s="43" customFormat="1" ht="20.100000000000001" hidden="1" customHeight="1" outlineLevel="2" x14ac:dyDescent="0.25">
      <c r="A468" s="105"/>
      <c r="B468" s="106"/>
      <c r="C468" s="79" t="s">
        <v>361</v>
      </c>
      <c r="D468" s="80" t="s">
        <v>4</v>
      </c>
      <c r="E468" s="81">
        <v>-2</v>
      </c>
      <c r="F468" s="82">
        <v>2.4</v>
      </c>
      <c r="G468" s="82">
        <v>1.675</v>
      </c>
      <c r="H468" s="83"/>
      <c r="I468" s="82"/>
      <c r="J468" s="84" t="s">
        <v>75</v>
      </c>
      <c r="K468" s="83">
        <f>ROUND(PRODUCT(E468:J468),3)</f>
        <v>-8.0399999999999991</v>
      </c>
      <c r="L468" s="107"/>
    </row>
    <row r="469" spans="1:12" s="43" customFormat="1" ht="20.100000000000001" hidden="1" customHeight="1" outlineLevel="2" thickBot="1" x14ac:dyDescent="0.3">
      <c r="A469" s="96"/>
      <c r="B469" s="97"/>
      <c r="C469" s="98" t="s">
        <v>223</v>
      </c>
      <c r="D469" s="99" t="s">
        <v>4</v>
      </c>
      <c r="E469" s="100">
        <v>-2</v>
      </c>
      <c r="F469" s="101">
        <v>2.4</v>
      </c>
      <c r="G469" s="101">
        <v>1.2</v>
      </c>
      <c r="H469" s="102"/>
      <c r="I469" s="101"/>
      <c r="J469" s="103" t="s">
        <v>75</v>
      </c>
      <c r="K469" s="102">
        <f>ROUND(PRODUCT(E469:J469),3)</f>
        <v>-5.76</v>
      </c>
      <c r="L469" s="104"/>
    </row>
    <row r="470" spans="1:12" s="42" customFormat="1" ht="24.95" hidden="1" customHeight="1" outlineLevel="1" thickBot="1" x14ac:dyDescent="0.3">
      <c r="A470" s="148">
        <v>19.5</v>
      </c>
      <c r="B470" s="149" t="s">
        <v>177</v>
      </c>
      <c r="C470" s="150"/>
      <c r="D470" s="151" t="s">
        <v>4</v>
      </c>
      <c r="E470" s="151"/>
      <c r="F470" s="152"/>
      <c r="G470" s="152"/>
      <c r="H470" s="152"/>
      <c r="I470" s="153"/>
      <c r="J470" s="151"/>
      <c r="K470" s="154">
        <f>SUBTOTAL(9,K471:K478)</f>
        <v>91.27000000000001</v>
      </c>
      <c r="L470" s="155"/>
    </row>
    <row r="471" spans="1:12" s="43" customFormat="1" ht="20.100000000000001" hidden="1" customHeight="1" outlineLevel="2" x14ac:dyDescent="0.25">
      <c r="A471" s="156"/>
      <c r="B471" s="157"/>
      <c r="C471" s="158" t="s">
        <v>217</v>
      </c>
      <c r="D471" s="159" t="s">
        <v>4</v>
      </c>
      <c r="E471" s="160">
        <v>1</v>
      </c>
      <c r="F471" s="161">
        <v>5.19</v>
      </c>
      <c r="G471" s="161">
        <v>2.9750000000000001</v>
      </c>
      <c r="H471" s="162"/>
      <c r="I471" s="161"/>
      <c r="J471" s="163" t="s">
        <v>75</v>
      </c>
      <c r="K471" s="162">
        <f t="shared" ref="K471:K477" si="145">ROUND(PRODUCT(E471:J471),3)</f>
        <v>15.44</v>
      </c>
      <c r="L471" s="164"/>
    </row>
    <row r="472" spans="1:12" s="43" customFormat="1" ht="20.100000000000001" hidden="1" customHeight="1" outlineLevel="2" x14ac:dyDescent="0.25">
      <c r="A472" s="77"/>
      <c r="B472" s="78"/>
      <c r="C472" s="79" t="s">
        <v>214</v>
      </c>
      <c r="D472" s="80" t="s">
        <v>4</v>
      </c>
      <c r="E472" s="81">
        <v>1</v>
      </c>
      <c r="F472" s="82">
        <v>4.5999999999999996</v>
      </c>
      <c r="G472" s="82">
        <v>2.9750000000000001</v>
      </c>
      <c r="H472" s="83"/>
      <c r="I472" s="82"/>
      <c r="J472" s="84" t="s">
        <v>75</v>
      </c>
      <c r="K472" s="83">
        <f t="shared" si="145"/>
        <v>13.685</v>
      </c>
      <c r="L472" s="85"/>
    </row>
    <row r="473" spans="1:12" s="43" customFormat="1" ht="20.100000000000001" hidden="1" customHeight="1" outlineLevel="2" x14ac:dyDescent="0.25">
      <c r="A473" s="77"/>
      <c r="B473" s="78"/>
      <c r="C473" s="79" t="s">
        <v>225</v>
      </c>
      <c r="D473" s="80" t="s">
        <v>4</v>
      </c>
      <c r="E473" s="81">
        <v>1</v>
      </c>
      <c r="F473" s="82">
        <f>1.88+0.59+1.12</f>
        <v>3.59</v>
      </c>
      <c r="G473" s="82">
        <v>2.9750000000000001</v>
      </c>
      <c r="H473" s="83"/>
      <c r="I473" s="82"/>
      <c r="J473" s="84" t="s">
        <v>75</v>
      </c>
      <c r="K473" s="83">
        <f t="shared" si="145"/>
        <v>10.68</v>
      </c>
      <c r="L473" s="85"/>
    </row>
    <row r="474" spans="1:12" s="43" customFormat="1" ht="20.100000000000001" hidden="1" customHeight="1" outlineLevel="2" x14ac:dyDescent="0.25">
      <c r="A474" s="77"/>
      <c r="B474" s="78"/>
      <c r="C474" s="79" t="s">
        <v>174</v>
      </c>
      <c r="D474" s="80" t="s">
        <v>4</v>
      </c>
      <c r="E474" s="81">
        <v>1</v>
      </c>
      <c r="F474" s="82">
        <f>3+0.22*2</f>
        <v>3.44</v>
      </c>
      <c r="G474" s="82">
        <v>2.9750000000000001</v>
      </c>
      <c r="H474" s="83"/>
      <c r="I474" s="82"/>
      <c r="J474" s="84" t="s">
        <v>75</v>
      </c>
      <c r="K474" s="83">
        <f t="shared" si="145"/>
        <v>10.234</v>
      </c>
      <c r="L474" s="85"/>
    </row>
    <row r="475" spans="1:12" s="43" customFormat="1" ht="20.100000000000001" hidden="1" customHeight="1" outlineLevel="2" x14ac:dyDescent="0.25">
      <c r="A475" s="77"/>
      <c r="B475" s="78"/>
      <c r="C475" s="78" t="s">
        <v>282</v>
      </c>
      <c r="D475" s="80" t="s">
        <v>4</v>
      </c>
      <c r="E475" s="81">
        <v>-2</v>
      </c>
      <c r="F475" s="82">
        <v>0.9</v>
      </c>
      <c r="G475" s="82">
        <v>2.1</v>
      </c>
      <c r="H475" s="83"/>
      <c r="I475" s="82"/>
      <c r="J475" s="84" t="s">
        <v>75</v>
      </c>
      <c r="K475" s="83">
        <f t="shared" si="145"/>
        <v>-3.78</v>
      </c>
      <c r="L475" s="85"/>
    </row>
    <row r="476" spans="1:12" s="43" customFormat="1" ht="20.100000000000001" hidden="1" customHeight="1" outlineLevel="2" x14ac:dyDescent="0.25">
      <c r="A476" s="77"/>
      <c r="B476" s="78"/>
      <c r="C476" s="79" t="s">
        <v>283</v>
      </c>
      <c r="D476" s="80" t="s">
        <v>4</v>
      </c>
      <c r="E476" s="81">
        <v>2</v>
      </c>
      <c r="F476" s="82">
        <v>3</v>
      </c>
      <c r="G476" s="82">
        <v>2.9750000000000001</v>
      </c>
      <c r="H476" s="83"/>
      <c r="I476" s="82"/>
      <c r="J476" s="84" t="s">
        <v>75</v>
      </c>
      <c r="K476" s="83">
        <f t="shared" si="145"/>
        <v>17.850000000000001</v>
      </c>
      <c r="L476" s="85"/>
    </row>
    <row r="477" spans="1:12" s="43" customFormat="1" ht="20.100000000000001" hidden="1" customHeight="1" outlineLevel="2" x14ac:dyDescent="0.25">
      <c r="A477" s="77"/>
      <c r="B477" s="78"/>
      <c r="C477" s="78"/>
      <c r="D477" s="80" t="s">
        <v>4</v>
      </c>
      <c r="E477" s="81">
        <v>2</v>
      </c>
      <c r="F477" s="82">
        <v>5.19</v>
      </c>
      <c r="G477" s="82">
        <v>2.9750000000000001</v>
      </c>
      <c r="H477" s="83"/>
      <c r="I477" s="82"/>
      <c r="J477" s="84" t="s">
        <v>75</v>
      </c>
      <c r="K477" s="83">
        <f t="shared" si="145"/>
        <v>30.881</v>
      </c>
      <c r="L477" s="85"/>
    </row>
    <row r="478" spans="1:12" s="43" customFormat="1" ht="20.100000000000001" hidden="1" customHeight="1" outlineLevel="2" thickBot="1" x14ac:dyDescent="0.3">
      <c r="A478" s="90"/>
      <c r="B478" s="91"/>
      <c r="C478" s="117" t="s">
        <v>361</v>
      </c>
      <c r="D478" s="120" t="s">
        <v>4</v>
      </c>
      <c r="E478" s="121">
        <v>-2</v>
      </c>
      <c r="F478" s="92">
        <v>2.4</v>
      </c>
      <c r="G478" s="92">
        <v>0.77500000000000002</v>
      </c>
      <c r="H478" s="94"/>
      <c r="I478" s="92"/>
      <c r="J478" s="93" t="s">
        <v>75</v>
      </c>
      <c r="K478" s="94">
        <f>ROUND(PRODUCT(E478:J478),3)</f>
        <v>-3.72</v>
      </c>
      <c r="L478" s="95"/>
    </row>
    <row r="479" spans="1:12" s="42" customFormat="1" ht="36.75" customHeight="1" collapsed="1" thickBot="1" x14ac:dyDescent="0.3">
      <c r="A479" s="58">
        <v>34</v>
      </c>
      <c r="B479" s="59" t="s">
        <v>284</v>
      </c>
      <c r="C479" s="60"/>
      <c r="D479" s="61" t="s">
        <v>4</v>
      </c>
      <c r="E479" s="61"/>
      <c r="F479" s="62"/>
      <c r="G479" s="62"/>
      <c r="H479" s="62"/>
      <c r="I479" s="63"/>
      <c r="J479" s="61"/>
      <c r="K479" s="64">
        <f>SUBTOTAL(9,K480:K560)</f>
        <v>587.88281967677608</v>
      </c>
      <c r="L479" s="65"/>
    </row>
    <row r="480" spans="1:12" s="42" customFormat="1" ht="24.95" hidden="1" customHeight="1" outlineLevel="1" x14ac:dyDescent="0.25">
      <c r="A480" s="66">
        <v>20.100000000000001</v>
      </c>
      <c r="B480" s="59" t="s">
        <v>167</v>
      </c>
      <c r="C480" s="60"/>
      <c r="D480" s="61" t="s">
        <v>4</v>
      </c>
      <c r="E480" s="61"/>
      <c r="F480" s="62"/>
      <c r="G480" s="62"/>
      <c r="H480" s="62"/>
      <c r="I480" s="63"/>
      <c r="J480" s="61"/>
      <c r="K480" s="64">
        <f>SUBTOTAL(9,K481:K493)</f>
        <v>82.442999999999998</v>
      </c>
      <c r="L480" s="67"/>
    </row>
    <row r="481" spans="1:12" s="43" customFormat="1" ht="20.100000000000001" hidden="1" customHeight="1" outlineLevel="2" x14ac:dyDescent="0.25">
      <c r="A481" s="68"/>
      <c r="B481" s="69"/>
      <c r="C481" s="70" t="s">
        <v>168</v>
      </c>
      <c r="D481" s="71" t="s">
        <v>4</v>
      </c>
      <c r="E481" s="72">
        <v>1</v>
      </c>
      <c r="F481" s="73">
        <v>2.78</v>
      </c>
      <c r="G481" s="73">
        <v>3.03</v>
      </c>
      <c r="H481" s="74"/>
      <c r="I481" s="73"/>
      <c r="J481" s="75" t="s">
        <v>75</v>
      </c>
      <c r="K481" s="74">
        <f t="shared" ref="K481:K493" si="146">ROUND(PRODUCT(E481:J481),3)</f>
        <v>8.423</v>
      </c>
      <c r="L481" s="76"/>
    </row>
    <row r="482" spans="1:12" s="43" customFormat="1" ht="20.100000000000001" hidden="1" customHeight="1" outlineLevel="2" x14ac:dyDescent="0.25">
      <c r="A482" s="77"/>
      <c r="B482" s="78"/>
      <c r="C482" s="79" t="s">
        <v>216</v>
      </c>
      <c r="D482" s="80" t="s">
        <v>4</v>
      </c>
      <c r="E482" s="81">
        <v>-1</v>
      </c>
      <c r="F482" s="82">
        <v>2.4</v>
      </c>
      <c r="G482" s="82">
        <v>2.7050000000000001</v>
      </c>
      <c r="H482" s="83"/>
      <c r="I482" s="82"/>
      <c r="J482" s="84" t="s">
        <v>75</v>
      </c>
      <c r="K482" s="83">
        <f t="shared" si="146"/>
        <v>-6.492</v>
      </c>
      <c r="L482" s="85"/>
    </row>
    <row r="483" spans="1:12" s="43" customFormat="1" ht="19.5" hidden="1" customHeight="1" outlineLevel="2" x14ac:dyDescent="0.25">
      <c r="A483" s="77"/>
      <c r="B483" s="78"/>
      <c r="C483" s="79" t="s">
        <v>169</v>
      </c>
      <c r="D483" s="80" t="s">
        <v>4</v>
      </c>
      <c r="E483" s="81">
        <v>1</v>
      </c>
      <c r="F483" s="82">
        <f>2.56+0.22*2</f>
        <v>3</v>
      </c>
      <c r="G483" s="82">
        <v>3.15</v>
      </c>
      <c r="H483" s="83"/>
      <c r="I483" s="82"/>
      <c r="J483" s="84" t="s">
        <v>75</v>
      </c>
      <c r="K483" s="83">
        <f t="shared" si="146"/>
        <v>9.4499999999999993</v>
      </c>
      <c r="L483" s="85"/>
    </row>
    <row r="484" spans="1:12" s="43" customFormat="1" ht="19.5" hidden="1" customHeight="1" outlineLevel="2" x14ac:dyDescent="0.25">
      <c r="A484" s="105"/>
      <c r="B484" s="106"/>
      <c r="C484" s="126" t="s">
        <v>223</v>
      </c>
      <c r="D484" s="80" t="s">
        <v>4</v>
      </c>
      <c r="E484" s="81">
        <v>-1</v>
      </c>
      <c r="F484" s="82">
        <v>1.2</v>
      </c>
      <c r="G484" s="82">
        <v>1.2</v>
      </c>
      <c r="H484" s="83"/>
      <c r="I484" s="82"/>
      <c r="J484" s="84" t="s">
        <v>75</v>
      </c>
      <c r="K484" s="83">
        <f t="shared" si="146"/>
        <v>-1.44</v>
      </c>
      <c r="L484" s="107"/>
    </row>
    <row r="485" spans="1:12" s="43" customFormat="1" ht="19.5" hidden="1" customHeight="1" outlineLevel="2" x14ac:dyDescent="0.25">
      <c r="A485" s="105"/>
      <c r="B485" s="126" t="s">
        <v>217</v>
      </c>
      <c r="C485" s="126" t="s">
        <v>163</v>
      </c>
      <c r="D485" s="80" t="s">
        <v>4</v>
      </c>
      <c r="E485" s="81">
        <v>1</v>
      </c>
      <c r="F485" s="82">
        <v>3.77</v>
      </c>
      <c r="G485" s="82">
        <v>3.03</v>
      </c>
      <c r="H485" s="83"/>
      <c r="I485" s="82"/>
      <c r="J485" s="84" t="s">
        <v>75</v>
      </c>
      <c r="K485" s="83">
        <f t="shared" si="146"/>
        <v>11.423</v>
      </c>
      <c r="L485" s="107"/>
    </row>
    <row r="486" spans="1:12" s="43" customFormat="1" ht="19.5" hidden="1" customHeight="1" outlineLevel="2" x14ac:dyDescent="0.25">
      <c r="A486" s="105"/>
      <c r="B486" s="106"/>
      <c r="C486" s="126" t="s">
        <v>230</v>
      </c>
      <c r="D486" s="80" t="s">
        <v>4</v>
      </c>
      <c r="E486" s="81">
        <v>1</v>
      </c>
      <c r="F486" s="82">
        <f>0.22+0.7</f>
        <v>0.91999999999999993</v>
      </c>
      <c r="G486" s="82">
        <v>3.03</v>
      </c>
      <c r="H486" s="83"/>
      <c r="I486" s="82"/>
      <c r="J486" s="84" t="s">
        <v>75</v>
      </c>
      <c r="K486" s="83">
        <f t="shared" si="146"/>
        <v>2.7879999999999998</v>
      </c>
      <c r="L486" s="107"/>
    </row>
    <row r="487" spans="1:12" s="43" customFormat="1" ht="19.5" hidden="1" customHeight="1" outlineLevel="2" x14ac:dyDescent="0.25">
      <c r="A487" s="105"/>
      <c r="B487" s="106"/>
      <c r="C487" s="126" t="s">
        <v>221</v>
      </c>
      <c r="D487" s="80" t="s">
        <v>4</v>
      </c>
      <c r="E487" s="81">
        <v>1</v>
      </c>
      <c r="F487" s="82">
        <f>4.16-0.12</f>
        <v>4.04</v>
      </c>
      <c r="G487" s="82">
        <f>2.8-0.12</f>
        <v>2.6799999999999997</v>
      </c>
      <c r="H487" s="83"/>
      <c r="I487" s="82"/>
      <c r="J487" s="84" t="s">
        <v>75</v>
      </c>
      <c r="K487" s="83">
        <f t="shared" si="146"/>
        <v>10.827</v>
      </c>
      <c r="L487" s="107"/>
    </row>
    <row r="488" spans="1:12" s="43" customFormat="1" ht="19.5" hidden="1" customHeight="1" outlineLevel="2" x14ac:dyDescent="0.25">
      <c r="A488" s="105"/>
      <c r="B488" s="106"/>
      <c r="C488" s="126" t="s">
        <v>222</v>
      </c>
      <c r="D488" s="80" t="s">
        <v>4</v>
      </c>
      <c r="E488" s="81">
        <v>1</v>
      </c>
      <c r="F488" s="82">
        <f>3.38+0.22*3</f>
        <v>4.04</v>
      </c>
      <c r="G488" s="82">
        <v>2.68</v>
      </c>
      <c r="H488" s="83"/>
      <c r="I488" s="82"/>
      <c r="J488" s="84" t="s">
        <v>75</v>
      </c>
      <c r="K488" s="83">
        <f t="shared" si="146"/>
        <v>10.827</v>
      </c>
      <c r="L488" s="107"/>
    </row>
    <row r="489" spans="1:12" s="43" customFormat="1" ht="19.5" hidden="1" customHeight="1" outlineLevel="2" x14ac:dyDescent="0.25">
      <c r="A489" s="105"/>
      <c r="B489" s="106" t="s">
        <v>214</v>
      </c>
      <c r="C489" s="126" t="s">
        <v>163</v>
      </c>
      <c r="D489" s="80" t="s">
        <v>4</v>
      </c>
      <c r="E489" s="81">
        <v>1</v>
      </c>
      <c r="F489" s="82">
        <v>4.3600000000000003</v>
      </c>
      <c r="G489" s="82">
        <v>3.03</v>
      </c>
      <c r="H489" s="83"/>
      <c r="I489" s="82"/>
      <c r="J489" s="84" t="s">
        <v>75</v>
      </c>
      <c r="K489" s="83">
        <f t="shared" si="146"/>
        <v>13.211</v>
      </c>
      <c r="L489" s="107"/>
    </row>
    <row r="490" spans="1:12" s="43" customFormat="1" ht="19.5" hidden="1" customHeight="1" outlineLevel="2" x14ac:dyDescent="0.25">
      <c r="A490" s="105"/>
      <c r="B490" s="106"/>
      <c r="C490" s="126" t="s">
        <v>221</v>
      </c>
      <c r="D490" s="80" t="s">
        <v>4</v>
      </c>
      <c r="E490" s="81">
        <v>1</v>
      </c>
      <c r="F490" s="82">
        <v>4.5999999999999996</v>
      </c>
      <c r="G490" s="82">
        <f>2.8-0.12</f>
        <v>2.6799999999999997</v>
      </c>
      <c r="H490" s="83"/>
      <c r="I490" s="82"/>
      <c r="J490" s="84" t="s">
        <v>75</v>
      </c>
      <c r="K490" s="83">
        <f t="shared" si="146"/>
        <v>12.327999999999999</v>
      </c>
      <c r="L490" s="107"/>
    </row>
    <row r="491" spans="1:12" s="43" customFormat="1" ht="19.5" hidden="1" customHeight="1" outlineLevel="2" x14ac:dyDescent="0.25">
      <c r="A491" s="105"/>
      <c r="B491" s="106"/>
      <c r="C491" s="126" t="s">
        <v>222</v>
      </c>
      <c r="D491" s="80" t="s">
        <v>4</v>
      </c>
      <c r="E491" s="81">
        <v>1</v>
      </c>
      <c r="F491" s="82">
        <f>3.38+0.11*3</f>
        <v>3.71</v>
      </c>
      <c r="G491" s="82">
        <v>2.68</v>
      </c>
      <c r="H491" s="83"/>
      <c r="I491" s="82"/>
      <c r="J491" s="84" t="s">
        <v>75</v>
      </c>
      <c r="K491" s="83">
        <f t="shared" si="146"/>
        <v>9.9429999999999996</v>
      </c>
      <c r="L491" s="107"/>
    </row>
    <row r="492" spans="1:12" s="43" customFormat="1" ht="19.5" hidden="1" customHeight="1" outlineLevel="2" x14ac:dyDescent="0.25">
      <c r="A492" s="77"/>
      <c r="B492" s="78"/>
      <c r="C492" s="79" t="s">
        <v>286</v>
      </c>
      <c r="D492" s="80" t="s">
        <v>4</v>
      </c>
      <c r="E492" s="81">
        <v>0.5</v>
      </c>
      <c r="F492" s="82">
        <v>1.1200000000000001</v>
      </c>
      <c r="G492" s="82">
        <v>0.875</v>
      </c>
      <c r="H492" s="83"/>
      <c r="I492" s="82"/>
      <c r="J492" s="84" t="s">
        <v>75</v>
      </c>
      <c r="K492" s="83">
        <f t="shared" si="146"/>
        <v>0.49</v>
      </c>
      <c r="L492" s="85"/>
    </row>
    <row r="493" spans="1:12" s="43" customFormat="1" ht="19.5" hidden="1" customHeight="1" outlineLevel="2" thickBot="1" x14ac:dyDescent="0.3">
      <c r="A493" s="90"/>
      <c r="B493" s="91"/>
      <c r="C493" s="117"/>
      <c r="D493" s="80" t="s">
        <v>4</v>
      </c>
      <c r="E493" s="81">
        <v>1</v>
      </c>
      <c r="F493" s="82">
        <v>0.76</v>
      </c>
      <c r="G493" s="82">
        <v>0.875</v>
      </c>
      <c r="H493" s="83"/>
      <c r="I493" s="82"/>
      <c r="J493" s="84" t="s">
        <v>75</v>
      </c>
      <c r="K493" s="83">
        <f t="shared" si="146"/>
        <v>0.66500000000000004</v>
      </c>
      <c r="L493" s="95"/>
    </row>
    <row r="494" spans="1:12" s="42" customFormat="1" ht="24.95" hidden="1" customHeight="1" outlineLevel="1" x14ac:dyDescent="0.25">
      <c r="A494" s="66">
        <v>20.2</v>
      </c>
      <c r="B494" s="59" t="s">
        <v>55</v>
      </c>
      <c r="C494" s="60"/>
      <c r="D494" s="61" t="s">
        <v>4</v>
      </c>
      <c r="E494" s="61"/>
      <c r="F494" s="62"/>
      <c r="G494" s="62"/>
      <c r="H494" s="62"/>
      <c r="I494" s="63"/>
      <c r="J494" s="61"/>
      <c r="K494" s="64">
        <f>SUBTOTAL(9,K495:K509)</f>
        <v>104.23</v>
      </c>
      <c r="L494" s="67"/>
    </row>
    <row r="495" spans="1:12" s="43" customFormat="1" ht="20.100000000000001" hidden="1" customHeight="1" outlineLevel="2" x14ac:dyDescent="0.25">
      <c r="A495" s="77"/>
      <c r="B495" s="78"/>
      <c r="C495" s="79" t="s">
        <v>168</v>
      </c>
      <c r="D495" s="80" t="s">
        <v>4</v>
      </c>
      <c r="E495" s="81">
        <v>1</v>
      </c>
      <c r="F495" s="82">
        <v>2.67</v>
      </c>
      <c r="G495" s="82">
        <f>3.325-0.12</f>
        <v>3.2050000000000001</v>
      </c>
      <c r="H495" s="83"/>
      <c r="I495" s="82"/>
      <c r="J495" s="84" t="s">
        <v>75</v>
      </c>
      <c r="K495" s="83">
        <f t="shared" ref="K495:K509" si="147">ROUND(PRODUCT(E495:J495),3)</f>
        <v>8.5570000000000004</v>
      </c>
      <c r="L495" s="85"/>
    </row>
    <row r="496" spans="1:12" s="43" customFormat="1" ht="20.100000000000001" hidden="1" customHeight="1" outlineLevel="2" x14ac:dyDescent="0.25">
      <c r="A496" s="105"/>
      <c r="B496" s="106"/>
      <c r="C496" s="126" t="s">
        <v>220</v>
      </c>
      <c r="D496" s="80" t="s">
        <v>4</v>
      </c>
      <c r="E496" s="81">
        <v>-1</v>
      </c>
      <c r="F496" s="82">
        <v>2.4</v>
      </c>
      <c r="G496" s="82">
        <v>2.9249999999999998</v>
      </c>
      <c r="H496" s="83"/>
      <c r="I496" s="82"/>
      <c r="J496" s="84" t="s">
        <v>75</v>
      </c>
      <c r="K496" s="83">
        <f t="shared" si="147"/>
        <v>-7.02</v>
      </c>
      <c r="L496" s="107"/>
    </row>
    <row r="497" spans="1:12" s="43" customFormat="1" ht="20.100000000000001" hidden="1" customHeight="1" outlineLevel="2" x14ac:dyDescent="0.25">
      <c r="A497" s="105"/>
      <c r="B497" s="106"/>
      <c r="C497" s="126" t="s">
        <v>174</v>
      </c>
      <c r="D497" s="80" t="s">
        <v>4</v>
      </c>
      <c r="E497" s="81">
        <v>2</v>
      </c>
      <c r="F497" s="82">
        <v>2.56</v>
      </c>
      <c r="G497" s="82">
        <f>2.8-0.12</f>
        <v>2.6799999999999997</v>
      </c>
      <c r="H497" s="83"/>
      <c r="I497" s="82"/>
      <c r="J497" s="84" t="s">
        <v>75</v>
      </c>
      <c r="K497" s="83">
        <f t="shared" si="147"/>
        <v>13.722</v>
      </c>
      <c r="L497" s="107"/>
    </row>
    <row r="498" spans="1:12" s="43" customFormat="1" ht="20.100000000000001" hidden="1" customHeight="1" outlineLevel="2" x14ac:dyDescent="0.25">
      <c r="A498" s="105"/>
      <c r="B498" s="106"/>
      <c r="C498" s="126" t="s">
        <v>287</v>
      </c>
      <c r="D498" s="80" t="s">
        <v>4</v>
      </c>
      <c r="E498" s="81">
        <v>-2</v>
      </c>
      <c r="F498" s="82">
        <v>0.9</v>
      </c>
      <c r="G498" s="82">
        <v>2.1</v>
      </c>
      <c r="H498" s="83"/>
      <c r="I498" s="82"/>
      <c r="J498" s="84" t="s">
        <v>75</v>
      </c>
      <c r="K498" s="83">
        <f t="shared" si="147"/>
        <v>-3.78</v>
      </c>
      <c r="L498" s="107"/>
    </row>
    <row r="499" spans="1:12" s="43" customFormat="1" ht="20.100000000000001" hidden="1" customHeight="1" outlineLevel="2" x14ac:dyDescent="0.25">
      <c r="A499" s="105"/>
      <c r="B499" s="106"/>
      <c r="C499" s="126" t="s">
        <v>169</v>
      </c>
      <c r="D499" s="80" t="s">
        <v>4</v>
      </c>
      <c r="E499" s="81">
        <v>1</v>
      </c>
      <c r="F499" s="82">
        <v>2.78</v>
      </c>
      <c r="G499" s="82">
        <f>2.8-0.12</f>
        <v>2.6799999999999997</v>
      </c>
      <c r="H499" s="83"/>
      <c r="I499" s="82"/>
      <c r="J499" s="84" t="s">
        <v>75</v>
      </c>
      <c r="K499" s="83">
        <f t="shared" si="147"/>
        <v>7.45</v>
      </c>
      <c r="L499" s="107"/>
    </row>
    <row r="500" spans="1:12" s="43" customFormat="1" ht="20.100000000000001" hidden="1" customHeight="1" outlineLevel="2" x14ac:dyDescent="0.25">
      <c r="A500" s="105"/>
      <c r="B500" s="106"/>
      <c r="C500" s="126"/>
      <c r="D500" s="80" t="s">
        <v>4</v>
      </c>
      <c r="E500" s="81">
        <v>1</v>
      </c>
      <c r="F500" s="82">
        <v>2.56</v>
      </c>
      <c r="G500" s="82">
        <f>2.8-0.12</f>
        <v>2.6799999999999997</v>
      </c>
      <c r="H500" s="83"/>
      <c r="I500" s="82"/>
      <c r="J500" s="84" t="s">
        <v>75</v>
      </c>
      <c r="K500" s="83">
        <f t="shared" si="147"/>
        <v>6.8609999999999998</v>
      </c>
      <c r="L500" s="107"/>
    </row>
    <row r="501" spans="1:12" s="43" customFormat="1" ht="20.100000000000001" hidden="1" customHeight="1" outlineLevel="2" x14ac:dyDescent="0.25">
      <c r="A501" s="105"/>
      <c r="B501" s="106"/>
      <c r="C501" s="126" t="s">
        <v>223</v>
      </c>
      <c r="D501" s="80" t="s">
        <v>4</v>
      </c>
      <c r="E501" s="81">
        <v>-2</v>
      </c>
      <c r="F501" s="82">
        <v>1.2</v>
      </c>
      <c r="G501" s="82">
        <v>1.2</v>
      </c>
      <c r="H501" s="83"/>
      <c r="I501" s="82"/>
      <c r="J501" s="84" t="s">
        <v>75</v>
      </c>
      <c r="K501" s="83">
        <f t="shared" si="147"/>
        <v>-2.88</v>
      </c>
      <c r="L501" s="107"/>
    </row>
    <row r="502" spans="1:12" s="43" customFormat="1" ht="20.100000000000001" hidden="1" customHeight="1" outlineLevel="2" x14ac:dyDescent="0.25">
      <c r="A502" s="105"/>
      <c r="B502" s="106"/>
      <c r="C502" s="126" t="s">
        <v>288</v>
      </c>
      <c r="D502" s="80" t="s">
        <v>4</v>
      </c>
      <c r="E502" s="81">
        <v>2</v>
      </c>
      <c r="F502" s="82">
        <v>0.44</v>
      </c>
      <c r="G502" s="82">
        <v>2.8</v>
      </c>
      <c r="H502" s="83"/>
      <c r="I502" s="82"/>
      <c r="J502" s="84" t="s">
        <v>75</v>
      </c>
      <c r="K502" s="83">
        <f t="shared" si="147"/>
        <v>2.464</v>
      </c>
      <c r="L502" s="107"/>
    </row>
    <row r="503" spans="1:12" s="43" customFormat="1" ht="20.100000000000001" hidden="1" customHeight="1" outlineLevel="2" x14ac:dyDescent="0.25">
      <c r="A503" s="105"/>
      <c r="B503" s="106"/>
      <c r="C503" s="126"/>
      <c r="D503" s="80" t="s">
        <v>4</v>
      </c>
      <c r="E503" s="81">
        <v>1</v>
      </c>
      <c r="F503" s="82">
        <v>2.56</v>
      </c>
      <c r="G503" s="82">
        <v>2.8</v>
      </c>
      <c r="H503" s="83"/>
      <c r="I503" s="82"/>
      <c r="J503" s="84" t="s">
        <v>75</v>
      </c>
      <c r="K503" s="83">
        <f t="shared" si="147"/>
        <v>7.1680000000000001</v>
      </c>
      <c r="L503" s="107"/>
    </row>
    <row r="504" spans="1:12" s="43" customFormat="1" ht="20.100000000000001" hidden="1" customHeight="1" outlineLevel="2" x14ac:dyDescent="0.25">
      <c r="A504" s="105"/>
      <c r="B504" s="106" t="s">
        <v>217</v>
      </c>
      <c r="C504" s="126" t="s">
        <v>163</v>
      </c>
      <c r="D504" s="80" t="s">
        <v>4</v>
      </c>
      <c r="E504" s="81">
        <v>1</v>
      </c>
      <c r="F504" s="82">
        <f>0.746+0.11+3.834+0.22</f>
        <v>4.91</v>
      </c>
      <c r="G504" s="82">
        <f>3.325-0.12</f>
        <v>3.2050000000000001</v>
      </c>
      <c r="H504" s="83"/>
      <c r="I504" s="82"/>
      <c r="J504" s="84" t="s">
        <v>75</v>
      </c>
      <c r="K504" s="83">
        <f t="shared" si="147"/>
        <v>15.737</v>
      </c>
      <c r="L504" s="107"/>
    </row>
    <row r="505" spans="1:12" s="43" customFormat="1" ht="20.100000000000001" hidden="1" customHeight="1" outlineLevel="2" x14ac:dyDescent="0.25">
      <c r="A505" s="105"/>
      <c r="B505" s="106"/>
      <c r="C505" s="126" t="s">
        <v>221</v>
      </c>
      <c r="D505" s="80" t="s">
        <v>4</v>
      </c>
      <c r="E505" s="81">
        <v>1</v>
      </c>
      <c r="F505" s="82">
        <f>4.16-0.12</f>
        <v>4.04</v>
      </c>
      <c r="G505" s="82">
        <f>2.8-0.12</f>
        <v>2.6799999999999997</v>
      </c>
      <c r="H505" s="83"/>
      <c r="I505" s="82"/>
      <c r="J505" s="84" t="s">
        <v>75</v>
      </c>
      <c r="K505" s="83">
        <f t="shared" si="147"/>
        <v>10.827</v>
      </c>
      <c r="L505" s="107"/>
    </row>
    <row r="506" spans="1:12" s="43" customFormat="1" ht="20.100000000000001" hidden="1" customHeight="1" outlineLevel="2" x14ac:dyDescent="0.25">
      <c r="A506" s="105"/>
      <c r="B506" s="106"/>
      <c r="C506" s="126" t="s">
        <v>222</v>
      </c>
      <c r="D506" s="80" t="s">
        <v>4</v>
      </c>
      <c r="E506" s="81">
        <v>1</v>
      </c>
      <c r="F506" s="82">
        <f>3.38+0.22</f>
        <v>3.6</v>
      </c>
      <c r="G506" s="82">
        <f>2.8-0.12</f>
        <v>2.6799999999999997</v>
      </c>
      <c r="H506" s="83"/>
      <c r="I506" s="82"/>
      <c r="J506" s="84" t="s">
        <v>75</v>
      </c>
      <c r="K506" s="83">
        <f t="shared" si="147"/>
        <v>9.6479999999999997</v>
      </c>
      <c r="L506" s="107"/>
    </row>
    <row r="507" spans="1:12" s="43" customFormat="1" ht="20.100000000000001" hidden="1" customHeight="1" outlineLevel="2" x14ac:dyDescent="0.25">
      <c r="A507" s="105"/>
      <c r="B507" s="106" t="s">
        <v>214</v>
      </c>
      <c r="C507" s="126" t="s">
        <v>163</v>
      </c>
      <c r="D507" s="80" t="s">
        <v>4</v>
      </c>
      <c r="E507" s="81">
        <v>1</v>
      </c>
      <c r="F507" s="82">
        <f>4.36+0.22</f>
        <v>4.58</v>
      </c>
      <c r="G507" s="82">
        <f>3.325-0.12</f>
        <v>3.2050000000000001</v>
      </c>
      <c r="H507" s="83"/>
      <c r="I507" s="82"/>
      <c r="J507" s="84" t="s">
        <v>75</v>
      </c>
      <c r="K507" s="83">
        <f t="shared" si="147"/>
        <v>14.679</v>
      </c>
      <c r="L507" s="107"/>
    </row>
    <row r="508" spans="1:12" s="43" customFormat="1" ht="20.100000000000001" hidden="1" customHeight="1" outlineLevel="2" x14ac:dyDescent="0.25">
      <c r="A508" s="105"/>
      <c r="B508" s="106"/>
      <c r="C508" s="126" t="s">
        <v>221</v>
      </c>
      <c r="D508" s="80" t="s">
        <v>4</v>
      </c>
      <c r="E508" s="81">
        <v>1</v>
      </c>
      <c r="F508" s="82">
        <v>4.16</v>
      </c>
      <c r="G508" s="82">
        <f>2.8-0.12</f>
        <v>2.6799999999999997</v>
      </c>
      <c r="H508" s="83"/>
      <c r="I508" s="82"/>
      <c r="J508" s="84" t="s">
        <v>75</v>
      </c>
      <c r="K508" s="83">
        <f t="shared" si="147"/>
        <v>11.148999999999999</v>
      </c>
      <c r="L508" s="107"/>
    </row>
    <row r="509" spans="1:12" s="43" customFormat="1" ht="20.100000000000001" hidden="1" customHeight="1" outlineLevel="2" thickBot="1" x14ac:dyDescent="0.3">
      <c r="A509" s="105"/>
      <c r="B509" s="106"/>
      <c r="C509" s="126" t="s">
        <v>222</v>
      </c>
      <c r="D509" s="80" t="s">
        <v>4</v>
      </c>
      <c r="E509" s="81">
        <v>1</v>
      </c>
      <c r="F509" s="82">
        <f>3.38+0.22</f>
        <v>3.6</v>
      </c>
      <c r="G509" s="82">
        <f>2.8-0.12</f>
        <v>2.6799999999999997</v>
      </c>
      <c r="H509" s="83"/>
      <c r="I509" s="82"/>
      <c r="J509" s="84" t="s">
        <v>75</v>
      </c>
      <c r="K509" s="83">
        <f t="shared" si="147"/>
        <v>9.6479999999999997</v>
      </c>
      <c r="L509" s="107"/>
    </row>
    <row r="510" spans="1:12" s="42" customFormat="1" ht="24.95" hidden="1" customHeight="1" outlineLevel="1" x14ac:dyDescent="0.25">
      <c r="A510" s="66">
        <v>20.3</v>
      </c>
      <c r="B510" s="59" t="s">
        <v>175</v>
      </c>
      <c r="C510" s="60"/>
      <c r="D510" s="61" t="s">
        <v>4</v>
      </c>
      <c r="E510" s="61"/>
      <c r="F510" s="62"/>
      <c r="G510" s="62"/>
      <c r="H510" s="62"/>
      <c r="I510" s="63"/>
      <c r="J510" s="61"/>
      <c r="K510" s="64">
        <f>SUBTOTAL(9,K511:K532)</f>
        <v>120.66199999999998</v>
      </c>
      <c r="L510" s="67"/>
    </row>
    <row r="511" spans="1:12" s="43" customFormat="1" ht="20.100000000000001" hidden="1" customHeight="1" outlineLevel="2" x14ac:dyDescent="0.25">
      <c r="A511" s="77"/>
      <c r="B511" s="78"/>
      <c r="C511" s="79" t="s">
        <v>168</v>
      </c>
      <c r="D511" s="80" t="s">
        <v>4</v>
      </c>
      <c r="E511" s="81">
        <v>1</v>
      </c>
      <c r="F511" s="82">
        <v>2.78</v>
      </c>
      <c r="G511" s="82">
        <f>2.975-0.12</f>
        <v>2.855</v>
      </c>
      <c r="H511" s="83"/>
      <c r="I511" s="82"/>
      <c r="J511" s="84" t="s">
        <v>75</v>
      </c>
      <c r="K511" s="83">
        <f t="shared" ref="K511:K532" si="148">ROUND(PRODUCT(E511:J511),3)</f>
        <v>7.9370000000000003</v>
      </c>
      <c r="L511" s="85"/>
    </row>
    <row r="512" spans="1:12" s="43" customFormat="1" ht="20.100000000000001" hidden="1" customHeight="1" outlineLevel="2" x14ac:dyDescent="0.25">
      <c r="A512" s="105"/>
      <c r="B512" s="106"/>
      <c r="C512" s="126" t="s">
        <v>289</v>
      </c>
      <c r="D512" s="80" t="s">
        <v>4</v>
      </c>
      <c r="E512" s="81">
        <v>-1</v>
      </c>
      <c r="F512" s="82">
        <v>2.4</v>
      </c>
      <c r="G512" s="82">
        <v>1.2</v>
      </c>
      <c r="H512" s="83"/>
      <c r="I512" s="82"/>
      <c r="J512" s="84" t="s">
        <v>75</v>
      </c>
      <c r="K512" s="83">
        <f t="shared" si="148"/>
        <v>-2.88</v>
      </c>
      <c r="L512" s="107"/>
    </row>
    <row r="513" spans="1:12" s="43" customFormat="1" ht="20.100000000000001" hidden="1" customHeight="1" outlineLevel="2" x14ac:dyDescent="0.25">
      <c r="A513" s="105"/>
      <c r="B513" s="106"/>
      <c r="C513" s="126" t="s">
        <v>174</v>
      </c>
      <c r="D513" s="80" t="s">
        <v>4</v>
      </c>
      <c r="E513" s="81">
        <v>2</v>
      </c>
      <c r="F513" s="82">
        <v>2.56</v>
      </c>
      <c r="G513" s="82">
        <f>2.8-0.12</f>
        <v>2.6799999999999997</v>
      </c>
      <c r="H513" s="83"/>
      <c r="I513" s="82"/>
      <c r="J513" s="84" t="s">
        <v>75</v>
      </c>
      <c r="K513" s="83">
        <f t="shared" si="148"/>
        <v>13.722</v>
      </c>
      <c r="L513" s="107"/>
    </row>
    <row r="514" spans="1:12" s="43" customFormat="1" ht="20.100000000000001" hidden="1" customHeight="1" outlineLevel="2" x14ac:dyDescent="0.25">
      <c r="A514" s="105"/>
      <c r="B514" s="106"/>
      <c r="C514" s="126" t="s">
        <v>287</v>
      </c>
      <c r="D514" s="80" t="s">
        <v>4</v>
      </c>
      <c r="E514" s="81">
        <v>-2</v>
      </c>
      <c r="F514" s="82">
        <v>0.9</v>
      </c>
      <c r="G514" s="82">
        <v>2.1</v>
      </c>
      <c r="H514" s="83"/>
      <c r="I514" s="82"/>
      <c r="J514" s="84" t="s">
        <v>75</v>
      </c>
      <c r="K514" s="83">
        <f t="shared" si="148"/>
        <v>-3.78</v>
      </c>
      <c r="L514" s="107"/>
    </row>
    <row r="515" spans="1:12" s="43" customFormat="1" ht="20.100000000000001" hidden="1" customHeight="1" outlineLevel="2" x14ac:dyDescent="0.25">
      <c r="A515" s="105"/>
      <c r="B515" s="106"/>
      <c r="C515" s="126" t="s">
        <v>169</v>
      </c>
      <c r="D515" s="80" t="s">
        <v>4</v>
      </c>
      <c r="E515" s="81">
        <v>1</v>
      </c>
      <c r="F515" s="82">
        <f>2.78-0.11</f>
        <v>2.67</v>
      </c>
      <c r="G515" s="82">
        <f>2.8-0.12</f>
        <v>2.6799999999999997</v>
      </c>
      <c r="H515" s="83"/>
      <c r="I515" s="82"/>
      <c r="J515" s="84" t="s">
        <v>75</v>
      </c>
      <c r="K515" s="83">
        <f t="shared" si="148"/>
        <v>7.1559999999999997</v>
      </c>
      <c r="L515" s="107"/>
    </row>
    <row r="516" spans="1:12" s="43" customFormat="1" ht="20.100000000000001" hidden="1" customHeight="1" outlineLevel="2" x14ac:dyDescent="0.25">
      <c r="A516" s="105"/>
      <c r="B516" s="106"/>
      <c r="C516" s="126"/>
      <c r="D516" s="80" t="s">
        <v>4</v>
      </c>
      <c r="E516" s="81">
        <v>1</v>
      </c>
      <c r="F516" s="82">
        <v>2.56</v>
      </c>
      <c r="G516" s="82">
        <f>2.8-0.12</f>
        <v>2.6799999999999997</v>
      </c>
      <c r="H516" s="83"/>
      <c r="I516" s="82"/>
      <c r="J516" s="84" t="s">
        <v>75</v>
      </c>
      <c r="K516" s="83">
        <f t="shared" si="148"/>
        <v>6.8609999999999998</v>
      </c>
      <c r="L516" s="107"/>
    </row>
    <row r="517" spans="1:12" s="43" customFormat="1" ht="20.100000000000001" hidden="1" customHeight="1" outlineLevel="2" x14ac:dyDescent="0.25">
      <c r="A517" s="105"/>
      <c r="B517" s="106"/>
      <c r="C517" s="126" t="s">
        <v>223</v>
      </c>
      <c r="D517" s="80" t="s">
        <v>4</v>
      </c>
      <c r="E517" s="81">
        <v>-2</v>
      </c>
      <c r="F517" s="82">
        <v>1.2</v>
      </c>
      <c r="G517" s="82">
        <v>1.2</v>
      </c>
      <c r="H517" s="83"/>
      <c r="I517" s="82"/>
      <c r="J517" s="84" t="s">
        <v>75</v>
      </c>
      <c r="K517" s="83">
        <f t="shared" si="148"/>
        <v>-2.88</v>
      </c>
      <c r="L517" s="107"/>
    </row>
    <row r="518" spans="1:12" s="43" customFormat="1" ht="20.100000000000001" hidden="1" customHeight="1" outlineLevel="2" x14ac:dyDescent="0.25">
      <c r="A518" s="105"/>
      <c r="B518" s="106"/>
      <c r="C518" s="126" t="s">
        <v>288</v>
      </c>
      <c r="D518" s="80" t="s">
        <v>4</v>
      </c>
      <c r="E518" s="81">
        <v>2</v>
      </c>
      <c r="F518" s="82">
        <v>0.44</v>
      </c>
      <c r="G518" s="82">
        <v>2.8</v>
      </c>
      <c r="H518" s="83"/>
      <c r="I518" s="82"/>
      <c r="J518" s="84" t="s">
        <v>75</v>
      </c>
      <c r="K518" s="83">
        <f t="shared" si="148"/>
        <v>2.464</v>
      </c>
      <c r="L518" s="107"/>
    </row>
    <row r="519" spans="1:12" s="43" customFormat="1" ht="20.100000000000001" hidden="1" customHeight="1" outlineLevel="2" x14ac:dyDescent="0.25">
      <c r="A519" s="105"/>
      <c r="B519" s="106"/>
      <c r="C519" s="126"/>
      <c r="D519" s="80" t="s">
        <v>4</v>
      </c>
      <c r="E519" s="81">
        <v>1</v>
      </c>
      <c r="F519" s="82">
        <v>2.56</v>
      </c>
      <c r="G519" s="82">
        <v>2.8</v>
      </c>
      <c r="H519" s="83"/>
      <c r="I519" s="82"/>
      <c r="J519" s="84" t="s">
        <v>75</v>
      </c>
      <c r="K519" s="83">
        <f t="shared" si="148"/>
        <v>7.1680000000000001</v>
      </c>
      <c r="L519" s="107"/>
    </row>
    <row r="520" spans="1:12" s="43" customFormat="1" ht="20.100000000000001" hidden="1" customHeight="1" outlineLevel="2" x14ac:dyDescent="0.25">
      <c r="A520" s="105"/>
      <c r="B520" s="106" t="s">
        <v>217</v>
      </c>
      <c r="C520" s="126" t="s">
        <v>231</v>
      </c>
      <c r="D520" s="80" t="s">
        <v>4</v>
      </c>
      <c r="E520" s="81">
        <v>1</v>
      </c>
      <c r="F520" s="82">
        <v>0.59</v>
      </c>
      <c r="G520" s="82">
        <f>2.975-0.12</f>
        <v>2.855</v>
      </c>
      <c r="H520" s="83"/>
      <c r="I520" s="82"/>
      <c r="J520" s="84" t="s">
        <v>75</v>
      </c>
      <c r="K520" s="83">
        <f t="shared" si="148"/>
        <v>1.6839999999999999</v>
      </c>
      <c r="L520" s="107"/>
    </row>
    <row r="521" spans="1:12" s="43" customFormat="1" ht="20.100000000000001" hidden="1" customHeight="1" outlineLevel="2" x14ac:dyDescent="0.25">
      <c r="A521" s="105"/>
      <c r="B521" s="106"/>
      <c r="C521" s="126" t="s">
        <v>163</v>
      </c>
      <c r="D521" s="80" t="s">
        <v>4</v>
      </c>
      <c r="E521" s="81">
        <v>1</v>
      </c>
      <c r="F521" s="82">
        <f>3.37+0.22*2</f>
        <v>3.81</v>
      </c>
      <c r="G521" s="82">
        <f>2.975-0.12</f>
        <v>2.855</v>
      </c>
      <c r="H521" s="83"/>
      <c r="I521" s="82"/>
      <c r="J521" s="84" t="s">
        <v>75</v>
      </c>
      <c r="K521" s="83">
        <f t="shared" si="148"/>
        <v>10.878</v>
      </c>
      <c r="L521" s="107"/>
    </row>
    <row r="522" spans="1:12" s="43" customFormat="1" ht="20.100000000000001" hidden="1" customHeight="1" outlineLevel="2" x14ac:dyDescent="0.25">
      <c r="A522" s="105"/>
      <c r="B522" s="106"/>
      <c r="C522" s="126" t="s">
        <v>221</v>
      </c>
      <c r="D522" s="80" t="s">
        <v>4</v>
      </c>
      <c r="E522" s="81">
        <v>1</v>
      </c>
      <c r="F522" s="82">
        <v>2.91</v>
      </c>
      <c r="G522" s="82">
        <f>2.975-0.12-0.12</f>
        <v>2.7349999999999999</v>
      </c>
      <c r="H522" s="83"/>
      <c r="I522" s="82"/>
      <c r="J522" s="84" t="s">
        <v>75</v>
      </c>
      <c r="K522" s="83">
        <f t="shared" si="148"/>
        <v>7.9589999999999996</v>
      </c>
      <c r="L522" s="107"/>
    </row>
    <row r="523" spans="1:12" s="43" customFormat="1" ht="20.100000000000001" hidden="1" customHeight="1" outlineLevel="2" x14ac:dyDescent="0.25">
      <c r="A523" s="105"/>
      <c r="B523" s="106"/>
      <c r="C523" s="126" t="s">
        <v>222</v>
      </c>
      <c r="D523" s="80" t="s">
        <v>4</v>
      </c>
      <c r="E523" s="81">
        <v>1</v>
      </c>
      <c r="F523" s="82">
        <v>1.22</v>
      </c>
      <c r="G523" s="82">
        <f>2.975-0.12</f>
        <v>2.855</v>
      </c>
      <c r="H523" s="83"/>
      <c r="I523" s="82"/>
      <c r="J523" s="84" t="s">
        <v>75</v>
      </c>
      <c r="K523" s="83">
        <f t="shared" si="148"/>
        <v>3.4830000000000001</v>
      </c>
      <c r="L523" s="107"/>
    </row>
    <row r="524" spans="1:12" s="43" customFormat="1" ht="20.100000000000001" hidden="1" customHeight="1" outlineLevel="2" x14ac:dyDescent="0.25">
      <c r="A524" s="105"/>
      <c r="B524" s="106" t="s">
        <v>214</v>
      </c>
      <c r="C524" s="126" t="s">
        <v>231</v>
      </c>
      <c r="D524" s="80" t="s">
        <v>4</v>
      </c>
      <c r="E524" s="81">
        <v>1</v>
      </c>
      <c r="F524" s="82">
        <v>0.59</v>
      </c>
      <c r="G524" s="82">
        <f>2.975-0.12</f>
        <v>2.855</v>
      </c>
      <c r="H524" s="83"/>
      <c r="I524" s="82"/>
      <c r="J524" s="84" t="s">
        <v>75</v>
      </c>
      <c r="K524" s="83">
        <f t="shared" si="148"/>
        <v>1.6839999999999999</v>
      </c>
      <c r="L524" s="107"/>
    </row>
    <row r="525" spans="1:12" s="43" customFormat="1" ht="20.100000000000001" hidden="1" customHeight="1" outlineLevel="2" x14ac:dyDescent="0.25">
      <c r="A525" s="105"/>
      <c r="B525" s="106"/>
      <c r="C525" s="126" t="s">
        <v>163</v>
      </c>
      <c r="D525" s="80" t="s">
        <v>4</v>
      </c>
      <c r="E525" s="81">
        <v>1</v>
      </c>
      <c r="F525" s="82">
        <f>4.36+0.22*2</f>
        <v>4.8000000000000007</v>
      </c>
      <c r="G525" s="82">
        <f t="shared" ref="G525:G612" si="149">2.975-0.12</f>
        <v>2.855</v>
      </c>
      <c r="H525" s="83"/>
      <c r="I525" s="82"/>
      <c r="J525" s="84" t="s">
        <v>75</v>
      </c>
      <c r="K525" s="83">
        <f t="shared" si="148"/>
        <v>13.704000000000001</v>
      </c>
      <c r="L525" s="107"/>
    </row>
    <row r="526" spans="1:12" s="43" customFormat="1" ht="20.100000000000001" hidden="1" customHeight="1" outlineLevel="2" x14ac:dyDescent="0.25">
      <c r="A526" s="105"/>
      <c r="B526" s="106"/>
      <c r="C526" s="126" t="s">
        <v>221</v>
      </c>
      <c r="D526" s="80" t="s">
        <v>4</v>
      </c>
      <c r="E526" s="81">
        <v>1</v>
      </c>
      <c r="F526" s="82">
        <f>1.14+2.91+0.22*2</f>
        <v>4.49</v>
      </c>
      <c r="G526" s="82">
        <f t="shared" si="149"/>
        <v>2.855</v>
      </c>
      <c r="H526" s="83"/>
      <c r="I526" s="82"/>
      <c r="J526" s="84" t="s">
        <v>75</v>
      </c>
      <c r="K526" s="83">
        <f t="shared" si="148"/>
        <v>12.819000000000001</v>
      </c>
      <c r="L526" s="107"/>
    </row>
    <row r="527" spans="1:12" s="43" customFormat="1" ht="20.100000000000001" hidden="1" customHeight="1" outlineLevel="2" x14ac:dyDescent="0.25">
      <c r="A527" s="77"/>
      <c r="B527" s="78"/>
      <c r="C527" s="79" t="s">
        <v>222</v>
      </c>
      <c r="D527" s="80" t="s">
        <v>4</v>
      </c>
      <c r="E527" s="81">
        <v>1</v>
      </c>
      <c r="F527" s="82">
        <f>3.38+0.22*2</f>
        <v>3.82</v>
      </c>
      <c r="G527" s="82">
        <f t="shared" si="149"/>
        <v>2.855</v>
      </c>
      <c r="H527" s="83"/>
      <c r="I527" s="82"/>
      <c r="J527" s="84" t="s">
        <v>75</v>
      </c>
      <c r="K527" s="83">
        <f t="shared" si="148"/>
        <v>10.906000000000001</v>
      </c>
      <c r="L527" s="85"/>
    </row>
    <row r="528" spans="1:12" s="43" customFormat="1" ht="20.100000000000001" hidden="1" customHeight="1" outlineLevel="2" x14ac:dyDescent="0.25">
      <c r="A528" s="77"/>
      <c r="B528" s="78"/>
      <c r="C528" s="79" t="s">
        <v>291</v>
      </c>
      <c r="D528" s="80" t="s">
        <v>4</v>
      </c>
      <c r="E528" s="139">
        <v>2</v>
      </c>
      <c r="F528" s="140">
        <v>1.01</v>
      </c>
      <c r="G528" s="82">
        <v>2.855</v>
      </c>
      <c r="H528" s="83"/>
      <c r="I528" s="82"/>
      <c r="J528" s="84" t="s">
        <v>75</v>
      </c>
      <c r="K528" s="83">
        <f t="shared" si="148"/>
        <v>5.7670000000000003</v>
      </c>
      <c r="L528" s="85"/>
    </row>
    <row r="529" spans="1:12" s="43" customFormat="1" ht="20.100000000000001" hidden="1" customHeight="1" outlineLevel="2" x14ac:dyDescent="0.25">
      <c r="A529" s="77"/>
      <c r="B529" s="78"/>
      <c r="C529" s="79" t="s">
        <v>282</v>
      </c>
      <c r="D529" s="80" t="s">
        <v>4</v>
      </c>
      <c r="E529" s="139">
        <v>-2</v>
      </c>
      <c r="F529" s="140">
        <v>0.9</v>
      </c>
      <c r="G529" s="82">
        <v>2.1</v>
      </c>
      <c r="H529" s="83"/>
      <c r="I529" s="82"/>
      <c r="J529" s="84" t="s">
        <v>75</v>
      </c>
      <c r="K529" s="83">
        <f t="shared" si="148"/>
        <v>-3.78</v>
      </c>
      <c r="L529" s="85"/>
    </row>
    <row r="530" spans="1:12" s="43" customFormat="1" ht="20.100000000000001" hidden="1" customHeight="1" outlineLevel="2" x14ac:dyDescent="0.25">
      <c r="A530" s="77"/>
      <c r="B530" s="78"/>
      <c r="C530" s="79" t="s">
        <v>235</v>
      </c>
      <c r="D530" s="80" t="s">
        <v>4</v>
      </c>
      <c r="E530" s="139">
        <v>1</v>
      </c>
      <c r="F530" s="140">
        <f>1.71+2.16</f>
        <v>3.87</v>
      </c>
      <c r="G530" s="82">
        <v>2.855</v>
      </c>
      <c r="H530" s="83"/>
      <c r="I530" s="82"/>
      <c r="J530" s="84" t="s">
        <v>75</v>
      </c>
      <c r="K530" s="83">
        <f t="shared" si="148"/>
        <v>11.048999999999999</v>
      </c>
      <c r="L530" s="85"/>
    </row>
    <row r="531" spans="1:12" s="43" customFormat="1" ht="20.100000000000001" hidden="1" customHeight="1" outlineLevel="2" x14ac:dyDescent="0.25">
      <c r="A531" s="77"/>
      <c r="B531" s="78"/>
      <c r="C531" s="79"/>
      <c r="D531" s="80" t="s">
        <v>4</v>
      </c>
      <c r="E531" s="139">
        <v>1</v>
      </c>
      <c r="F531" s="140">
        <f>1.6+2.05</f>
        <v>3.65</v>
      </c>
      <c r="G531" s="82">
        <v>2.855</v>
      </c>
      <c r="H531" s="83"/>
      <c r="I531" s="82"/>
      <c r="J531" s="84" t="s">
        <v>75</v>
      </c>
      <c r="K531" s="83">
        <f t="shared" si="148"/>
        <v>10.420999999999999</v>
      </c>
      <c r="L531" s="85"/>
    </row>
    <row r="532" spans="1:12" s="43" customFormat="1" ht="20.100000000000001" hidden="1" customHeight="1" outlineLevel="2" thickBot="1" x14ac:dyDescent="0.3">
      <c r="A532" s="77"/>
      <c r="B532" s="78"/>
      <c r="C532" s="79" t="s">
        <v>292</v>
      </c>
      <c r="D532" s="80" t="s">
        <v>4</v>
      </c>
      <c r="E532" s="139">
        <v>-1</v>
      </c>
      <c r="F532" s="140">
        <v>0.8</v>
      </c>
      <c r="G532" s="82">
        <v>2.1</v>
      </c>
      <c r="H532" s="83"/>
      <c r="I532" s="82"/>
      <c r="J532" s="84" t="s">
        <v>75</v>
      </c>
      <c r="K532" s="83">
        <f t="shared" si="148"/>
        <v>-1.68</v>
      </c>
      <c r="L532" s="85"/>
    </row>
    <row r="533" spans="1:12" s="42" customFormat="1" ht="24.95" hidden="1" customHeight="1" outlineLevel="1" x14ac:dyDescent="0.25">
      <c r="A533" s="66">
        <v>20.399999999999999</v>
      </c>
      <c r="B533" s="59" t="s">
        <v>237</v>
      </c>
      <c r="C533" s="60"/>
      <c r="D533" s="61" t="s">
        <v>4</v>
      </c>
      <c r="E533" s="61"/>
      <c r="F533" s="62"/>
      <c r="G533" s="62"/>
      <c r="H533" s="62"/>
      <c r="I533" s="63"/>
      <c r="J533" s="61"/>
      <c r="K533" s="64">
        <f>SUBTOTAL(9,K534:K552)</f>
        <v>215.333</v>
      </c>
      <c r="L533" s="67"/>
    </row>
    <row r="534" spans="1:12" s="43" customFormat="1" ht="20.100000000000001" hidden="1" customHeight="1" outlineLevel="2" x14ac:dyDescent="0.25">
      <c r="A534" s="77"/>
      <c r="B534" s="78"/>
      <c r="C534" s="79" t="s">
        <v>168</v>
      </c>
      <c r="D534" s="80" t="s">
        <v>4</v>
      </c>
      <c r="E534" s="81">
        <v>2</v>
      </c>
      <c r="F534" s="82">
        <v>2.78</v>
      </c>
      <c r="G534" s="82">
        <f>2.975-0.12</f>
        <v>2.855</v>
      </c>
      <c r="H534" s="83"/>
      <c r="I534" s="82"/>
      <c r="J534" s="84" t="s">
        <v>75</v>
      </c>
      <c r="K534" s="83">
        <f t="shared" ref="K534:K552" si="150">ROUND(PRODUCT(E534:J534),3)</f>
        <v>15.874000000000001</v>
      </c>
      <c r="L534" s="85"/>
    </row>
    <row r="535" spans="1:12" s="43" customFormat="1" ht="20.100000000000001" hidden="1" customHeight="1" outlineLevel="2" x14ac:dyDescent="0.25">
      <c r="A535" s="105"/>
      <c r="B535" s="106"/>
      <c r="C535" s="126" t="s">
        <v>289</v>
      </c>
      <c r="D535" s="80" t="s">
        <v>4</v>
      </c>
      <c r="E535" s="81">
        <v>-2</v>
      </c>
      <c r="F535" s="82">
        <v>2.4</v>
      </c>
      <c r="G535" s="82">
        <v>1.2</v>
      </c>
      <c r="H535" s="83"/>
      <c r="I535" s="82"/>
      <c r="J535" s="84" t="s">
        <v>75</v>
      </c>
      <c r="K535" s="83">
        <f t="shared" si="150"/>
        <v>-5.76</v>
      </c>
      <c r="L535" s="107"/>
    </row>
    <row r="536" spans="1:12" s="43" customFormat="1" ht="20.100000000000001" hidden="1" customHeight="1" outlineLevel="2" x14ac:dyDescent="0.25">
      <c r="A536" s="105"/>
      <c r="B536" s="106"/>
      <c r="C536" s="126" t="s">
        <v>174</v>
      </c>
      <c r="D536" s="80" t="s">
        <v>4</v>
      </c>
      <c r="E536" s="81">
        <v>4</v>
      </c>
      <c r="F536" s="82">
        <v>2.56</v>
      </c>
      <c r="G536" s="82">
        <f>2.8-0.12</f>
        <v>2.6799999999999997</v>
      </c>
      <c r="H536" s="83"/>
      <c r="I536" s="82"/>
      <c r="J536" s="84" t="s">
        <v>75</v>
      </c>
      <c r="K536" s="83">
        <f t="shared" si="150"/>
        <v>27.443000000000001</v>
      </c>
      <c r="L536" s="107"/>
    </row>
    <row r="537" spans="1:12" s="43" customFormat="1" ht="20.100000000000001" hidden="1" customHeight="1" outlineLevel="2" x14ac:dyDescent="0.25">
      <c r="A537" s="105"/>
      <c r="B537" s="106"/>
      <c r="C537" s="126" t="s">
        <v>287</v>
      </c>
      <c r="D537" s="80" t="s">
        <v>4</v>
      </c>
      <c r="E537" s="81">
        <v>-4</v>
      </c>
      <c r="F537" s="82">
        <v>0.9</v>
      </c>
      <c r="G537" s="82">
        <v>2.1</v>
      </c>
      <c r="H537" s="83"/>
      <c r="I537" s="82"/>
      <c r="J537" s="84" t="s">
        <v>75</v>
      </c>
      <c r="K537" s="83">
        <f t="shared" si="150"/>
        <v>-7.56</v>
      </c>
      <c r="L537" s="107"/>
    </row>
    <row r="538" spans="1:12" s="43" customFormat="1" ht="20.100000000000001" hidden="1" customHeight="1" outlineLevel="2" x14ac:dyDescent="0.25">
      <c r="A538" s="105"/>
      <c r="B538" s="106"/>
      <c r="C538" s="126" t="s">
        <v>169</v>
      </c>
      <c r="D538" s="80" t="s">
        <v>4</v>
      </c>
      <c r="E538" s="81">
        <v>2</v>
      </c>
      <c r="F538" s="82">
        <f>2.78-0.11</f>
        <v>2.67</v>
      </c>
      <c r="G538" s="82">
        <f>2.8-0.12</f>
        <v>2.6799999999999997</v>
      </c>
      <c r="H538" s="83"/>
      <c r="I538" s="82"/>
      <c r="J538" s="84" t="s">
        <v>75</v>
      </c>
      <c r="K538" s="83">
        <f t="shared" si="150"/>
        <v>14.311</v>
      </c>
      <c r="L538" s="107"/>
    </row>
    <row r="539" spans="1:12" s="43" customFormat="1" ht="20.100000000000001" hidden="1" customHeight="1" outlineLevel="2" x14ac:dyDescent="0.25">
      <c r="A539" s="105"/>
      <c r="B539" s="106"/>
      <c r="C539" s="126"/>
      <c r="D539" s="80" t="s">
        <v>4</v>
      </c>
      <c r="E539" s="81">
        <v>2</v>
      </c>
      <c r="F539" s="82">
        <v>2.56</v>
      </c>
      <c r="G539" s="82">
        <f>2.8-0.12</f>
        <v>2.6799999999999997</v>
      </c>
      <c r="H539" s="83"/>
      <c r="I539" s="82"/>
      <c r="J539" s="84" t="s">
        <v>75</v>
      </c>
      <c r="K539" s="83">
        <f t="shared" si="150"/>
        <v>13.722</v>
      </c>
      <c r="L539" s="107"/>
    </row>
    <row r="540" spans="1:12" s="43" customFormat="1" ht="20.100000000000001" hidden="1" customHeight="1" outlineLevel="2" x14ac:dyDescent="0.25">
      <c r="A540" s="105"/>
      <c r="B540" s="106"/>
      <c r="C540" s="126" t="s">
        <v>223</v>
      </c>
      <c r="D540" s="80" t="s">
        <v>4</v>
      </c>
      <c r="E540" s="81">
        <v>-4</v>
      </c>
      <c r="F540" s="82">
        <v>1.2</v>
      </c>
      <c r="G540" s="82">
        <v>1.2</v>
      </c>
      <c r="H540" s="83"/>
      <c r="I540" s="82"/>
      <c r="J540" s="84" t="s">
        <v>75</v>
      </c>
      <c r="K540" s="83">
        <f t="shared" si="150"/>
        <v>-5.76</v>
      </c>
      <c r="L540" s="107"/>
    </row>
    <row r="541" spans="1:12" s="43" customFormat="1" ht="20.100000000000001" hidden="1" customHeight="1" outlineLevel="2" x14ac:dyDescent="0.25">
      <c r="A541" s="105"/>
      <c r="B541" s="106"/>
      <c r="C541" s="126" t="s">
        <v>288</v>
      </c>
      <c r="D541" s="80" t="s">
        <v>4</v>
      </c>
      <c r="E541" s="81">
        <v>4</v>
      </c>
      <c r="F541" s="82">
        <v>0.44</v>
      </c>
      <c r="G541" s="82">
        <v>2.8</v>
      </c>
      <c r="H541" s="83"/>
      <c r="I541" s="82"/>
      <c r="J541" s="84" t="s">
        <v>75</v>
      </c>
      <c r="K541" s="83">
        <f t="shared" si="150"/>
        <v>4.9279999999999999</v>
      </c>
      <c r="L541" s="107"/>
    </row>
    <row r="542" spans="1:12" s="43" customFormat="1" ht="20.100000000000001" hidden="1" customHeight="1" outlineLevel="2" x14ac:dyDescent="0.25">
      <c r="A542" s="105"/>
      <c r="B542" s="106"/>
      <c r="C542" s="126"/>
      <c r="D542" s="80" t="s">
        <v>4</v>
      </c>
      <c r="E542" s="81">
        <v>2</v>
      </c>
      <c r="F542" s="82">
        <v>2.56</v>
      </c>
      <c r="G542" s="82">
        <v>2.8</v>
      </c>
      <c r="H542" s="83"/>
      <c r="I542" s="82"/>
      <c r="J542" s="84" t="s">
        <v>75</v>
      </c>
      <c r="K542" s="83">
        <f t="shared" si="150"/>
        <v>14.336</v>
      </c>
      <c r="L542" s="107"/>
    </row>
    <row r="543" spans="1:12" s="43" customFormat="1" ht="20.100000000000001" hidden="1" customHeight="1" outlineLevel="2" x14ac:dyDescent="0.25">
      <c r="A543" s="105"/>
      <c r="B543" s="106" t="s">
        <v>217</v>
      </c>
      <c r="C543" s="126" t="s">
        <v>231</v>
      </c>
      <c r="D543" s="80" t="s">
        <v>4</v>
      </c>
      <c r="E543" s="81">
        <v>2</v>
      </c>
      <c r="F543" s="82">
        <v>0.59</v>
      </c>
      <c r="G543" s="82">
        <f>2.975-0.12</f>
        <v>2.855</v>
      </c>
      <c r="H543" s="83"/>
      <c r="I543" s="82"/>
      <c r="J543" s="84" t="s">
        <v>75</v>
      </c>
      <c r="K543" s="83">
        <f t="shared" si="150"/>
        <v>3.3690000000000002</v>
      </c>
      <c r="L543" s="107"/>
    </row>
    <row r="544" spans="1:12" s="43" customFormat="1" ht="20.100000000000001" hidden="1" customHeight="1" outlineLevel="2" x14ac:dyDescent="0.25">
      <c r="A544" s="105"/>
      <c r="B544" s="106"/>
      <c r="C544" s="126" t="s">
        <v>163</v>
      </c>
      <c r="D544" s="80" t="s">
        <v>4</v>
      </c>
      <c r="E544" s="81">
        <v>2</v>
      </c>
      <c r="F544" s="82">
        <f>3.37+0.22*2</f>
        <v>3.81</v>
      </c>
      <c r="G544" s="82">
        <f>2.975-0.12</f>
        <v>2.855</v>
      </c>
      <c r="H544" s="83"/>
      <c r="I544" s="82"/>
      <c r="J544" s="84" t="s">
        <v>75</v>
      </c>
      <c r="K544" s="83">
        <f t="shared" si="150"/>
        <v>21.754999999999999</v>
      </c>
      <c r="L544" s="107"/>
    </row>
    <row r="545" spans="1:12" s="43" customFormat="1" ht="20.100000000000001" hidden="1" customHeight="1" outlineLevel="2" x14ac:dyDescent="0.25">
      <c r="A545" s="105"/>
      <c r="B545" s="106"/>
      <c r="C545" s="126" t="s">
        <v>221</v>
      </c>
      <c r="D545" s="80" t="s">
        <v>4</v>
      </c>
      <c r="E545" s="81">
        <v>2</v>
      </c>
      <c r="F545" s="82">
        <v>2.91</v>
      </c>
      <c r="G545" s="82">
        <f>2.975-0.12-0.12</f>
        <v>2.7349999999999999</v>
      </c>
      <c r="H545" s="83"/>
      <c r="I545" s="82"/>
      <c r="J545" s="84" t="s">
        <v>75</v>
      </c>
      <c r="K545" s="83">
        <f t="shared" si="150"/>
        <v>15.917999999999999</v>
      </c>
      <c r="L545" s="107"/>
    </row>
    <row r="546" spans="1:12" s="43" customFormat="1" ht="20.100000000000001" hidden="1" customHeight="1" outlineLevel="2" x14ac:dyDescent="0.25">
      <c r="A546" s="105"/>
      <c r="B546" s="106"/>
      <c r="C546" s="126" t="s">
        <v>222</v>
      </c>
      <c r="D546" s="80" t="s">
        <v>4</v>
      </c>
      <c r="E546" s="81">
        <v>2</v>
      </c>
      <c r="F546" s="82">
        <f>3.38+0.22</f>
        <v>3.6</v>
      </c>
      <c r="G546" s="82">
        <f>2.975-0.12</f>
        <v>2.855</v>
      </c>
      <c r="H546" s="83"/>
      <c r="I546" s="82"/>
      <c r="J546" s="84" t="s">
        <v>75</v>
      </c>
      <c r="K546" s="83">
        <f t="shared" si="150"/>
        <v>20.556000000000001</v>
      </c>
      <c r="L546" s="107"/>
    </row>
    <row r="547" spans="1:12" s="43" customFormat="1" ht="20.100000000000001" hidden="1" customHeight="1" outlineLevel="2" x14ac:dyDescent="0.25">
      <c r="A547" s="105"/>
      <c r="B547" s="106" t="s">
        <v>214</v>
      </c>
      <c r="C547" s="126" t="s">
        <v>231</v>
      </c>
      <c r="D547" s="80" t="s">
        <v>4</v>
      </c>
      <c r="E547" s="81">
        <v>2</v>
      </c>
      <c r="F547" s="82">
        <v>0.59</v>
      </c>
      <c r="G547" s="82">
        <f>2.975-0.12</f>
        <v>2.855</v>
      </c>
      <c r="H547" s="83"/>
      <c r="I547" s="82"/>
      <c r="J547" s="84" t="s">
        <v>75</v>
      </c>
      <c r="K547" s="83">
        <f t="shared" si="150"/>
        <v>3.3690000000000002</v>
      </c>
      <c r="L547" s="107"/>
    </row>
    <row r="548" spans="1:12" s="43" customFormat="1" ht="20.100000000000001" hidden="1" customHeight="1" outlineLevel="2" x14ac:dyDescent="0.25">
      <c r="A548" s="105"/>
      <c r="B548" s="106"/>
      <c r="C548" s="126" t="s">
        <v>163</v>
      </c>
      <c r="D548" s="80" t="s">
        <v>4</v>
      </c>
      <c r="E548" s="81">
        <v>2</v>
      </c>
      <c r="F548" s="82">
        <f>4.36+0.22*2</f>
        <v>4.8000000000000007</v>
      </c>
      <c r="G548" s="82">
        <f t="shared" ref="G548:G550" si="151">2.975-0.12</f>
        <v>2.855</v>
      </c>
      <c r="H548" s="83"/>
      <c r="I548" s="82"/>
      <c r="J548" s="84" t="s">
        <v>75</v>
      </c>
      <c r="K548" s="83">
        <f t="shared" si="150"/>
        <v>27.408000000000001</v>
      </c>
      <c r="L548" s="107"/>
    </row>
    <row r="549" spans="1:12" s="43" customFormat="1" ht="20.100000000000001" hidden="1" customHeight="1" outlineLevel="2" x14ac:dyDescent="0.25">
      <c r="A549" s="105"/>
      <c r="B549" s="106"/>
      <c r="C549" s="126" t="s">
        <v>221</v>
      </c>
      <c r="D549" s="80" t="s">
        <v>4</v>
      </c>
      <c r="E549" s="81">
        <v>2</v>
      </c>
      <c r="F549" s="82">
        <f>1.14+2.91+0.22*2</f>
        <v>4.49</v>
      </c>
      <c r="G549" s="82">
        <f t="shared" si="151"/>
        <v>2.855</v>
      </c>
      <c r="H549" s="83"/>
      <c r="I549" s="82"/>
      <c r="J549" s="84" t="s">
        <v>75</v>
      </c>
      <c r="K549" s="83">
        <f t="shared" si="150"/>
        <v>25.638000000000002</v>
      </c>
      <c r="L549" s="107"/>
    </row>
    <row r="550" spans="1:12" s="43" customFormat="1" ht="20.100000000000001" hidden="1" customHeight="1" outlineLevel="2" x14ac:dyDescent="0.25">
      <c r="A550" s="77"/>
      <c r="B550" s="78"/>
      <c r="C550" s="79" t="s">
        <v>222</v>
      </c>
      <c r="D550" s="80" t="s">
        <v>4</v>
      </c>
      <c r="E550" s="81">
        <v>2</v>
      </c>
      <c r="F550" s="82">
        <f>3.38+0.22*2</f>
        <v>3.82</v>
      </c>
      <c r="G550" s="82">
        <f t="shared" si="151"/>
        <v>2.855</v>
      </c>
      <c r="H550" s="83"/>
      <c r="I550" s="82"/>
      <c r="J550" s="84" t="s">
        <v>75</v>
      </c>
      <c r="K550" s="83">
        <f t="shared" si="150"/>
        <v>21.812000000000001</v>
      </c>
      <c r="L550" s="85"/>
    </row>
    <row r="551" spans="1:12" s="43" customFormat="1" ht="20.100000000000001" hidden="1" customHeight="1" outlineLevel="2" x14ac:dyDescent="0.25">
      <c r="A551" s="77"/>
      <c r="B551" s="78"/>
      <c r="C551" s="79" t="s">
        <v>291</v>
      </c>
      <c r="D551" s="80" t="s">
        <v>4</v>
      </c>
      <c r="E551" s="139">
        <v>4</v>
      </c>
      <c r="F551" s="140">
        <v>1.01</v>
      </c>
      <c r="G551" s="82">
        <v>2.855</v>
      </c>
      <c r="H551" s="83"/>
      <c r="I551" s="82"/>
      <c r="J551" s="84" t="s">
        <v>75</v>
      </c>
      <c r="K551" s="83">
        <f t="shared" si="150"/>
        <v>11.534000000000001</v>
      </c>
      <c r="L551" s="85"/>
    </row>
    <row r="552" spans="1:12" s="43" customFormat="1" ht="20.100000000000001" hidden="1" customHeight="1" outlineLevel="2" thickBot="1" x14ac:dyDescent="0.3">
      <c r="A552" s="77"/>
      <c r="B552" s="78"/>
      <c r="C552" s="79" t="s">
        <v>282</v>
      </c>
      <c r="D552" s="80" t="s">
        <v>4</v>
      </c>
      <c r="E552" s="139">
        <v>-4</v>
      </c>
      <c r="F552" s="140">
        <v>0.9</v>
      </c>
      <c r="G552" s="82">
        <v>2.1</v>
      </c>
      <c r="H552" s="83"/>
      <c r="I552" s="82"/>
      <c r="J552" s="84" t="s">
        <v>75</v>
      </c>
      <c r="K552" s="83">
        <f t="shared" si="150"/>
        <v>-7.56</v>
      </c>
      <c r="L552" s="85"/>
    </row>
    <row r="553" spans="1:12" s="42" customFormat="1" ht="24.95" hidden="1" customHeight="1" outlineLevel="1" thickBot="1" x14ac:dyDescent="0.3">
      <c r="A553" s="148">
        <v>20.5</v>
      </c>
      <c r="B553" s="149" t="s">
        <v>177</v>
      </c>
      <c r="C553" s="150"/>
      <c r="D553" s="151" t="s">
        <v>4</v>
      </c>
      <c r="E553" s="151"/>
      <c r="F553" s="152"/>
      <c r="G553" s="152"/>
      <c r="H553" s="152"/>
      <c r="I553" s="153"/>
      <c r="J553" s="151"/>
      <c r="K553" s="154">
        <f>SUBTOTAL(9,K554:K559)</f>
        <v>34.843000000000004</v>
      </c>
      <c r="L553" s="155"/>
    </row>
    <row r="554" spans="1:12" s="43" customFormat="1" ht="20.100000000000001" hidden="1" customHeight="1" outlineLevel="2" x14ac:dyDescent="0.25">
      <c r="A554" s="156"/>
      <c r="B554" s="157"/>
      <c r="C554" s="158" t="s">
        <v>174</v>
      </c>
      <c r="D554" s="159" t="s">
        <v>4</v>
      </c>
      <c r="E554" s="160">
        <v>2</v>
      </c>
      <c r="F554" s="161">
        <v>2.67</v>
      </c>
      <c r="G554" s="161">
        <f>2.975-0.1</f>
        <v>2.875</v>
      </c>
      <c r="H554" s="162"/>
      <c r="I554" s="161"/>
      <c r="J554" s="163" t="s">
        <v>75</v>
      </c>
      <c r="K554" s="162">
        <f t="shared" ref="K554:K559" si="152">ROUND(PRODUCT(E554:J554),3)</f>
        <v>15.353</v>
      </c>
      <c r="L554" s="164"/>
    </row>
    <row r="555" spans="1:12" s="43" customFormat="1" ht="20.100000000000001" hidden="1" customHeight="1" outlineLevel="2" x14ac:dyDescent="0.25">
      <c r="A555" s="77"/>
      <c r="B555" s="78"/>
      <c r="C555" s="79" t="s">
        <v>287</v>
      </c>
      <c r="D555" s="80" t="s">
        <v>4</v>
      </c>
      <c r="E555" s="81">
        <v>-2</v>
      </c>
      <c r="F555" s="82">
        <v>0.9</v>
      </c>
      <c r="G555" s="82">
        <v>2.1</v>
      </c>
      <c r="H555" s="83"/>
      <c r="I555" s="82"/>
      <c r="J555" s="84" t="s">
        <v>75</v>
      </c>
      <c r="K555" s="83">
        <f t="shared" si="152"/>
        <v>-3.78</v>
      </c>
      <c r="L555" s="85"/>
    </row>
    <row r="556" spans="1:12" s="43" customFormat="1" ht="20.100000000000001" hidden="1" customHeight="1" outlineLevel="2" x14ac:dyDescent="0.25">
      <c r="A556" s="77"/>
      <c r="B556" s="78"/>
      <c r="C556" s="79" t="s">
        <v>291</v>
      </c>
      <c r="D556" s="80" t="s">
        <v>4</v>
      </c>
      <c r="E556" s="81">
        <v>2</v>
      </c>
      <c r="F556" s="82">
        <v>1.1200000000000001</v>
      </c>
      <c r="G556" s="82">
        <v>2.875</v>
      </c>
      <c r="H556" s="83"/>
      <c r="I556" s="82"/>
      <c r="J556" s="84" t="s">
        <v>75</v>
      </c>
      <c r="K556" s="83">
        <f t="shared" si="152"/>
        <v>6.44</v>
      </c>
      <c r="L556" s="85"/>
    </row>
    <row r="557" spans="1:12" s="43" customFormat="1" ht="20.100000000000001" hidden="1" customHeight="1" outlineLevel="2" x14ac:dyDescent="0.25">
      <c r="A557" s="77"/>
      <c r="B557" s="78"/>
      <c r="C557" s="79" t="s">
        <v>287</v>
      </c>
      <c r="D557" s="80" t="s">
        <v>4</v>
      </c>
      <c r="E557" s="81">
        <v>-2</v>
      </c>
      <c r="F557" s="82">
        <v>0.9</v>
      </c>
      <c r="G557" s="82">
        <v>2.1</v>
      </c>
      <c r="H557" s="83"/>
      <c r="I557" s="82"/>
      <c r="J557" s="84" t="s">
        <v>75</v>
      </c>
      <c r="K557" s="83">
        <f t="shared" si="152"/>
        <v>-3.78</v>
      </c>
      <c r="L557" s="85"/>
    </row>
    <row r="558" spans="1:12" s="43" customFormat="1" ht="20.100000000000001" hidden="1" customHeight="1" outlineLevel="2" x14ac:dyDescent="0.25">
      <c r="A558" s="77"/>
      <c r="B558" s="78"/>
      <c r="C558" s="79" t="s">
        <v>293</v>
      </c>
      <c r="D558" s="80" t="s">
        <v>4</v>
      </c>
      <c r="E558" s="81">
        <v>1</v>
      </c>
      <c r="F558" s="82">
        <v>2.91</v>
      </c>
      <c r="G558" s="82">
        <f>2.975-0.1-0.12</f>
        <v>2.7549999999999999</v>
      </c>
      <c r="H558" s="83"/>
      <c r="I558" s="82"/>
      <c r="J558" s="84" t="s">
        <v>75</v>
      </c>
      <c r="K558" s="83">
        <f t="shared" si="152"/>
        <v>8.0169999999999995</v>
      </c>
      <c r="L558" s="85"/>
    </row>
    <row r="559" spans="1:12" s="43" customFormat="1" ht="20.100000000000001" hidden="1" customHeight="1" outlineLevel="2" thickBot="1" x14ac:dyDescent="0.3">
      <c r="A559" s="77"/>
      <c r="B559" s="78"/>
      <c r="C559" s="79" t="s">
        <v>294</v>
      </c>
      <c r="D559" s="80" t="s">
        <v>4</v>
      </c>
      <c r="E559" s="81">
        <v>1</v>
      </c>
      <c r="F559" s="82">
        <f>4.16+0.22</f>
        <v>4.38</v>
      </c>
      <c r="G559" s="82">
        <v>2.875</v>
      </c>
      <c r="H559" s="83"/>
      <c r="I559" s="82"/>
      <c r="J559" s="84" t="s">
        <v>75</v>
      </c>
      <c r="K559" s="83">
        <f t="shared" si="152"/>
        <v>12.593</v>
      </c>
      <c r="L559" s="85"/>
    </row>
    <row r="560" spans="1:12" s="42" customFormat="1" ht="24.95" hidden="1" customHeight="1" outlineLevel="1" thickBot="1" x14ac:dyDescent="0.3">
      <c r="A560" s="148">
        <v>20.6</v>
      </c>
      <c r="B560" s="149" t="s">
        <v>316</v>
      </c>
      <c r="C560" s="150"/>
      <c r="D560" s="151" t="s">
        <v>4</v>
      </c>
      <c r="E560" s="151"/>
      <c r="F560" s="152"/>
      <c r="G560" s="152"/>
      <c r="H560" s="152"/>
      <c r="I560" s="153"/>
      <c r="J560" s="151"/>
      <c r="K560" s="154">
        <f>K309</f>
        <v>30.371819676775889</v>
      </c>
      <c r="L560" s="155"/>
    </row>
    <row r="561" spans="1:12" s="42" customFormat="1" ht="36.75" customHeight="1" collapsed="1" thickBot="1" x14ac:dyDescent="0.3">
      <c r="A561" s="58">
        <v>35</v>
      </c>
      <c r="B561" s="59" t="s">
        <v>295</v>
      </c>
      <c r="C561" s="60"/>
      <c r="D561" s="61" t="s">
        <v>4</v>
      </c>
      <c r="E561" s="61"/>
      <c r="F561" s="62"/>
      <c r="G561" s="62"/>
      <c r="H561" s="62"/>
      <c r="I561" s="63"/>
      <c r="J561" s="61"/>
      <c r="K561" s="64">
        <f>SUBTOTAL(9,K562:K580)</f>
        <v>55.558</v>
      </c>
      <c r="L561" s="65"/>
    </row>
    <row r="562" spans="1:12" s="42" customFormat="1" ht="24.95" hidden="1" customHeight="1" outlineLevel="1" x14ac:dyDescent="0.25">
      <c r="A562" s="66">
        <v>21.1</v>
      </c>
      <c r="B562" s="59" t="s">
        <v>167</v>
      </c>
      <c r="C562" s="60"/>
      <c r="D562" s="61" t="s">
        <v>4</v>
      </c>
      <c r="E562" s="61"/>
      <c r="F562" s="62"/>
      <c r="G562" s="62"/>
      <c r="H562" s="62"/>
      <c r="I562" s="63"/>
      <c r="J562" s="61"/>
      <c r="K562" s="64">
        <f>SUBTOTAL(9,K563:K565)</f>
        <v>4.4079999999999995</v>
      </c>
      <c r="L562" s="67"/>
    </row>
    <row r="563" spans="1:12" s="43" customFormat="1" ht="20.100000000000001" hidden="1" customHeight="1" outlineLevel="2" x14ac:dyDescent="0.25">
      <c r="A563" s="68"/>
      <c r="B563" s="69"/>
      <c r="C563" s="70" t="s">
        <v>271</v>
      </c>
      <c r="D563" s="71" t="s">
        <v>4</v>
      </c>
      <c r="E563" s="72">
        <v>1</v>
      </c>
      <c r="F563" s="73">
        <v>2.4</v>
      </c>
      <c r="G563" s="73">
        <v>2.6</v>
      </c>
      <c r="H563" s="74">
        <v>0.22</v>
      </c>
      <c r="I563" s="73"/>
      <c r="J563" s="75" t="s">
        <v>296</v>
      </c>
      <c r="K563" s="74">
        <f>E563*(F563+G563*2)*H563</f>
        <v>1.6719999999999999</v>
      </c>
      <c r="L563" s="76" t="s">
        <v>266</v>
      </c>
    </row>
    <row r="564" spans="1:12" s="43" customFormat="1" ht="20.100000000000001" hidden="1" customHeight="1" outlineLevel="2" x14ac:dyDescent="0.25">
      <c r="A564" s="77"/>
      <c r="B564" s="78"/>
      <c r="C564" s="79" t="s">
        <v>272</v>
      </c>
      <c r="D564" s="80" t="s">
        <v>4</v>
      </c>
      <c r="E564" s="81">
        <v>1</v>
      </c>
      <c r="F564" s="82">
        <v>1.2</v>
      </c>
      <c r="G564" s="82">
        <v>1.2</v>
      </c>
      <c r="H564" s="83">
        <v>0.22</v>
      </c>
      <c r="I564" s="82"/>
      <c r="J564" s="84" t="s">
        <v>297</v>
      </c>
      <c r="K564" s="83">
        <f>E564*2*(F564+G564)*H564</f>
        <v>1.056</v>
      </c>
      <c r="L564" s="85" t="s">
        <v>268</v>
      </c>
    </row>
    <row r="565" spans="1:12" s="43" customFormat="1" ht="20.100000000000001" hidden="1" customHeight="1" outlineLevel="2" thickBot="1" x14ac:dyDescent="0.3">
      <c r="A565" s="77"/>
      <c r="B565" s="78"/>
      <c r="C565" s="79" t="s">
        <v>273</v>
      </c>
      <c r="D565" s="80" t="s">
        <v>4</v>
      </c>
      <c r="E565" s="81">
        <v>1</v>
      </c>
      <c r="F565" s="82">
        <v>0.8</v>
      </c>
      <c r="G565" s="82">
        <v>2.1</v>
      </c>
      <c r="H565" s="83"/>
      <c r="I565" s="82"/>
      <c r="J565" s="84" t="s">
        <v>75</v>
      </c>
      <c r="K565" s="83">
        <f t="shared" ref="K565" si="153">ROUND(PRODUCT(E565:J565),3)</f>
        <v>1.68</v>
      </c>
      <c r="L565" s="85" t="s">
        <v>268</v>
      </c>
    </row>
    <row r="566" spans="1:12" s="42" customFormat="1" ht="24.95" hidden="1" customHeight="1" outlineLevel="1" x14ac:dyDescent="0.25">
      <c r="A566" s="66">
        <v>21.2</v>
      </c>
      <c r="B566" s="59" t="s">
        <v>55</v>
      </c>
      <c r="C566" s="60"/>
      <c r="D566" s="61" t="s">
        <v>4</v>
      </c>
      <c r="E566" s="61"/>
      <c r="F566" s="62"/>
      <c r="G566" s="62"/>
      <c r="H566" s="62"/>
      <c r="I566" s="63"/>
      <c r="J566" s="61"/>
      <c r="K566" s="64">
        <f>SUBTOTAL(9,K567:K569)</f>
        <v>10.35</v>
      </c>
      <c r="L566" s="67"/>
    </row>
    <row r="567" spans="1:12" s="43" customFormat="1" ht="20.100000000000001" hidden="1" customHeight="1" outlineLevel="2" x14ac:dyDescent="0.25">
      <c r="A567" s="68"/>
      <c r="B567" s="70"/>
      <c r="C567" s="70" t="s">
        <v>274</v>
      </c>
      <c r="D567" s="71" t="s">
        <v>4</v>
      </c>
      <c r="E567" s="72">
        <v>1</v>
      </c>
      <c r="F567" s="73">
        <v>2.4</v>
      </c>
      <c r="G567" s="83">
        <v>2.9249999999999998</v>
      </c>
      <c r="H567" s="74"/>
      <c r="I567" s="73"/>
      <c r="J567" s="75" t="s">
        <v>75</v>
      </c>
      <c r="K567" s="74">
        <f t="shared" ref="K567:K569" si="154">ROUND(PRODUCT(E567:J567),3)</f>
        <v>7.02</v>
      </c>
      <c r="L567" s="76" t="s">
        <v>269</v>
      </c>
    </row>
    <row r="568" spans="1:12" s="43" customFormat="1" ht="20.100000000000001" hidden="1" customHeight="1" outlineLevel="2" x14ac:dyDescent="0.25">
      <c r="A568" s="86"/>
      <c r="B568" s="88"/>
      <c r="C568" s="88" t="s">
        <v>275</v>
      </c>
      <c r="D568" s="138" t="s">
        <v>4</v>
      </c>
      <c r="E568" s="139">
        <v>1</v>
      </c>
      <c r="F568" s="140">
        <v>0.9</v>
      </c>
      <c r="G568" s="83">
        <v>2.1</v>
      </c>
      <c r="H568" s="141"/>
      <c r="I568" s="140"/>
      <c r="J568" s="142" t="s">
        <v>75</v>
      </c>
      <c r="K568" s="141">
        <f t="shared" si="154"/>
        <v>1.89</v>
      </c>
      <c r="L568" s="89" t="s">
        <v>268</v>
      </c>
    </row>
    <row r="569" spans="1:12" s="43" customFormat="1" ht="20.100000000000001" hidden="1" customHeight="1" outlineLevel="2" thickBot="1" x14ac:dyDescent="0.3">
      <c r="A569" s="86"/>
      <c r="B569" s="87"/>
      <c r="C569" s="79" t="s">
        <v>272</v>
      </c>
      <c r="D569" s="80" t="s">
        <v>4</v>
      </c>
      <c r="E569" s="81">
        <v>1</v>
      </c>
      <c r="F569" s="82">
        <v>1.2</v>
      </c>
      <c r="G569" s="83">
        <v>1.2</v>
      </c>
      <c r="H569" s="83"/>
      <c r="I569" s="82"/>
      <c r="J569" s="84" t="s">
        <v>75</v>
      </c>
      <c r="K569" s="83">
        <f t="shared" si="154"/>
        <v>1.44</v>
      </c>
      <c r="L569" s="89" t="s">
        <v>268</v>
      </c>
    </row>
    <row r="570" spans="1:12" s="42" customFormat="1" ht="24.95" hidden="1" customHeight="1" outlineLevel="1" x14ac:dyDescent="0.25">
      <c r="A570" s="66">
        <v>21.3</v>
      </c>
      <c r="B570" s="59" t="s">
        <v>175</v>
      </c>
      <c r="C570" s="60"/>
      <c r="D570" s="61" t="s">
        <v>4</v>
      </c>
      <c r="E570" s="61"/>
      <c r="F570" s="62"/>
      <c r="G570" s="62"/>
      <c r="H570" s="62"/>
      <c r="I570" s="63"/>
      <c r="J570" s="61"/>
      <c r="K570" s="64">
        <f>SUBTOTAL(9,K571:K575)</f>
        <v>11.459999999999999</v>
      </c>
      <c r="L570" s="67"/>
    </row>
    <row r="571" spans="1:12" s="43" customFormat="1" ht="20.100000000000001" hidden="1" customHeight="1" outlineLevel="2" x14ac:dyDescent="0.25">
      <c r="A571" s="71"/>
      <c r="B571" s="69"/>
      <c r="C571" s="70" t="s">
        <v>276</v>
      </c>
      <c r="D571" s="71" t="s">
        <v>4</v>
      </c>
      <c r="E571" s="72">
        <v>1</v>
      </c>
      <c r="F571" s="73">
        <v>2.4</v>
      </c>
      <c r="G571" s="74">
        <v>1.2</v>
      </c>
      <c r="H571" s="74"/>
      <c r="I571" s="73"/>
      <c r="J571" s="75" t="s">
        <v>75</v>
      </c>
      <c r="K571" s="74">
        <f t="shared" ref="K571:K575" si="155">ROUND(PRODUCT(E571:J571),3)</f>
        <v>2.88</v>
      </c>
      <c r="L571" s="118" t="s">
        <v>277</v>
      </c>
    </row>
    <row r="572" spans="1:12" s="43" customFormat="1" ht="20.100000000000001" hidden="1" customHeight="1" outlineLevel="2" x14ac:dyDescent="0.25">
      <c r="A572" s="80"/>
      <c r="B572" s="78"/>
      <c r="C572" s="79" t="s">
        <v>273</v>
      </c>
      <c r="D572" s="80" t="s">
        <v>4</v>
      </c>
      <c r="E572" s="81">
        <v>1</v>
      </c>
      <c r="F572" s="82">
        <v>0.8</v>
      </c>
      <c r="G572" s="83">
        <v>2.1</v>
      </c>
      <c r="H572" s="83"/>
      <c r="I572" s="82"/>
      <c r="J572" s="84" t="s">
        <v>75</v>
      </c>
      <c r="K572" s="83">
        <f t="shared" si="155"/>
        <v>1.68</v>
      </c>
      <c r="L572" s="127" t="s">
        <v>268</v>
      </c>
    </row>
    <row r="573" spans="1:12" s="43" customFormat="1" ht="20.100000000000001" hidden="1" customHeight="1" outlineLevel="2" x14ac:dyDescent="0.25">
      <c r="A573" s="80"/>
      <c r="B573" s="78"/>
      <c r="C573" s="79" t="s">
        <v>272</v>
      </c>
      <c r="D573" s="80" t="s">
        <v>4</v>
      </c>
      <c r="E573" s="81">
        <v>2</v>
      </c>
      <c r="F573" s="82">
        <v>0.9</v>
      </c>
      <c r="G573" s="82">
        <v>2.1</v>
      </c>
      <c r="H573" s="83"/>
      <c r="I573" s="82"/>
      <c r="J573" s="84" t="s">
        <v>75</v>
      </c>
      <c r="K573" s="83">
        <f t="shared" si="155"/>
        <v>3.78</v>
      </c>
      <c r="L573" s="127" t="s">
        <v>268</v>
      </c>
    </row>
    <row r="574" spans="1:12" s="43" customFormat="1" ht="20.100000000000001" hidden="1" customHeight="1" outlineLevel="2" x14ac:dyDescent="0.25">
      <c r="A574" s="80"/>
      <c r="B574" s="78"/>
      <c r="C574" s="79" t="s">
        <v>270</v>
      </c>
      <c r="D574" s="80" t="s">
        <v>4</v>
      </c>
      <c r="E574" s="81">
        <v>1</v>
      </c>
      <c r="F574" s="82">
        <v>0.8</v>
      </c>
      <c r="G574" s="82">
        <v>2.1</v>
      </c>
      <c r="H574" s="83"/>
      <c r="I574" s="82"/>
      <c r="J574" s="84" t="s">
        <v>75</v>
      </c>
      <c r="K574" s="83">
        <f t="shared" si="155"/>
        <v>1.68</v>
      </c>
      <c r="L574" s="127" t="s">
        <v>278</v>
      </c>
    </row>
    <row r="575" spans="1:12" s="43" customFormat="1" ht="20.100000000000001" hidden="1" customHeight="1" outlineLevel="2" thickBot="1" x14ac:dyDescent="0.3">
      <c r="A575" s="80"/>
      <c r="B575" s="97"/>
      <c r="C575" s="98" t="s">
        <v>272</v>
      </c>
      <c r="D575" s="99" t="s">
        <v>4</v>
      </c>
      <c r="E575" s="100">
        <v>1</v>
      </c>
      <c r="F575" s="101">
        <v>1.2</v>
      </c>
      <c r="G575" s="102">
        <v>1.2</v>
      </c>
      <c r="H575" s="102"/>
      <c r="I575" s="101"/>
      <c r="J575" s="103" t="s">
        <v>75</v>
      </c>
      <c r="K575" s="102">
        <f t="shared" si="155"/>
        <v>1.44</v>
      </c>
      <c r="L575" s="119" t="s">
        <v>268</v>
      </c>
    </row>
    <row r="576" spans="1:12" s="42" customFormat="1" ht="24.95" hidden="1" customHeight="1" outlineLevel="1" x14ac:dyDescent="0.25">
      <c r="A576" s="66">
        <v>21.3</v>
      </c>
      <c r="B576" s="59" t="s">
        <v>254</v>
      </c>
      <c r="C576" s="60"/>
      <c r="D576" s="61" t="s">
        <v>4</v>
      </c>
      <c r="E576" s="61"/>
      <c r="F576" s="62"/>
      <c r="G576" s="62"/>
      <c r="H576" s="62"/>
      <c r="I576" s="63"/>
      <c r="J576" s="61"/>
      <c r="K576" s="64">
        <f>SUBTOTAL(9,K577:K580)</f>
        <v>29.34</v>
      </c>
      <c r="L576" s="67"/>
    </row>
    <row r="577" spans="1:12" s="43" customFormat="1" ht="20.100000000000001" hidden="1" customHeight="1" outlineLevel="2" x14ac:dyDescent="0.25">
      <c r="A577" s="68"/>
      <c r="B577" s="69"/>
      <c r="C577" s="70" t="s">
        <v>276</v>
      </c>
      <c r="D577" s="71" t="s">
        <v>4</v>
      </c>
      <c r="E577" s="72">
        <v>3</v>
      </c>
      <c r="F577" s="73">
        <v>2.4</v>
      </c>
      <c r="G577" s="74">
        <v>1.2</v>
      </c>
      <c r="H577" s="74"/>
      <c r="I577" s="73"/>
      <c r="J577" s="75" t="s">
        <v>75</v>
      </c>
      <c r="K577" s="74">
        <f t="shared" ref="K577:K580" si="156">ROUND(PRODUCT(E577:J577),3)</f>
        <v>8.64</v>
      </c>
      <c r="L577" s="76" t="s">
        <v>277</v>
      </c>
    </row>
    <row r="578" spans="1:12" s="43" customFormat="1" ht="20.100000000000001" hidden="1" customHeight="1" outlineLevel="2" x14ac:dyDescent="0.25">
      <c r="A578" s="77"/>
      <c r="B578" s="78"/>
      <c r="C578" s="79" t="s">
        <v>273</v>
      </c>
      <c r="D578" s="80" t="s">
        <v>4</v>
      </c>
      <c r="E578" s="81">
        <v>3</v>
      </c>
      <c r="F578" s="82">
        <v>0.8</v>
      </c>
      <c r="G578" s="83">
        <v>2.1</v>
      </c>
      <c r="H578" s="83"/>
      <c r="I578" s="82"/>
      <c r="J578" s="84" t="s">
        <v>75</v>
      </c>
      <c r="K578" s="83">
        <f t="shared" si="156"/>
        <v>5.04</v>
      </c>
      <c r="L578" s="85" t="s">
        <v>268</v>
      </c>
    </row>
    <row r="579" spans="1:12" s="43" customFormat="1" ht="20.100000000000001" hidden="1" customHeight="1" outlineLevel="2" x14ac:dyDescent="0.25">
      <c r="A579" s="77"/>
      <c r="B579" s="78"/>
      <c r="C579" s="79" t="s">
        <v>272</v>
      </c>
      <c r="D579" s="80" t="s">
        <v>4</v>
      </c>
      <c r="E579" s="81">
        <v>6</v>
      </c>
      <c r="F579" s="82">
        <v>0.9</v>
      </c>
      <c r="G579" s="82">
        <v>2.1</v>
      </c>
      <c r="H579" s="83"/>
      <c r="I579" s="82"/>
      <c r="J579" s="84" t="s">
        <v>75</v>
      </c>
      <c r="K579" s="83">
        <f t="shared" si="156"/>
        <v>11.34</v>
      </c>
      <c r="L579" s="85" t="s">
        <v>268</v>
      </c>
    </row>
    <row r="580" spans="1:12" s="43" customFormat="1" ht="20.100000000000001" hidden="1" customHeight="1" outlineLevel="2" thickBot="1" x14ac:dyDescent="0.3">
      <c r="A580" s="90"/>
      <c r="B580" s="91"/>
      <c r="C580" s="117" t="s">
        <v>272</v>
      </c>
      <c r="D580" s="120" t="s">
        <v>4</v>
      </c>
      <c r="E580" s="121">
        <v>3</v>
      </c>
      <c r="F580" s="92">
        <v>1.2</v>
      </c>
      <c r="G580" s="94">
        <v>1.2</v>
      </c>
      <c r="H580" s="94"/>
      <c r="I580" s="92"/>
      <c r="J580" s="93" t="s">
        <v>75</v>
      </c>
      <c r="K580" s="94">
        <f t="shared" si="156"/>
        <v>4.32</v>
      </c>
      <c r="L580" s="95" t="s">
        <v>268</v>
      </c>
    </row>
    <row r="581" spans="1:12" s="42" customFormat="1" ht="36.75" customHeight="1" collapsed="1" thickBot="1" x14ac:dyDescent="0.3">
      <c r="A581" s="58">
        <v>36</v>
      </c>
      <c r="B581" s="59" t="s">
        <v>369</v>
      </c>
      <c r="C581" s="60"/>
      <c r="D581" s="61" t="s">
        <v>4</v>
      </c>
      <c r="E581" s="61"/>
      <c r="F581" s="62"/>
      <c r="G581" s="62"/>
      <c r="H581" s="62"/>
      <c r="I581" s="63"/>
      <c r="J581" s="61"/>
      <c r="K581" s="64">
        <v>211.23</v>
      </c>
      <c r="L581" s="65"/>
    </row>
    <row r="582" spans="1:12" s="42" customFormat="1" ht="36.75" customHeight="1" collapsed="1" thickBot="1" x14ac:dyDescent="0.3">
      <c r="A582" s="58">
        <v>37</v>
      </c>
      <c r="B582" s="59" t="s">
        <v>368</v>
      </c>
      <c r="C582" s="60"/>
      <c r="D582" s="61" t="s">
        <v>4</v>
      </c>
      <c r="E582" s="61"/>
      <c r="F582" s="62"/>
      <c r="G582" s="62"/>
      <c r="H582" s="62"/>
      <c r="I582" s="63"/>
      <c r="J582" s="61"/>
      <c r="K582" s="64">
        <f>K584+K614+K596</f>
        <v>203.81900000000002</v>
      </c>
      <c r="L582" s="65"/>
    </row>
    <row r="583" spans="1:12" s="41" customFormat="1" ht="30" customHeight="1" thickBot="1" x14ac:dyDescent="0.3">
      <c r="A583" s="53"/>
      <c r="B583" s="54" t="s">
        <v>306</v>
      </c>
      <c r="C583" s="55"/>
      <c r="D583" s="56"/>
      <c r="E583" s="56"/>
      <c r="F583" s="55"/>
      <c r="G583" s="55"/>
      <c r="H583" s="55"/>
      <c r="I583" s="55"/>
      <c r="J583" s="56"/>
      <c r="K583" s="56"/>
      <c r="L583" s="57"/>
    </row>
    <row r="584" spans="1:12" s="42" customFormat="1" ht="36.75" customHeight="1" collapsed="1" thickBot="1" x14ac:dyDescent="0.3">
      <c r="A584" s="58">
        <v>38</v>
      </c>
      <c r="B584" s="59" t="s">
        <v>253</v>
      </c>
      <c r="C584" s="60"/>
      <c r="D584" s="61" t="s">
        <v>4</v>
      </c>
      <c r="E584" s="61"/>
      <c r="F584" s="62"/>
      <c r="G584" s="62"/>
      <c r="H584" s="62"/>
      <c r="I584" s="63"/>
      <c r="J584" s="61"/>
      <c r="K584" s="64">
        <f>SUBTOTAL(9,K585:K595)</f>
        <v>29.996000000000002</v>
      </c>
      <c r="L584" s="65"/>
    </row>
    <row r="585" spans="1:12" s="42" customFormat="1" ht="24.95" hidden="1" customHeight="1" outlineLevel="1" x14ac:dyDescent="0.25">
      <c r="A585" s="66">
        <v>13.1</v>
      </c>
      <c r="B585" s="59" t="s">
        <v>167</v>
      </c>
      <c r="C585" s="60"/>
      <c r="D585" s="61" t="s">
        <v>4</v>
      </c>
      <c r="E585" s="61"/>
      <c r="F585" s="62"/>
      <c r="G585" s="62"/>
      <c r="H585" s="62"/>
      <c r="I585" s="63"/>
      <c r="J585" s="61"/>
      <c r="K585" s="64">
        <f>SUBTOTAL(9,K586:K588)</f>
        <v>12.780000000000001</v>
      </c>
      <c r="L585" s="67"/>
    </row>
    <row r="586" spans="1:12" s="43" customFormat="1" ht="20.100000000000001" hidden="1" customHeight="1" outlineLevel="2" x14ac:dyDescent="0.25">
      <c r="A586" s="68"/>
      <c r="B586" s="69"/>
      <c r="C586" s="79" t="s">
        <v>163</v>
      </c>
      <c r="D586" s="80" t="s">
        <v>4</v>
      </c>
      <c r="E586" s="81">
        <v>1</v>
      </c>
      <c r="F586" s="82">
        <v>4.3600000000000003</v>
      </c>
      <c r="G586" s="82">
        <v>2.78</v>
      </c>
      <c r="H586" s="83"/>
      <c r="I586" s="82"/>
      <c r="J586" s="84" t="s">
        <v>75</v>
      </c>
      <c r="K586" s="83">
        <f t="shared" ref="K586" si="157">ROUND(PRODUCT(E586:J586),3)</f>
        <v>12.121</v>
      </c>
      <c r="L586" s="76"/>
    </row>
    <row r="587" spans="1:12" s="43" customFormat="1" ht="20.100000000000001" hidden="1" customHeight="1" outlineLevel="2" x14ac:dyDescent="0.25">
      <c r="A587" s="86"/>
      <c r="B587" s="87"/>
      <c r="C587" s="79" t="s">
        <v>189</v>
      </c>
      <c r="D587" s="80" t="s">
        <v>4</v>
      </c>
      <c r="E587" s="81">
        <v>-1</v>
      </c>
      <c r="F587" s="82">
        <v>0.7</v>
      </c>
      <c r="G587" s="82">
        <v>0.22</v>
      </c>
      <c r="H587" s="83"/>
      <c r="I587" s="82"/>
      <c r="J587" s="84" t="s">
        <v>75</v>
      </c>
      <c r="K587" s="83">
        <f t="shared" ref="K587" si="158">ROUND(PRODUCT(E587:J587),3)</f>
        <v>-0.154</v>
      </c>
      <c r="L587" s="89"/>
    </row>
    <row r="588" spans="1:12" s="43" customFormat="1" ht="20.100000000000001" hidden="1" customHeight="1" outlineLevel="2" thickBot="1" x14ac:dyDescent="0.3">
      <c r="A588" s="86"/>
      <c r="B588" s="87"/>
      <c r="C588" s="79" t="s">
        <v>239</v>
      </c>
      <c r="D588" s="80" t="s">
        <v>4</v>
      </c>
      <c r="E588" s="81">
        <v>1</v>
      </c>
      <c r="F588" s="82">
        <v>1.07</v>
      </c>
      <c r="G588" s="82">
        <v>0.76</v>
      </c>
      <c r="H588" s="83"/>
      <c r="I588" s="82"/>
      <c r="J588" s="84" t="s">
        <v>75</v>
      </c>
      <c r="K588" s="83">
        <f t="shared" ref="K588" si="159">ROUND(PRODUCT(E588:J588),3)</f>
        <v>0.81299999999999994</v>
      </c>
      <c r="L588" s="89"/>
    </row>
    <row r="589" spans="1:12" s="42" customFormat="1" ht="24.95" hidden="1" customHeight="1" outlineLevel="1" x14ac:dyDescent="0.25">
      <c r="A589" s="66">
        <v>13.2</v>
      </c>
      <c r="B589" s="59" t="s">
        <v>55</v>
      </c>
      <c r="C589" s="60"/>
      <c r="D589" s="61" t="s">
        <v>4</v>
      </c>
      <c r="E589" s="61"/>
      <c r="F589" s="62"/>
      <c r="G589" s="62"/>
      <c r="H589" s="62"/>
      <c r="I589" s="63"/>
      <c r="J589" s="61"/>
      <c r="K589" s="64">
        <f>SUBTOTAL(9,K590:K591)</f>
        <v>1.339</v>
      </c>
      <c r="L589" s="67"/>
    </row>
    <row r="590" spans="1:12" s="43" customFormat="1" ht="20.100000000000001" hidden="1" customHeight="1" outlineLevel="2" x14ac:dyDescent="0.25">
      <c r="A590" s="68"/>
      <c r="B590" s="70"/>
      <c r="C590" s="70" t="s">
        <v>233</v>
      </c>
      <c r="D590" s="71" t="s">
        <v>4</v>
      </c>
      <c r="E590" s="72">
        <v>1</v>
      </c>
      <c r="F590" s="73">
        <v>1.24</v>
      </c>
      <c r="G590" s="73">
        <v>0.85</v>
      </c>
      <c r="H590" s="74"/>
      <c r="I590" s="73"/>
      <c r="J590" s="75" t="s">
        <v>75</v>
      </c>
      <c r="K590" s="74">
        <f t="shared" ref="K590" si="160">ROUND(PRODUCT(E590:J590),3)</f>
        <v>1.054</v>
      </c>
      <c r="L590" s="76"/>
    </row>
    <row r="591" spans="1:12" s="43" customFormat="1" ht="20.100000000000001" hidden="1" customHeight="1" outlineLevel="2" thickBot="1" x14ac:dyDescent="0.3">
      <c r="A591" s="86"/>
      <c r="B591" s="87"/>
      <c r="C591" s="79"/>
      <c r="D591" s="80" t="s">
        <v>4</v>
      </c>
      <c r="E591" s="81">
        <v>1</v>
      </c>
      <c r="F591" s="82">
        <v>0.95</v>
      </c>
      <c r="G591" s="82">
        <v>0.3</v>
      </c>
      <c r="H591" s="83"/>
      <c r="I591" s="82"/>
      <c r="J591" s="84" t="s">
        <v>75</v>
      </c>
      <c r="K591" s="83">
        <f t="shared" ref="K591" si="161">ROUND(PRODUCT(E591:J591),3)</f>
        <v>0.28499999999999998</v>
      </c>
      <c r="L591" s="89"/>
    </row>
    <row r="592" spans="1:12" s="42" customFormat="1" ht="24.95" hidden="1" customHeight="1" outlineLevel="1" x14ac:dyDescent="0.25">
      <c r="A592" s="66">
        <v>13.3</v>
      </c>
      <c r="B592" s="59" t="s">
        <v>175</v>
      </c>
      <c r="C592" s="60"/>
      <c r="D592" s="61" t="s">
        <v>4</v>
      </c>
      <c r="E592" s="61"/>
      <c r="F592" s="62"/>
      <c r="G592" s="62"/>
      <c r="H592" s="62"/>
      <c r="I592" s="63"/>
      <c r="J592" s="61"/>
      <c r="K592" s="64">
        <f>SUBTOTAL(9,K593:K593)</f>
        <v>2.9390000000000001</v>
      </c>
      <c r="L592" s="67"/>
    </row>
    <row r="593" spans="1:12" s="43" customFormat="1" ht="20.100000000000001" hidden="1" customHeight="1" outlineLevel="2" thickBot="1" x14ac:dyDescent="0.3">
      <c r="A593" s="108"/>
      <c r="B593" s="109"/>
      <c r="C593" s="110" t="s">
        <v>233</v>
      </c>
      <c r="D593" s="111" t="s">
        <v>4</v>
      </c>
      <c r="E593" s="112">
        <v>1</v>
      </c>
      <c r="F593" s="113">
        <v>1.01</v>
      </c>
      <c r="G593" s="113">
        <v>2.91</v>
      </c>
      <c r="H593" s="114"/>
      <c r="I593" s="113"/>
      <c r="J593" s="115" t="s">
        <v>75</v>
      </c>
      <c r="K593" s="114">
        <f t="shared" ref="K593" si="162">ROUND(PRODUCT(E593:J593),3)</f>
        <v>2.9390000000000001</v>
      </c>
      <c r="L593" s="116"/>
    </row>
    <row r="594" spans="1:12" s="42" customFormat="1" ht="24.95" hidden="1" customHeight="1" outlineLevel="1" x14ac:dyDescent="0.25">
      <c r="A594" s="66">
        <v>13.4</v>
      </c>
      <c r="B594" s="59" t="s">
        <v>254</v>
      </c>
      <c r="C594" s="60"/>
      <c r="D594" s="61" t="s">
        <v>4</v>
      </c>
      <c r="E594" s="61"/>
      <c r="F594" s="62"/>
      <c r="G594" s="62"/>
      <c r="H594" s="62"/>
      <c r="I594" s="63"/>
      <c r="J594" s="61"/>
      <c r="K594" s="64">
        <f>SUBTOTAL(9,K595:K595)</f>
        <v>12.938000000000001</v>
      </c>
      <c r="L594" s="67"/>
    </row>
    <row r="595" spans="1:12" s="43" customFormat="1" ht="20.100000000000001" hidden="1" customHeight="1" outlineLevel="2" thickBot="1" x14ac:dyDescent="0.3">
      <c r="A595" s="108"/>
      <c r="B595" s="109"/>
      <c r="C595" s="110" t="s">
        <v>233</v>
      </c>
      <c r="D595" s="111" t="s">
        <v>4</v>
      </c>
      <c r="E595" s="112">
        <v>3</v>
      </c>
      <c r="F595" s="113">
        <v>1.01</v>
      </c>
      <c r="G595" s="113">
        <v>4.2699999999999996</v>
      </c>
      <c r="H595" s="114"/>
      <c r="I595" s="113"/>
      <c r="J595" s="115" t="s">
        <v>75</v>
      </c>
      <c r="K595" s="114">
        <f t="shared" ref="K595" si="163">ROUND(PRODUCT(E595:J595),3)</f>
        <v>12.938000000000001</v>
      </c>
      <c r="L595" s="116"/>
    </row>
    <row r="596" spans="1:12" s="42" customFormat="1" ht="36.75" customHeight="1" collapsed="1" thickBot="1" x14ac:dyDescent="0.3">
      <c r="A596" s="58">
        <v>39</v>
      </c>
      <c r="B596" s="59" t="s">
        <v>360</v>
      </c>
      <c r="C596" s="60"/>
      <c r="D596" s="61" t="s">
        <v>4</v>
      </c>
      <c r="E596" s="61"/>
      <c r="F596" s="62"/>
      <c r="G596" s="62"/>
      <c r="H596" s="62"/>
      <c r="I596" s="63"/>
      <c r="J596" s="61"/>
      <c r="K596" s="64">
        <f>SUBTOTAL(9,K597:K613)</f>
        <v>61.545000000000002</v>
      </c>
      <c r="L596" s="65"/>
    </row>
    <row r="597" spans="1:12" s="42" customFormat="1" ht="24.95" hidden="1" customHeight="1" outlineLevel="1" x14ac:dyDescent="0.25">
      <c r="A597" s="66">
        <v>14.1</v>
      </c>
      <c r="B597" s="59" t="s">
        <v>167</v>
      </c>
      <c r="C597" s="60"/>
      <c r="D597" s="61" t="s">
        <v>4</v>
      </c>
      <c r="E597" s="61"/>
      <c r="F597" s="62"/>
      <c r="G597" s="62"/>
      <c r="H597" s="62"/>
      <c r="I597" s="63"/>
      <c r="J597" s="61"/>
      <c r="K597" s="64">
        <f>SUBTOTAL(9,K598:K603)</f>
        <v>15.649000000000001</v>
      </c>
      <c r="L597" s="67"/>
    </row>
    <row r="598" spans="1:12" s="43" customFormat="1" ht="20.100000000000001" hidden="1" customHeight="1" outlineLevel="2" x14ac:dyDescent="0.25">
      <c r="A598" s="68"/>
      <c r="B598" s="69"/>
      <c r="C598" s="79" t="s">
        <v>163</v>
      </c>
      <c r="D598" s="80" t="s">
        <v>4</v>
      </c>
      <c r="E598" s="81">
        <v>1</v>
      </c>
      <c r="F598" s="82">
        <v>2.58</v>
      </c>
      <c r="G598" s="82">
        <v>0.9</v>
      </c>
      <c r="H598" s="83"/>
      <c r="I598" s="82"/>
      <c r="J598" s="84" t="s">
        <v>75</v>
      </c>
      <c r="K598" s="83">
        <f t="shared" ref="K598:K599" si="164">ROUND(PRODUCT(E598:J598),3)</f>
        <v>2.3220000000000001</v>
      </c>
      <c r="L598" s="76"/>
    </row>
    <row r="599" spans="1:12" s="43" customFormat="1" ht="20.100000000000001" hidden="1" customHeight="1" outlineLevel="2" x14ac:dyDescent="0.25">
      <c r="A599" s="86"/>
      <c r="B599" s="87"/>
      <c r="C599" s="79"/>
      <c r="D599" s="80" t="s">
        <v>4</v>
      </c>
      <c r="E599" s="81">
        <v>1</v>
      </c>
      <c r="F599" s="82">
        <v>0.11</v>
      </c>
      <c r="G599" s="82">
        <v>0.8</v>
      </c>
      <c r="H599" s="83"/>
      <c r="I599" s="82"/>
      <c r="J599" s="84" t="s">
        <v>75</v>
      </c>
      <c r="K599" s="83">
        <f t="shared" si="164"/>
        <v>8.7999999999999995E-2</v>
      </c>
      <c r="L599" s="89"/>
    </row>
    <row r="600" spans="1:12" s="43" customFormat="1" ht="19.5" hidden="1" customHeight="1" outlineLevel="2" x14ac:dyDescent="0.25">
      <c r="A600" s="105"/>
      <c r="B600" s="106"/>
      <c r="C600" s="126" t="s">
        <v>226</v>
      </c>
      <c r="D600" s="80" t="s">
        <v>4</v>
      </c>
      <c r="E600" s="81">
        <v>2</v>
      </c>
      <c r="F600" s="82">
        <v>2.69</v>
      </c>
      <c r="G600" s="82">
        <f>+(1.75+1.29)/2</f>
        <v>1.52</v>
      </c>
      <c r="H600" s="83"/>
      <c r="I600" s="82"/>
      <c r="J600" s="84" t="s">
        <v>75</v>
      </c>
      <c r="K600" s="83">
        <f>ROUND(PRODUCT(E600:J600),3)</f>
        <v>8.1780000000000008</v>
      </c>
      <c r="L600" s="107"/>
    </row>
    <row r="601" spans="1:12" s="43" customFormat="1" ht="19.5" hidden="1" customHeight="1" outlineLevel="2" x14ac:dyDescent="0.25">
      <c r="A601" s="77"/>
      <c r="B601" s="78"/>
      <c r="C601" s="79"/>
      <c r="D601" s="80" t="s">
        <v>4</v>
      </c>
      <c r="E601" s="81">
        <v>2</v>
      </c>
      <c r="F601" s="82">
        <v>0.79</v>
      </c>
      <c r="G601" s="82">
        <v>1.75</v>
      </c>
      <c r="H601" s="83"/>
      <c r="I601" s="82"/>
      <c r="J601" s="84" t="s">
        <v>75</v>
      </c>
      <c r="K601" s="83">
        <f>ROUND(PRODUCT(E601:J601),3)</f>
        <v>2.7650000000000001</v>
      </c>
      <c r="L601" s="85"/>
    </row>
    <row r="602" spans="1:12" s="43" customFormat="1" ht="19.5" hidden="1" customHeight="1" outlineLevel="2" x14ac:dyDescent="0.25">
      <c r="A602" s="77"/>
      <c r="B602" s="78"/>
      <c r="C602" s="79"/>
      <c r="D602" s="80" t="s">
        <v>4</v>
      </c>
      <c r="E602" s="81">
        <v>2</v>
      </c>
      <c r="F602" s="82">
        <f>0.9+0.11</f>
        <v>1.01</v>
      </c>
      <c r="G602" s="82">
        <v>2.8</v>
      </c>
      <c r="H602" s="83"/>
      <c r="I602" s="82"/>
      <c r="J602" s="84" t="s">
        <v>75</v>
      </c>
      <c r="K602" s="83">
        <f>ROUND(PRODUCT(E602:J602),3)</f>
        <v>5.6559999999999997</v>
      </c>
      <c r="L602" s="85"/>
    </row>
    <row r="603" spans="1:12" s="43" customFormat="1" ht="19.5" hidden="1" customHeight="1" outlineLevel="2" thickBot="1" x14ac:dyDescent="0.3">
      <c r="A603" s="77"/>
      <c r="B603" s="78"/>
      <c r="C603" s="79" t="s">
        <v>285</v>
      </c>
      <c r="D603" s="80" t="s">
        <v>4</v>
      </c>
      <c r="E603" s="81">
        <v>-2</v>
      </c>
      <c r="F603" s="82">
        <v>0.8</v>
      </c>
      <c r="G603" s="82">
        <v>2.1</v>
      </c>
      <c r="H603" s="83"/>
      <c r="I603" s="82"/>
      <c r="J603" s="84" t="s">
        <v>75</v>
      </c>
      <c r="K603" s="83">
        <f>ROUND(PRODUCT(E603:J603),3)</f>
        <v>-3.36</v>
      </c>
      <c r="L603" s="85"/>
    </row>
    <row r="604" spans="1:12" s="42" customFormat="1" ht="24.95" hidden="1" customHeight="1" outlineLevel="1" collapsed="1" thickBot="1" x14ac:dyDescent="0.3">
      <c r="A604" s="66">
        <v>14.2</v>
      </c>
      <c r="B604" s="59" t="s">
        <v>55</v>
      </c>
      <c r="C604" s="60"/>
      <c r="D604" s="61" t="s">
        <v>4</v>
      </c>
      <c r="E604" s="61"/>
      <c r="F604" s="62"/>
      <c r="G604" s="62"/>
      <c r="H604" s="62"/>
      <c r="I604" s="63"/>
      <c r="J604" s="61"/>
      <c r="K604" s="64">
        <f>SUBTOTAL(9,K605:K606)</f>
        <v>0</v>
      </c>
      <c r="L604" s="67"/>
    </row>
    <row r="605" spans="1:12" s="43" customFormat="1" ht="20.100000000000001" hidden="1" customHeight="1" outlineLevel="2" x14ac:dyDescent="0.25">
      <c r="A605" s="68"/>
      <c r="B605" s="70"/>
      <c r="C605" s="70"/>
      <c r="D605" s="71"/>
      <c r="E605" s="72"/>
      <c r="F605" s="73"/>
      <c r="G605" s="73"/>
      <c r="H605" s="74"/>
      <c r="I605" s="73"/>
      <c r="J605" s="75"/>
      <c r="K605" s="74"/>
      <c r="L605" s="76"/>
    </row>
    <row r="606" spans="1:12" s="43" customFormat="1" ht="20.100000000000001" hidden="1" customHeight="1" outlineLevel="2" thickBot="1" x14ac:dyDescent="0.3">
      <c r="A606" s="86"/>
      <c r="B606" s="87"/>
      <c r="C606" s="79"/>
      <c r="D606" s="80"/>
      <c r="E606" s="81"/>
      <c r="F606" s="82"/>
      <c r="G606" s="82"/>
      <c r="H606" s="83"/>
      <c r="I606" s="82"/>
      <c r="J606" s="84"/>
      <c r="K606" s="83"/>
      <c r="L606" s="89"/>
    </row>
    <row r="607" spans="1:12" s="42" customFormat="1" ht="24.95" hidden="1" customHeight="1" outlineLevel="1" x14ac:dyDescent="0.25">
      <c r="A607" s="66">
        <v>14.3</v>
      </c>
      <c r="B607" s="59" t="s">
        <v>184</v>
      </c>
      <c r="C607" s="60"/>
      <c r="D607" s="61" t="s">
        <v>4</v>
      </c>
      <c r="E607" s="61"/>
      <c r="F607" s="62"/>
      <c r="G607" s="62"/>
      <c r="H607" s="62"/>
      <c r="I607" s="63"/>
      <c r="J607" s="61"/>
      <c r="K607" s="64">
        <f>SUBTOTAL(9,K608:K613)</f>
        <v>45.896000000000001</v>
      </c>
      <c r="L607" s="67"/>
    </row>
    <row r="608" spans="1:12" s="43" customFormat="1" ht="20.100000000000001" hidden="1" customHeight="1" outlineLevel="2" x14ac:dyDescent="0.25">
      <c r="A608" s="71"/>
      <c r="B608" s="69"/>
      <c r="C608" s="70"/>
      <c r="D608" s="71" t="s">
        <v>4</v>
      </c>
      <c r="E608" s="72">
        <v>4</v>
      </c>
      <c r="F608" s="73">
        <v>1.25</v>
      </c>
      <c r="G608" s="73">
        <v>1.66</v>
      </c>
      <c r="H608" s="74"/>
      <c r="I608" s="73"/>
      <c r="J608" s="75" t="s">
        <v>75</v>
      </c>
      <c r="K608" s="74">
        <f t="shared" ref="K608" si="165">ROUND(PRODUCT(E608:J608),3)</f>
        <v>8.3000000000000007</v>
      </c>
      <c r="L608" s="118"/>
    </row>
    <row r="609" spans="1:12" s="43" customFormat="1" ht="20.100000000000001" hidden="1" customHeight="1" outlineLevel="2" x14ac:dyDescent="0.25">
      <c r="A609" s="80"/>
      <c r="B609" s="78"/>
      <c r="C609" s="79"/>
      <c r="D609" s="80" t="s">
        <v>4</v>
      </c>
      <c r="E609" s="81">
        <v>4</v>
      </c>
      <c r="F609" s="82">
        <v>0.7</v>
      </c>
      <c r="G609" s="82">
        <v>1.44</v>
      </c>
      <c r="H609" s="83"/>
      <c r="I609" s="82"/>
      <c r="J609" s="84" t="s">
        <v>75</v>
      </c>
      <c r="K609" s="83">
        <f t="shared" ref="K609:K610" si="166">ROUND(PRODUCT(E609:J609),3)</f>
        <v>4.032</v>
      </c>
      <c r="L609" s="127"/>
    </row>
    <row r="610" spans="1:12" s="43" customFormat="1" ht="20.100000000000001" hidden="1" customHeight="1" outlineLevel="2" x14ac:dyDescent="0.25">
      <c r="A610" s="80"/>
      <c r="B610" s="78"/>
      <c r="C610" s="79"/>
      <c r="D610" s="80" t="s">
        <v>4</v>
      </c>
      <c r="E610" s="81">
        <v>4</v>
      </c>
      <c r="F610" s="82">
        <v>0.11</v>
      </c>
      <c r="G610" s="82">
        <v>0.8</v>
      </c>
      <c r="H610" s="83"/>
      <c r="I610" s="82"/>
      <c r="J610" s="84" t="s">
        <v>75</v>
      </c>
      <c r="K610" s="83">
        <f t="shared" si="166"/>
        <v>0.35199999999999998</v>
      </c>
      <c r="L610" s="127"/>
    </row>
    <row r="611" spans="1:12" s="43" customFormat="1" ht="20.100000000000001" hidden="1" customHeight="1" outlineLevel="2" x14ac:dyDescent="0.25">
      <c r="A611" s="77"/>
      <c r="B611" s="78"/>
      <c r="C611" s="79" t="s">
        <v>290</v>
      </c>
      <c r="D611" s="80" t="s">
        <v>4</v>
      </c>
      <c r="E611" s="81">
        <v>1</v>
      </c>
      <c r="F611" s="82">
        <f>1.77+2.17+1.65</f>
        <v>5.59</v>
      </c>
      <c r="G611" s="82">
        <f t="shared" si="149"/>
        <v>2.855</v>
      </c>
      <c r="H611" s="83"/>
      <c r="I611" s="82"/>
      <c r="J611" s="84" t="s">
        <v>75</v>
      </c>
      <c r="K611" s="83">
        <f>ROUND(PRODUCT(E611:J611),3)</f>
        <v>15.959</v>
      </c>
      <c r="L611" s="85"/>
    </row>
    <row r="612" spans="1:12" s="43" customFormat="1" ht="20.100000000000001" hidden="1" customHeight="1" outlineLevel="2" x14ac:dyDescent="0.25">
      <c r="A612" s="77"/>
      <c r="B612" s="78"/>
      <c r="C612" s="79"/>
      <c r="D612" s="80" t="s">
        <v>4</v>
      </c>
      <c r="E612" s="139">
        <v>1</v>
      </c>
      <c r="F612" s="140">
        <f>1.25+0.22+0.7+1.44+1.95+1.66</f>
        <v>7.22</v>
      </c>
      <c r="G612" s="82">
        <f t="shared" si="149"/>
        <v>2.855</v>
      </c>
      <c r="H612" s="83"/>
      <c r="I612" s="82"/>
      <c r="J612" s="84" t="s">
        <v>75</v>
      </c>
      <c r="K612" s="83">
        <f>ROUND(PRODUCT(E612:J612),3)</f>
        <v>20.613</v>
      </c>
      <c r="L612" s="85"/>
    </row>
    <row r="613" spans="1:12" s="43" customFormat="1" ht="20.100000000000001" hidden="1" customHeight="1" outlineLevel="2" thickBot="1" x14ac:dyDescent="0.3">
      <c r="A613" s="77"/>
      <c r="B613" s="78"/>
      <c r="C613" s="79" t="s">
        <v>227</v>
      </c>
      <c r="D613" s="80" t="s">
        <v>4</v>
      </c>
      <c r="E613" s="139">
        <v>-2</v>
      </c>
      <c r="F613" s="140">
        <v>0.8</v>
      </c>
      <c r="G613" s="82">
        <v>2.1</v>
      </c>
      <c r="H613" s="83"/>
      <c r="I613" s="82"/>
      <c r="J613" s="84" t="s">
        <v>75</v>
      </c>
      <c r="K613" s="83">
        <f>ROUND(PRODUCT(E613:J613),3)</f>
        <v>-3.36</v>
      </c>
      <c r="L613" s="85"/>
    </row>
    <row r="614" spans="1:12" s="42" customFormat="1" ht="36.75" customHeight="1" collapsed="1" thickBot="1" x14ac:dyDescent="0.3">
      <c r="A614" s="58">
        <v>40</v>
      </c>
      <c r="B614" s="59" t="s">
        <v>315</v>
      </c>
      <c r="C614" s="60"/>
      <c r="D614" s="61" t="s">
        <v>4</v>
      </c>
      <c r="E614" s="61"/>
      <c r="F614" s="62"/>
      <c r="G614" s="62"/>
      <c r="H614" s="62"/>
      <c r="I614" s="63"/>
      <c r="J614" s="61"/>
      <c r="K614" s="64">
        <f>SUBTOTAL(9,K615:K625)</f>
        <v>112.27800000000001</v>
      </c>
      <c r="L614" s="65"/>
    </row>
    <row r="615" spans="1:12" s="42" customFormat="1" ht="24.95" hidden="1" customHeight="1" outlineLevel="1" x14ac:dyDescent="0.25">
      <c r="A615" s="66">
        <v>15.1</v>
      </c>
      <c r="B615" s="59" t="s">
        <v>167</v>
      </c>
      <c r="C615" s="60"/>
      <c r="D615" s="61" t="s">
        <v>4</v>
      </c>
      <c r="E615" s="61"/>
      <c r="F615" s="62"/>
      <c r="G615" s="62"/>
      <c r="H615" s="62"/>
      <c r="I615" s="63"/>
      <c r="J615" s="61"/>
      <c r="K615" s="64">
        <f>SUBTOTAL(9,K616:K616)</f>
        <v>15.805</v>
      </c>
      <c r="L615" s="67"/>
    </row>
    <row r="616" spans="1:12" s="43" customFormat="1" ht="20.100000000000001" hidden="1" customHeight="1" outlineLevel="2" thickBot="1" x14ac:dyDescent="0.3">
      <c r="A616" s="68"/>
      <c r="B616" s="69"/>
      <c r="C616" s="79" t="s">
        <v>255</v>
      </c>
      <c r="D616" s="80" t="s">
        <v>4</v>
      </c>
      <c r="E616" s="81">
        <v>1</v>
      </c>
      <c r="F616" s="82">
        <v>15.805</v>
      </c>
      <c r="G616" s="82"/>
      <c r="H616" s="83"/>
      <c r="I616" s="82"/>
      <c r="J616" s="84" t="s">
        <v>75</v>
      </c>
      <c r="K616" s="83">
        <f t="shared" ref="K616" si="167">ROUND(PRODUCT(E616:J616),3)</f>
        <v>15.805</v>
      </c>
      <c r="L616" s="76" t="s">
        <v>256</v>
      </c>
    </row>
    <row r="617" spans="1:12" s="42" customFormat="1" ht="24.95" hidden="1" customHeight="1" outlineLevel="1" x14ac:dyDescent="0.25">
      <c r="A617" s="66">
        <v>15.2</v>
      </c>
      <c r="B617" s="59" t="s">
        <v>55</v>
      </c>
      <c r="C617" s="60"/>
      <c r="D617" s="61" t="s">
        <v>4</v>
      </c>
      <c r="E617" s="61"/>
      <c r="F617" s="62"/>
      <c r="G617" s="62"/>
      <c r="H617" s="62"/>
      <c r="I617" s="63"/>
      <c r="J617" s="61"/>
      <c r="K617" s="64">
        <f>SUBTOTAL(9,K618:K619)</f>
        <v>26.954999999999998</v>
      </c>
      <c r="L617" s="67"/>
    </row>
    <row r="618" spans="1:12" s="43" customFormat="1" ht="20.100000000000001" hidden="1" customHeight="1" outlineLevel="2" x14ac:dyDescent="0.25">
      <c r="A618" s="68"/>
      <c r="B618" s="70"/>
      <c r="C618" s="70" t="s">
        <v>257</v>
      </c>
      <c r="D618" s="71" t="s">
        <v>4</v>
      </c>
      <c r="E618" s="72">
        <v>1</v>
      </c>
      <c r="F618" s="73">
        <v>17.178000000000001</v>
      </c>
      <c r="G618" s="73"/>
      <c r="H618" s="74"/>
      <c r="I618" s="73"/>
      <c r="J618" s="75" t="s">
        <v>75</v>
      </c>
      <c r="K618" s="74">
        <f t="shared" ref="K618:K619" si="168">ROUND(PRODUCT(E618:J618),3)</f>
        <v>17.178000000000001</v>
      </c>
      <c r="L618" s="76" t="s">
        <v>256</v>
      </c>
    </row>
    <row r="619" spans="1:12" s="43" customFormat="1" ht="20.100000000000001" hidden="1" customHeight="1" outlineLevel="2" thickBot="1" x14ac:dyDescent="0.3">
      <c r="A619" s="86"/>
      <c r="B619" s="87"/>
      <c r="C619" s="79" t="s">
        <v>258</v>
      </c>
      <c r="D619" s="80" t="s">
        <v>4</v>
      </c>
      <c r="E619" s="81">
        <v>1</v>
      </c>
      <c r="F619" s="82">
        <v>9.7769999999999992</v>
      </c>
      <c r="G619" s="82"/>
      <c r="H619" s="83"/>
      <c r="I619" s="82"/>
      <c r="J619" s="84" t="s">
        <v>75</v>
      </c>
      <c r="K619" s="83">
        <f t="shared" si="168"/>
        <v>9.7769999999999992</v>
      </c>
      <c r="L619" s="89" t="s">
        <v>256</v>
      </c>
    </row>
    <row r="620" spans="1:12" s="42" customFormat="1" ht="24.95" hidden="1" customHeight="1" outlineLevel="1" x14ac:dyDescent="0.25">
      <c r="A620" s="66">
        <v>15.3</v>
      </c>
      <c r="B620" s="59" t="s">
        <v>175</v>
      </c>
      <c r="C620" s="60"/>
      <c r="D620" s="61" t="s">
        <v>4</v>
      </c>
      <c r="E620" s="61"/>
      <c r="F620" s="62"/>
      <c r="G620" s="62"/>
      <c r="H620" s="62"/>
      <c r="I620" s="63"/>
      <c r="J620" s="61"/>
      <c r="K620" s="64">
        <f>SUBTOTAL(9,K621:K622)</f>
        <v>23.206000000000003</v>
      </c>
      <c r="L620" s="67"/>
    </row>
    <row r="621" spans="1:12" s="43" customFormat="1" ht="20.100000000000001" hidden="1" customHeight="1" outlineLevel="2" x14ac:dyDescent="0.25">
      <c r="A621" s="108"/>
      <c r="B621" s="69"/>
      <c r="C621" s="70" t="s">
        <v>259</v>
      </c>
      <c r="D621" s="71" t="s">
        <v>4</v>
      </c>
      <c r="E621" s="72">
        <v>1</v>
      </c>
      <c r="F621" s="73">
        <v>13.755000000000001</v>
      </c>
      <c r="G621" s="73"/>
      <c r="H621" s="74"/>
      <c r="I621" s="73"/>
      <c r="J621" s="75" t="s">
        <v>75</v>
      </c>
      <c r="K621" s="74">
        <f t="shared" ref="K621" si="169">ROUND(PRODUCT(E621:J621),3)</f>
        <v>13.755000000000001</v>
      </c>
      <c r="L621" s="76" t="s">
        <v>256</v>
      </c>
    </row>
    <row r="622" spans="1:12" s="43" customFormat="1" ht="20.100000000000001" hidden="1" customHeight="1" outlineLevel="2" thickBot="1" x14ac:dyDescent="0.3">
      <c r="A622" s="128"/>
      <c r="B622" s="91"/>
      <c r="C622" s="117" t="s">
        <v>260</v>
      </c>
      <c r="D622" s="120" t="s">
        <v>4</v>
      </c>
      <c r="E622" s="121">
        <v>1</v>
      </c>
      <c r="F622" s="92">
        <v>9.4510000000000005</v>
      </c>
      <c r="G622" s="92"/>
      <c r="H622" s="94"/>
      <c r="I622" s="92"/>
      <c r="J622" s="93" t="s">
        <v>75</v>
      </c>
      <c r="K622" s="94">
        <f t="shared" ref="K622" si="170">ROUND(PRODUCT(E622:J622),3)</f>
        <v>9.4510000000000005</v>
      </c>
      <c r="L622" s="95" t="s">
        <v>256</v>
      </c>
    </row>
    <row r="623" spans="1:12" s="42" customFormat="1" ht="24.95" hidden="1" customHeight="1" outlineLevel="1" x14ac:dyDescent="0.25">
      <c r="A623" s="66">
        <v>15.4</v>
      </c>
      <c r="B623" s="59" t="s">
        <v>237</v>
      </c>
      <c r="C623" s="60"/>
      <c r="D623" s="61" t="s">
        <v>4</v>
      </c>
      <c r="E623" s="61"/>
      <c r="F623" s="62"/>
      <c r="G623" s="62"/>
      <c r="H623" s="62"/>
      <c r="I623" s="63"/>
      <c r="J623" s="61"/>
      <c r="K623" s="64">
        <f>SUBTOTAL(9,K624:K625)</f>
        <v>46.311999999999998</v>
      </c>
      <c r="L623" s="67"/>
    </row>
    <row r="624" spans="1:12" s="43" customFormat="1" ht="20.100000000000001" hidden="1" customHeight="1" outlineLevel="2" x14ac:dyDescent="0.25">
      <c r="A624" s="71"/>
      <c r="B624" s="69"/>
      <c r="C624" s="70" t="s">
        <v>261</v>
      </c>
      <c r="D624" s="71" t="s">
        <v>4</v>
      </c>
      <c r="E624" s="72">
        <v>2</v>
      </c>
      <c r="F624" s="73">
        <v>13.379</v>
      </c>
      <c r="G624" s="73"/>
      <c r="H624" s="74"/>
      <c r="I624" s="73"/>
      <c r="J624" s="75" t="s">
        <v>75</v>
      </c>
      <c r="K624" s="74">
        <f t="shared" ref="K624" si="171">ROUND(PRODUCT(E624:J624),3)</f>
        <v>26.757999999999999</v>
      </c>
      <c r="L624" s="118" t="s">
        <v>256</v>
      </c>
    </row>
    <row r="625" spans="1:12" s="43" customFormat="1" ht="20.100000000000001" hidden="1" customHeight="1" outlineLevel="2" thickBot="1" x14ac:dyDescent="0.3">
      <c r="A625" s="99"/>
      <c r="B625" s="97"/>
      <c r="C625" s="98" t="s">
        <v>262</v>
      </c>
      <c r="D625" s="99" t="s">
        <v>4</v>
      </c>
      <c r="E625" s="100">
        <v>2</v>
      </c>
      <c r="F625" s="101">
        <v>9.7769999999999992</v>
      </c>
      <c r="G625" s="101"/>
      <c r="H625" s="102"/>
      <c r="I625" s="101"/>
      <c r="J625" s="103" t="s">
        <v>75</v>
      </c>
      <c r="K625" s="102">
        <f t="shared" ref="K625" si="172">ROUND(PRODUCT(E625:J625),3)</f>
        <v>19.553999999999998</v>
      </c>
      <c r="L625" s="119" t="s">
        <v>256</v>
      </c>
    </row>
    <row r="626" spans="1:12" s="42" customFormat="1" ht="36.75" customHeight="1" collapsed="1" thickBot="1" x14ac:dyDescent="0.3">
      <c r="A626" s="58">
        <v>41</v>
      </c>
      <c r="B626" s="59" t="s">
        <v>362</v>
      </c>
      <c r="C626" s="60"/>
      <c r="D626" s="61" t="s">
        <v>4</v>
      </c>
      <c r="E626" s="61"/>
      <c r="F626" s="62"/>
      <c r="G626" s="62"/>
      <c r="H626" s="62"/>
      <c r="I626" s="63"/>
      <c r="J626" s="61"/>
      <c r="K626" s="64">
        <f>SUBTOTAL(9,K627:K635)</f>
        <v>13.02</v>
      </c>
      <c r="L626" s="65"/>
    </row>
    <row r="627" spans="1:12" s="42" customFormat="1" ht="24.95" hidden="1" customHeight="1" outlineLevel="1" x14ac:dyDescent="0.25">
      <c r="A627" s="66">
        <v>15.1</v>
      </c>
      <c r="B627" s="59" t="s">
        <v>167</v>
      </c>
      <c r="C627" s="60"/>
      <c r="D627" s="61" t="s">
        <v>4</v>
      </c>
      <c r="E627" s="61"/>
      <c r="F627" s="62"/>
      <c r="G627" s="62"/>
      <c r="H627" s="62"/>
      <c r="I627" s="63"/>
      <c r="J627" s="61"/>
      <c r="K627" s="64">
        <f>SUBTOTAL(9,K628:K628)</f>
        <v>0</v>
      </c>
      <c r="L627" s="67"/>
    </row>
    <row r="628" spans="1:12" s="43" customFormat="1" ht="20.100000000000001" hidden="1" customHeight="1" outlineLevel="2" thickBot="1" x14ac:dyDescent="0.3">
      <c r="A628" s="68"/>
      <c r="B628" s="69"/>
      <c r="C628" s="79"/>
      <c r="D628" s="80" t="s">
        <v>4</v>
      </c>
      <c r="E628" s="81">
        <v>0</v>
      </c>
      <c r="F628" s="82">
        <v>0</v>
      </c>
      <c r="G628" s="82">
        <v>0</v>
      </c>
      <c r="H628" s="83"/>
      <c r="I628" s="82"/>
      <c r="J628" s="84" t="s">
        <v>75</v>
      </c>
      <c r="K628" s="83">
        <f t="shared" ref="K628" si="173">ROUND(PRODUCT(E628:J628),3)</f>
        <v>0</v>
      </c>
      <c r="L628" s="76"/>
    </row>
    <row r="629" spans="1:12" s="42" customFormat="1" ht="24.95" hidden="1" customHeight="1" outlineLevel="1" x14ac:dyDescent="0.25">
      <c r="A629" s="66">
        <v>15.2</v>
      </c>
      <c r="B629" s="59" t="s">
        <v>55</v>
      </c>
      <c r="C629" s="60"/>
      <c r="D629" s="61" t="s">
        <v>4</v>
      </c>
      <c r="E629" s="61"/>
      <c r="F629" s="62"/>
      <c r="G629" s="62"/>
      <c r="H629" s="62"/>
      <c r="I629" s="63"/>
      <c r="J629" s="61"/>
      <c r="K629" s="64">
        <f>SUBTOTAL(9,K630:K630)</f>
        <v>0</v>
      </c>
      <c r="L629" s="67"/>
    </row>
    <row r="630" spans="1:12" s="43" customFormat="1" ht="20.100000000000001" hidden="1" customHeight="1" outlineLevel="2" thickBot="1" x14ac:dyDescent="0.3">
      <c r="A630" s="68"/>
      <c r="B630" s="70"/>
      <c r="C630" s="70"/>
      <c r="D630" s="71" t="s">
        <v>4</v>
      </c>
      <c r="E630" s="72">
        <v>0</v>
      </c>
      <c r="F630" s="73">
        <v>0</v>
      </c>
      <c r="G630" s="73">
        <v>0</v>
      </c>
      <c r="H630" s="74"/>
      <c r="I630" s="73"/>
      <c r="J630" s="75" t="s">
        <v>75</v>
      </c>
      <c r="K630" s="74">
        <f t="shared" ref="K630" si="174">ROUND(PRODUCT(E630:J630),3)</f>
        <v>0</v>
      </c>
      <c r="L630" s="76"/>
    </row>
    <row r="631" spans="1:12" s="42" customFormat="1" ht="24.95" hidden="1" customHeight="1" outlineLevel="1" x14ac:dyDescent="0.25">
      <c r="A631" s="66">
        <v>15.3</v>
      </c>
      <c r="B631" s="59" t="s">
        <v>175</v>
      </c>
      <c r="C631" s="60"/>
      <c r="D631" s="61" t="s">
        <v>4</v>
      </c>
      <c r="E631" s="61"/>
      <c r="F631" s="62"/>
      <c r="G631" s="62"/>
      <c r="H631" s="62"/>
      <c r="I631" s="63"/>
      <c r="J631" s="61"/>
      <c r="K631" s="64">
        <f>SUBTOTAL(9,K632:K632)</f>
        <v>3.12</v>
      </c>
      <c r="L631" s="67"/>
    </row>
    <row r="632" spans="1:12" s="43" customFormat="1" ht="20.100000000000001" hidden="1" customHeight="1" outlineLevel="2" thickBot="1" x14ac:dyDescent="0.3">
      <c r="A632" s="108"/>
      <c r="B632" s="69"/>
      <c r="C632" s="70"/>
      <c r="D632" s="71" t="s">
        <v>4</v>
      </c>
      <c r="E632" s="72">
        <v>1</v>
      </c>
      <c r="F632" s="73">
        <v>2.4</v>
      </c>
      <c r="G632" s="73">
        <v>1.3</v>
      </c>
      <c r="H632" s="74"/>
      <c r="I632" s="73"/>
      <c r="J632" s="75" t="s">
        <v>75</v>
      </c>
      <c r="K632" s="74">
        <f t="shared" ref="K632" si="175">ROUND(PRODUCT(E632:J632),3)</f>
        <v>3.12</v>
      </c>
      <c r="L632" s="76"/>
    </row>
    <row r="633" spans="1:12" s="42" customFormat="1" ht="24.95" hidden="1" customHeight="1" outlineLevel="1" x14ac:dyDescent="0.25">
      <c r="A633" s="66">
        <v>15.4</v>
      </c>
      <c r="B633" s="59" t="s">
        <v>237</v>
      </c>
      <c r="C633" s="60"/>
      <c r="D633" s="61" t="s">
        <v>4</v>
      </c>
      <c r="E633" s="61"/>
      <c r="F633" s="62"/>
      <c r="G633" s="62"/>
      <c r="H633" s="62"/>
      <c r="I633" s="63"/>
      <c r="J633" s="61"/>
      <c r="K633" s="64">
        <f>SUBTOTAL(9,K634:K635)</f>
        <v>9.8999999999999986</v>
      </c>
      <c r="L633" s="67"/>
    </row>
    <row r="634" spans="1:12" s="43" customFormat="1" ht="20.100000000000001" hidden="1" customHeight="1" outlineLevel="2" x14ac:dyDescent="0.25">
      <c r="A634" s="71"/>
      <c r="B634" s="69"/>
      <c r="C634" s="70"/>
      <c r="D634" s="71" t="s">
        <v>4</v>
      </c>
      <c r="E634" s="72">
        <v>2</v>
      </c>
      <c r="F634" s="73">
        <v>2.4</v>
      </c>
      <c r="G634" s="73">
        <v>1.675</v>
      </c>
      <c r="H634" s="74"/>
      <c r="I634" s="73"/>
      <c r="J634" s="75" t="s">
        <v>75</v>
      </c>
      <c r="K634" s="74">
        <f t="shared" ref="K634:K635" si="176">ROUND(PRODUCT(E634:J634),3)</f>
        <v>8.0399999999999991</v>
      </c>
      <c r="L634" s="118"/>
    </row>
    <row r="635" spans="1:12" s="43" customFormat="1" ht="20.100000000000001" hidden="1" customHeight="1" outlineLevel="2" thickBot="1" x14ac:dyDescent="0.3">
      <c r="A635" s="99"/>
      <c r="B635" s="97"/>
      <c r="C635" s="98"/>
      <c r="D635" s="99" t="s">
        <v>4</v>
      </c>
      <c r="E635" s="100">
        <v>1</v>
      </c>
      <c r="F635" s="101">
        <v>2.4</v>
      </c>
      <c r="G635" s="101">
        <v>0.77500000000000002</v>
      </c>
      <c r="H635" s="102"/>
      <c r="I635" s="101"/>
      <c r="J635" s="103" t="s">
        <v>75</v>
      </c>
      <c r="K635" s="102">
        <f t="shared" si="176"/>
        <v>1.86</v>
      </c>
      <c r="L635" s="119"/>
    </row>
    <row r="636" spans="1:12" s="42" customFormat="1" ht="36.75" customHeight="1" collapsed="1" thickBot="1" x14ac:dyDescent="0.3">
      <c r="A636" s="58">
        <v>42</v>
      </c>
      <c r="B636" s="59" t="s">
        <v>313</v>
      </c>
      <c r="C636" s="60"/>
      <c r="D636" s="61" t="s">
        <v>4</v>
      </c>
      <c r="E636" s="61"/>
      <c r="F636" s="62"/>
      <c r="G636" s="62"/>
      <c r="H636" s="62"/>
      <c r="I636" s="63"/>
      <c r="J636" s="61"/>
      <c r="K636" s="64">
        <f>SUBTOTAL(9,K637:K641)</f>
        <v>36.972999999999999</v>
      </c>
      <c r="L636" s="65"/>
    </row>
    <row r="637" spans="1:12" s="42" customFormat="1" ht="24.95" hidden="1" customHeight="1" outlineLevel="1" x14ac:dyDescent="0.25">
      <c r="A637" s="66">
        <v>16.100000000000001</v>
      </c>
      <c r="B637" s="59" t="s">
        <v>177</v>
      </c>
      <c r="C637" s="60"/>
      <c r="D637" s="61" t="s">
        <v>4</v>
      </c>
      <c r="E637" s="61"/>
      <c r="F637" s="62"/>
      <c r="G637" s="62"/>
      <c r="H637" s="62"/>
      <c r="I637" s="63"/>
      <c r="J637" s="61"/>
      <c r="K637" s="64">
        <f>SUBTOTAL(9,K638:K639)</f>
        <v>23.155999999999999</v>
      </c>
      <c r="L637" s="67"/>
    </row>
    <row r="638" spans="1:12" s="43" customFormat="1" ht="20.100000000000001" hidden="1" customHeight="1" outlineLevel="2" x14ac:dyDescent="0.25">
      <c r="A638" s="71"/>
      <c r="B638" s="69"/>
      <c r="C638" s="70" t="s">
        <v>263</v>
      </c>
      <c r="D638" s="71" t="s">
        <v>4</v>
      </c>
      <c r="E638" s="72">
        <v>1</v>
      </c>
      <c r="F638" s="73">
        <v>13.379</v>
      </c>
      <c r="G638" s="73"/>
      <c r="H638" s="74"/>
      <c r="I638" s="73"/>
      <c r="J638" s="75" t="s">
        <v>75</v>
      </c>
      <c r="K638" s="74">
        <f t="shared" ref="K638:K639" si="177">ROUND(PRODUCT(E638:J638),3)</f>
        <v>13.379</v>
      </c>
      <c r="L638" s="118" t="s">
        <v>256</v>
      </c>
    </row>
    <row r="639" spans="1:12" s="43" customFormat="1" ht="20.100000000000001" hidden="1" customHeight="1" outlineLevel="2" thickBot="1" x14ac:dyDescent="0.3">
      <c r="A639" s="99"/>
      <c r="B639" s="97"/>
      <c r="C639" s="98" t="s">
        <v>264</v>
      </c>
      <c r="D639" s="99" t="s">
        <v>4</v>
      </c>
      <c r="E639" s="100">
        <v>1</v>
      </c>
      <c r="F639" s="101">
        <v>9.7769999999999992</v>
      </c>
      <c r="G639" s="101"/>
      <c r="H639" s="102"/>
      <c r="I639" s="101"/>
      <c r="J639" s="103" t="s">
        <v>75</v>
      </c>
      <c r="K639" s="102">
        <f t="shared" si="177"/>
        <v>9.7769999999999992</v>
      </c>
      <c r="L639" s="119" t="s">
        <v>256</v>
      </c>
    </row>
    <row r="640" spans="1:12" s="42" customFormat="1" ht="24.95" hidden="1" customHeight="1" outlineLevel="1" x14ac:dyDescent="0.25">
      <c r="A640" s="66">
        <v>16.2</v>
      </c>
      <c r="B640" s="59" t="s">
        <v>185</v>
      </c>
      <c r="C640" s="60"/>
      <c r="D640" s="61" t="s">
        <v>4</v>
      </c>
      <c r="E640" s="61"/>
      <c r="F640" s="62"/>
      <c r="G640" s="62"/>
      <c r="H640" s="62"/>
      <c r="I640" s="63"/>
      <c r="J640" s="61"/>
      <c r="K640" s="64">
        <f>SUBTOTAL(9,K641:K641)</f>
        <v>13.817</v>
      </c>
      <c r="L640" s="67"/>
    </row>
    <row r="641" spans="1:12" s="43" customFormat="1" ht="20.100000000000001" hidden="1" customHeight="1" outlineLevel="2" thickBot="1" x14ac:dyDescent="0.3">
      <c r="A641" s="129"/>
      <c r="B641" s="130"/>
      <c r="C641" s="131" t="s">
        <v>263</v>
      </c>
      <c r="D641" s="132" t="s">
        <v>4</v>
      </c>
      <c r="E641" s="133">
        <v>1</v>
      </c>
      <c r="F641" s="134">
        <v>4.97</v>
      </c>
      <c r="G641" s="134">
        <f>3-0.22</f>
        <v>2.78</v>
      </c>
      <c r="H641" s="135"/>
      <c r="I641" s="134"/>
      <c r="J641" s="136" t="s">
        <v>75</v>
      </c>
      <c r="K641" s="135">
        <f t="shared" ref="K641" si="178">ROUND(PRODUCT(E641:J641),3)</f>
        <v>13.817</v>
      </c>
      <c r="L641" s="137"/>
    </row>
    <row r="642" spans="1:12" s="42" customFormat="1" ht="36.75" customHeight="1" collapsed="1" thickBot="1" x14ac:dyDescent="0.3">
      <c r="A642" s="58">
        <v>43</v>
      </c>
      <c r="B642" s="59" t="s">
        <v>314</v>
      </c>
      <c r="C642" s="60"/>
      <c r="D642" s="61" t="s">
        <v>4</v>
      </c>
      <c r="E642" s="61"/>
      <c r="F642" s="62"/>
      <c r="G642" s="62"/>
      <c r="H642" s="62"/>
      <c r="I642" s="63"/>
      <c r="J642" s="61"/>
      <c r="K642" s="64">
        <f>SUBTOTAL(9,K643:K674)</f>
        <v>27.852999999999998</v>
      </c>
      <c r="L642" s="65"/>
    </row>
    <row r="643" spans="1:12" s="42" customFormat="1" ht="24.95" hidden="1" customHeight="1" outlineLevel="1" x14ac:dyDescent="0.25">
      <c r="A643" s="66">
        <v>17.100000000000001</v>
      </c>
      <c r="B643" s="59" t="s">
        <v>167</v>
      </c>
      <c r="C643" s="60"/>
      <c r="D643" s="61" t="s">
        <v>4</v>
      </c>
      <c r="E643" s="61"/>
      <c r="F643" s="62"/>
      <c r="G643" s="62"/>
      <c r="H643" s="62"/>
      <c r="I643" s="63"/>
      <c r="J643" s="61"/>
      <c r="K643" s="64">
        <f>SUBTOTAL(9,K644:K650)</f>
        <v>3.5870000000000006</v>
      </c>
      <c r="L643" s="67"/>
    </row>
    <row r="644" spans="1:12" s="43" customFormat="1" ht="20.100000000000001" hidden="1" customHeight="1" outlineLevel="2" x14ac:dyDescent="0.25">
      <c r="A644" s="68"/>
      <c r="B644" s="69"/>
      <c r="C644" s="70" t="s">
        <v>243</v>
      </c>
      <c r="D644" s="71" t="s">
        <v>4</v>
      </c>
      <c r="E644" s="72">
        <v>2</v>
      </c>
      <c r="F644" s="73">
        <v>0.25</v>
      </c>
      <c r="G644" s="73">
        <v>0.95</v>
      </c>
      <c r="H644" s="74"/>
      <c r="I644" s="73"/>
      <c r="J644" s="75" t="s">
        <v>75</v>
      </c>
      <c r="K644" s="74">
        <f t="shared" ref="K644:K649" si="179">ROUND(PRODUCT(E644:J644),3)</f>
        <v>0.47499999999999998</v>
      </c>
      <c r="L644" s="76"/>
    </row>
    <row r="645" spans="1:12" s="43" customFormat="1" ht="20.100000000000001" hidden="1" customHeight="1" outlineLevel="2" x14ac:dyDescent="0.25">
      <c r="A645" s="77"/>
      <c r="B645" s="78"/>
      <c r="C645" s="79"/>
      <c r="D645" s="80" t="s">
        <v>4</v>
      </c>
      <c r="E645" s="81">
        <v>2</v>
      </c>
      <c r="F645" s="82">
        <v>0.17</v>
      </c>
      <c r="G645" s="82">
        <v>0.95</v>
      </c>
      <c r="H645" s="83"/>
      <c r="I645" s="82"/>
      <c r="J645" s="84" t="s">
        <v>75</v>
      </c>
      <c r="K645" s="83">
        <f t="shared" ref="K645" si="180">ROUND(PRODUCT(E645:J645),3)</f>
        <v>0.32300000000000001</v>
      </c>
      <c r="L645" s="85"/>
    </row>
    <row r="646" spans="1:12" s="43" customFormat="1" ht="20.100000000000001" hidden="1" customHeight="1" outlineLevel="2" x14ac:dyDescent="0.25">
      <c r="A646" s="77"/>
      <c r="B646" s="78"/>
      <c r="C646" s="79" t="s">
        <v>244</v>
      </c>
      <c r="D646" s="80" t="s">
        <v>4</v>
      </c>
      <c r="E646" s="81">
        <v>1</v>
      </c>
      <c r="F646" s="82">
        <v>0.95</v>
      </c>
      <c r="G646" s="82">
        <v>0.95</v>
      </c>
      <c r="H646" s="83"/>
      <c r="I646" s="82"/>
      <c r="J646" s="84" t="s">
        <v>75</v>
      </c>
      <c r="K646" s="83">
        <f t="shared" si="179"/>
        <v>0.90300000000000002</v>
      </c>
      <c r="L646" s="85"/>
    </row>
    <row r="647" spans="1:12" s="43" customFormat="1" ht="20.100000000000001" hidden="1" customHeight="1" outlineLevel="2" x14ac:dyDescent="0.25">
      <c r="A647" s="77"/>
      <c r="B647" s="78"/>
      <c r="C647" s="79"/>
      <c r="D647" s="80" t="s">
        <v>4</v>
      </c>
      <c r="E647" s="81">
        <v>2</v>
      </c>
      <c r="F647" s="82">
        <v>0.92</v>
      </c>
      <c r="G647" s="82">
        <v>0.17</v>
      </c>
      <c r="H647" s="83"/>
      <c r="I647" s="82"/>
      <c r="J647" s="84" t="s">
        <v>75</v>
      </c>
      <c r="K647" s="83">
        <f t="shared" ref="K647:K648" si="181">ROUND(PRODUCT(E647:J647),3)</f>
        <v>0.313</v>
      </c>
      <c r="L647" s="85"/>
    </row>
    <row r="648" spans="1:12" s="43" customFormat="1" ht="20.100000000000001" hidden="1" customHeight="1" outlineLevel="2" x14ac:dyDescent="0.25">
      <c r="A648" s="77"/>
      <c r="B648" s="78"/>
      <c r="C648" s="79"/>
      <c r="D648" s="80" t="s">
        <v>4</v>
      </c>
      <c r="E648" s="81">
        <v>1</v>
      </c>
      <c r="F648" s="82">
        <v>1.2</v>
      </c>
      <c r="G648" s="82">
        <v>0.17</v>
      </c>
      <c r="H648" s="83"/>
      <c r="I648" s="82"/>
      <c r="J648" s="84" t="s">
        <v>75</v>
      </c>
      <c r="K648" s="83">
        <f t="shared" si="181"/>
        <v>0.20399999999999999</v>
      </c>
      <c r="L648" s="85"/>
    </row>
    <row r="649" spans="1:12" s="43" customFormat="1" ht="20.100000000000001" hidden="1" customHeight="1" outlineLevel="2" x14ac:dyDescent="0.25">
      <c r="A649" s="77"/>
      <c r="B649" s="78"/>
      <c r="C649" s="79" t="s">
        <v>245</v>
      </c>
      <c r="D649" s="80" t="s">
        <v>4</v>
      </c>
      <c r="E649" s="81">
        <v>7</v>
      </c>
      <c r="F649" s="82">
        <v>0.25</v>
      </c>
      <c r="G649" s="82">
        <v>0.17</v>
      </c>
      <c r="H649" s="83"/>
      <c r="I649" s="82"/>
      <c r="J649" s="84" t="s">
        <v>75</v>
      </c>
      <c r="K649" s="83">
        <f t="shared" si="179"/>
        <v>0.29799999999999999</v>
      </c>
      <c r="L649" s="85"/>
    </row>
    <row r="650" spans="1:12" s="43" customFormat="1" ht="20.100000000000001" hidden="1" customHeight="1" outlineLevel="2" thickBot="1" x14ac:dyDescent="0.3">
      <c r="A650" s="90"/>
      <c r="B650" s="91"/>
      <c r="C650" s="117"/>
      <c r="D650" s="120" t="s">
        <v>4</v>
      </c>
      <c r="E650" s="121">
        <v>7</v>
      </c>
      <c r="F650" s="92">
        <v>0.17</v>
      </c>
      <c r="G650" s="92">
        <v>0.9</v>
      </c>
      <c r="H650" s="94"/>
      <c r="I650" s="92"/>
      <c r="J650" s="84" t="s">
        <v>75</v>
      </c>
      <c r="K650" s="83">
        <f t="shared" ref="K650" si="182">ROUND(PRODUCT(E650:J650),3)</f>
        <v>1.071</v>
      </c>
      <c r="L650" s="95"/>
    </row>
    <row r="651" spans="1:12" s="42" customFormat="1" ht="24.95" hidden="1" customHeight="1" outlineLevel="1" x14ac:dyDescent="0.25">
      <c r="A651" s="66">
        <v>17.2</v>
      </c>
      <c r="B651" s="59" t="s">
        <v>55</v>
      </c>
      <c r="C651" s="60"/>
      <c r="D651" s="61" t="s">
        <v>4</v>
      </c>
      <c r="E651" s="61"/>
      <c r="F651" s="62"/>
      <c r="G651" s="62"/>
      <c r="H651" s="62"/>
      <c r="I651" s="63"/>
      <c r="J651" s="61"/>
      <c r="K651" s="64">
        <f>SUBTOTAL(9,K652:K663)</f>
        <v>6.0659999999999998</v>
      </c>
      <c r="L651" s="67"/>
    </row>
    <row r="652" spans="1:12" s="43" customFormat="1" ht="20.100000000000001" hidden="1" customHeight="1" outlineLevel="2" x14ac:dyDescent="0.25">
      <c r="A652" s="68"/>
      <c r="B652" s="70"/>
      <c r="C652" s="70" t="s">
        <v>242</v>
      </c>
      <c r="D652" s="71" t="s">
        <v>4</v>
      </c>
      <c r="E652" s="72">
        <v>2</v>
      </c>
      <c r="F652" s="73">
        <v>0.25</v>
      </c>
      <c r="G652" s="83">
        <v>0.9</v>
      </c>
      <c r="H652" s="74"/>
      <c r="I652" s="73"/>
      <c r="J652" s="75" t="s">
        <v>75</v>
      </c>
      <c r="K652" s="74">
        <f t="shared" ref="K652:K663" si="183">ROUND(PRODUCT(E652:J652),3)</f>
        <v>0.45</v>
      </c>
      <c r="L652" s="76"/>
    </row>
    <row r="653" spans="1:12" s="43" customFormat="1" ht="20.100000000000001" hidden="1" customHeight="1" outlineLevel="2" x14ac:dyDescent="0.25">
      <c r="A653" s="86"/>
      <c r="B653" s="88"/>
      <c r="C653" s="88"/>
      <c r="D653" s="138" t="s">
        <v>4</v>
      </c>
      <c r="E653" s="139">
        <v>2</v>
      </c>
      <c r="F653" s="140">
        <v>0.17</v>
      </c>
      <c r="G653" s="83">
        <v>0.9</v>
      </c>
      <c r="H653" s="141"/>
      <c r="I653" s="140"/>
      <c r="J653" s="142" t="s">
        <v>75</v>
      </c>
      <c r="K653" s="141">
        <f t="shared" si="183"/>
        <v>0.30599999999999999</v>
      </c>
      <c r="L653" s="89"/>
    </row>
    <row r="654" spans="1:12" s="43" customFormat="1" ht="20.100000000000001" hidden="1" customHeight="1" outlineLevel="2" x14ac:dyDescent="0.25">
      <c r="A654" s="86"/>
      <c r="B654" s="87"/>
      <c r="C654" s="79" t="s">
        <v>240</v>
      </c>
      <c r="D654" s="80" t="s">
        <v>4</v>
      </c>
      <c r="E654" s="81">
        <v>1</v>
      </c>
      <c r="F654" s="82">
        <v>0.25</v>
      </c>
      <c r="G654" s="83">
        <v>0.9</v>
      </c>
      <c r="H654" s="83"/>
      <c r="I654" s="82"/>
      <c r="J654" s="84" t="s">
        <v>75</v>
      </c>
      <c r="K654" s="83">
        <f t="shared" si="183"/>
        <v>0.22500000000000001</v>
      </c>
      <c r="L654" s="89"/>
    </row>
    <row r="655" spans="1:12" s="43" customFormat="1" ht="20.100000000000001" hidden="1" customHeight="1" outlineLevel="2" x14ac:dyDescent="0.25">
      <c r="A655" s="86"/>
      <c r="B655" s="87"/>
      <c r="C655" s="79"/>
      <c r="D655" s="80" t="s">
        <v>4</v>
      </c>
      <c r="E655" s="81">
        <v>1</v>
      </c>
      <c r="F655" s="82">
        <v>0.17</v>
      </c>
      <c r="G655" s="83">
        <v>0.9</v>
      </c>
      <c r="H655" s="83"/>
      <c r="I655" s="82"/>
      <c r="J655" s="84" t="s">
        <v>75</v>
      </c>
      <c r="K655" s="83">
        <f t="shared" si="183"/>
        <v>0.153</v>
      </c>
      <c r="L655" s="89"/>
    </row>
    <row r="656" spans="1:12" s="43" customFormat="1" ht="20.100000000000001" hidden="1" customHeight="1" outlineLevel="2" x14ac:dyDescent="0.25">
      <c r="A656" s="86"/>
      <c r="B656" s="87"/>
      <c r="C656" s="79" t="s">
        <v>241</v>
      </c>
      <c r="D656" s="80" t="s">
        <v>4</v>
      </c>
      <c r="E656" s="81">
        <v>1</v>
      </c>
      <c r="F656" s="82">
        <v>0.9</v>
      </c>
      <c r="G656" s="82">
        <v>0.9</v>
      </c>
      <c r="H656" s="83"/>
      <c r="I656" s="82"/>
      <c r="J656" s="84" t="s">
        <v>75</v>
      </c>
      <c r="K656" s="83">
        <f t="shared" si="183"/>
        <v>0.81</v>
      </c>
      <c r="L656" s="89"/>
    </row>
    <row r="657" spans="1:12" s="43" customFormat="1" ht="20.100000000000001" hidden="1" customHeight="1" outlineLevel="2" x14ac:dyDescent="0.25">
      <c r="A657" s="86"/>
      <c r="B657" s="87"/>
      <c r="C657" s="79"/>
      <c r="D657" s="80" t="s">
        <v>4</v>
      </c>
      <c r="E657" s="81">
        <v>2</v>
      </c>
      <c r="F657" s="82">
        <v>0.98</v>
      </c>
      <c r="G657" s="82">
        <v>0.17</v>
      </c>
      <c r="H657" s="83"/>
      <c r="I657" s="82"/>
      <c r="J657" s="84" t="s">
        <v>75</v>
      </c>
      <c r="K657" s="83">
        <f t="shared" si="183"/>
        <v>0.33300000000000002</v>
      </c>
      <c r="L657" s="89"/>
    </row>
    <row r="658" spans="1:12" s="43" customFormat="1" ht="20.100000000000001" hidden="1" customHeight="1" outlineLevel="2" x14ac:dyDescent="0.25">
      <c r="A658" s="86"/>
      <c r="B658" s="87"/>
      <c r="C658" s="79" t="s">
        <v>246</v>
      </c>
      <c r="D658" s="80" t="s">
        <v>4</v>
      </c>
      <c r="E658" s="81">
        <v>4</v>
      </c>
      <c r="F658" s="82">
        <v>0.25</v>
      </c>
      <c r="G658" s="83">
        <v>0.9</v>
      </c>
      <c r="H658" s="83"/>
      <c r="I658" s="82"/>
      <c r="J658" s="84" t="s">
        <v>75</v>
      </c>
      <c r="K658" s="83">
        <f t="shared" si="183"/>
        <v>0.9</v>
      </c>
      <c r="L658" s="89"/>
    </row>
    <row r="659" spans="1:12" s="43" customFormat="1" ht="20.100000000000001" hidden="1" customHeight="1" outlineLevel="2" x14ac:dyDescent="0.25">
      <c r="A659" s="86"/>
      <c r="B659" s="87"/>
      <c r="C659" s="79"/>
      <c r="D659" s="80" t="s">
        <v>4</v>
      </c>
      <c r="E659" s="81">
        <v>4</v>
      </c>
      <c r="F659" s="82">
        <v>0.17</v>
      </c>
      <c r="G659" s="83">
        <v>0.9</v>
      </c>
      <c r="H659" s="83"/>
      <c r="I659" s="82"/>
      <c r="J659" s="84" t="s">
        <v>75</v>
      </c>
      <c r="K659" s="83">
        <f t="shared" si="183"/>
        <v>0.61199999999999999</v>
      </c>
      <c r="L659" s="89"/>
    </row>
    <row r="660" spans="1:12" s="43" customFormat="1" ht="20.100000000000001" hidden="1" customHeight="1" outlineLevel="2" x14ac:dyDescent="0.25">
      <c r="A660" s="86"/>
      <c r="B660" s="87"/>
      <c r="C660" s="79" t="s">
        <v>247</v>
      </c>
      <c r="D660" s="80" t="s">
        <v>4</v>
      </c>
      <c r="E660" s="81">
        <v>1</v>
      </c>
      <c r="F660" s="82">
        <v>0.9</v>
      </c>
      <c r="G660" s="82">
        <v>0.9</v>
      </c>
      <c r="H660" s="83"/>
      <c r="I660" s="82"/>
      <c r="J660" s="84" t="s">
        <v>75</v>
      </c>
      <c r="K660" s="83">
        <f t="shared" si="183"/>
        <v>0.81</v>
      </c>
      <c r="L660" s="89"/>
    </row>
    <row r="661" spans="1:12" s="43" customFormat="1" ht="20.100000000000001" hidden="1" customHeight="1" outlineLevel="2" x14ac:dyDescent="0.25">
      <c r="A661" s="86"/>
      <c r="B661" s="87"/>
      <c r="C661" s="79"/>
      <c r="D661" s="80" t="s">
        <v>4</v>
      </c>
      <c r="E661" s="81">
        <v>2</v>
      </c>
      <c r="F661" s="82">
        <v>0.98</v>
      </c>
      <c r="G661" s="82">
        <v>0.17</v>
      </c>
      <c r="H661" s="83"/>
      <c r="I661" s="82"/>
      <c r="J661" s="84" t="s">
        <v>75</v>
      </c>
      <c r="K661" s="83">
        <f t="shared" si="183"/>
        <v>0.33300000000000002</v>
      </c>
      <c r="L661" s="89"/>
    </row>
    <row r="662" spans="1:12" s="43" customFormat="1" ht="20.100000000000001" hidden="1" customHeight="1" outlineLevel="2" x14ac:dyDescent="0.25">
      <c r="A662" s="86"/>
      <c r="B662" s="87"/>
      <c r="C662" s="79" t="s">
        <v>248</v>
      </c>
      <c r="D662" s="80" t="s">
        <v>4</v>
      </c>
      <c r="E662" s="81">
        <v>3</v>
      </c>
      <c r="F662" s="82">
        <v>0.25</v>
      </c>
      <c r="G662" s="83">
        <v>0.9</v>
      </c>
      <c r="H662" s="83"/>
      <c r="I662" s="82"/>
      <c r="J662" s="84" t="s">
        <v>75</v>
      </c>
      <c r="K662" s="83">
        <f t="shared" si="183"/>
        <v>0.67500000000000004</v>
      </c>
      <c r="L662" s="89"/>
    </row>
    <row r="663" spans="1:12" s="43" customFormat="1" ht="20.100000000000001" hidden="1" customHeight="1" outlineLevel="2" thickBot="1" x14ac:dyDescent="0.3">
      <c r="A663" s="122"/>
      <c r="B663" s="123"/>
      <c r="C663" s="124"/>
      <c r="D663" s="143" t="s">
        <v>4</v>
      </c>
      <c r="E663" s="144">
        <v>3</v>
      </c>
      <c r="F663" s="145">
        <v>0.17</v>
      </c>
      <c r="G663" s="83">
        <v>0.9</v>
      </c>
      <c r="H663" s="146"/>
      <c r="I663" s="145"/>
      <c r="J663" s="147" t="s">
        <v>75</v>
      </c>
      <c r="K663" s="146">
        <f t="shared" si="183"/>
        <v>0.45900000000000002</v>
      </c>
      <c r="L663" s="125"/>
    </row>
    <row r="664" spans="1:12" s="42" customFormat="1" ht="24.95" hidden="1" customHeight="1" outlineLevel="1" x14ac:dyDescent="0.25">
      <c r="A664" s="66">
        <v>17.3</v>
      </c>
      <c r="B664" s="59" t="s">
        <v>176</v>
      </c>
      <c r="C664" s="60"/>
      <c r="D664" s="61" t="s">
        <v>4</v>
      </c>
      <c r="E664" s="61"/>
      <c r="F664" s="62"/>
      <c r="G664" s="62"/>
      <c r="H664" s="62"/>
      <c r="I664" s="63"/>
      <c r="J664" s="61"/>
      <c r="K664" s="64">
        <f>SUBTOTAL(9,K665:K674)</f>
        <v>18.2</v>
      </c>
      <c r="L664" s="67"/>
    </row>
    <row r="665" spans="1:12" s="43" customFormat="1" ht="20.100000000000001" hidden="1" customHeight="1" outlineLevel="2" x14ac:dyDescent="0.25">
      <c r="A665" s="71"/>
      <c r="B665" s="69"/>
      <c r="C665" s="70" t="s">
        <v>242</v>
      </c>
      <c r="D665" s="71" t="s">
        <v>4</v>
      </c>
      <c r="E665" s="72">
        <v>9</v>
      </c>
      <c r="F665" s="73">
        <v>0.25</v>
      </c>
      <c r="G665" s="83">
        <v>0.9</v>
      </c>
      <c r="H665" s="74"/>
      <c r="I665" s="73"/>
      <c r="J665" s="75" t="s">
        <v>75</v>
      </c>
      <c r="K665" s="74">
        <f t="shared" ref="K665:K674" si="184">ROUND(PRODUCT(E665:J665),3)</f>
        <v>2.0249999999999999</v>
      </c>
      <c r="L665" s="118"/>
    </row>
    <row r="666" spans="1:12" s="43" customFormat="1" ht="20.100000000000001" hidden="1" customHeight="1" outlineLevel="2" x14ac:dyDescent="0.25">
      <c r="A666" s="80"/>
      <c r="B666" s="78"/>
      <c r="C666" s="79"/>
      <c r="D666" s="80"/>
      <c r="E666" s="81">
        <v>9</v>
      </c>
      <c r="F666" s="82">
        <v>0.17</v>
      </c>
      <c r="G666" s="83">
        <v>0.9</v>
      </c>
      <c r="H666" s="83"/>
      <c r="I666" s="82"/>
      <c r="J666" s="84" t="s">
        <v>75</v>
      </c>
      <c r="K666" s="83">
        <f t="shared" si="184"/>
        <v>1.377</v>
      </c>
      <c r="L666" s="127"/>
    </row>
    <row r="667" spans="1:12" s="43" customFormat="1" ht="20.100000000000001" hidden="1" customHeight="1" outlineLevel="2" x14ac:dyDescent="0.25">
      <c r="A667" s="80"/>
      <c r="B667" s="78"/>
      <c r="C667" s="79" t="s">
        <v>249</v>
      </c>
      <c r="D667" s="80" t="s">
        <v>4</v>
      </c>
      <c r="E667" s="81">
        <v>3</v>
      </c>
      <c r="F667" s="82">
        <v>0.9</v>
      </c>
      <c r="G667" s="82">
        <v>0.9</v>
      </c>
      <c r="H667" s="83"/>
      <c r="I667" s="82"/>
      <c r="J667" s="84" t="s">
        <v>75</v>
      </c>
      <c r="K667" s="83">
        <f t="shared" si="184"/>
        <v>2.4300000000000002</v>
      </c>
      <c r="L667" s="127"/>
    </row>
    <row r="668" spans="1:12" s="43" customFormat="1" ht="20.100000000000001" hidden="1" customHeight="1" outlineLevel="2" x14ac:dyDescent="0.25">
      <c r="A668" s="80"/>
      <c r="B668" s="78"/>
      <c r="C668" s="79"/>
      <c r="D668" s="80"/>
      <c r="E668" s="81">
        <v>6</v>
      </c>
      <c r="F668" s="82">
        <v>0.98</v>
      </c>
      <c r="G668" s="82">
        <v>0.17</v>
      </c>
      <c r="H668" s="83"/>
      <c r="I668" s="82"/>
      <c r="J668" s="84" t="s">
        <v>75</v>
      </c>
      <c r="K668" s="83">
        <f t="shared" si="184"/>
        <v>1</v>
      </c>
      <c r="L668" s="127"/>
    </row>
    <row r="669" spans="1:12" s="43" customFormat="1" ht="20.100000000000001" hidden="1" customHeight="1" outlineLevel="2" x14ac:dyDescent="0.25">
      <c r="A669" s="80"/>
      <c r="B669" s="78"/>
      <c r="C669" s="79" t="s">
        <v>250</v>
      </c>
      <c r="D669" s="80" t="s">
        <v>4</v>
      </c>
      <c r="E669" s="81">
        <v>12</v>
      </c>
      <c r="F669" s="82">
        <v>0.25</v>
      </c>
      <c r="G669" s="83">
        <v>0.9</v>
      </c>
      <c r="H669" s="83"/>
      <c r="I669" s="82"/>
      <c r="J669" s="84" t="s">
        <v>75</v>
      </c>
      <c r="K669" s="83">
        <f t="shared" si="184"/>
        <v>2.7</v>
      </c>
      <c r="L669" s="127"/>
    </row>
    <row r="670" spans="1:12" s="43" customFormat="1" ht="20.100000000000001" hidden="1" customHeight="1" outlineLevel="2" x14ac:dyDescent="0.25">
      <c r="A670" s="80"/>
      <c r="B670" s="78"/>
      <c r="C670" s="79"/>
      <c r="D670" s="80"/>
      <c r="E670" s="81">
        <v>12</v>
      </c>
      <c r="F670" s="82">
        <v>0.17</v>
      </c>
      <c r="G670" s="83">
        <v>0.9</v>
      </c>
      <c r="H670" s="83"/>
      <c r="I670" s="82"/>
      <c r="J670" s="84" t="s">
        <v>75</v>
      </c>
      <c r="K670" s="83">
        <f t="shared" si="184"/>
        <v>1.8360000000000001</v>
      </c>
      <c r="L670" s="127"/>
    </row>
    <row r="671" spans="1:12" s="43" customFormat="1" ht="20.100000000000001" hidden="1" customHeight="1" outlineLevel="2" x14ac:dyDescent="0.25">
      <c r="A671" s="80"/>
      <c r="B671" s="78"/>
      <c r="C671" s="79" t="s">
        <v>251</v>
      </c>
      <c r="D671" s="80" t="s">
        <v>4</v>
      </c>
      <c r="E671" s="81">
        <v>3</v>
      </c>
      <c r="F671" s="82">
        <v>0.9</v>
      </c>
      <c r="G671" s="82">
        <v>0.9</v>
      </c>
      <c r="H671" s="83"/>
      <c r="I671" s="82"/>
      <c r="J671" s="84" t="s">
        <v>75</v>
      </c>
      <c r="K671" s="83">
        <f t="shared" si="184"/>
        <v>2.4300000000000002</v>
      </c>
      <c r="L671" s="127"/>
    </row>
    <row r="672" spans="1:12" s="43" customFormat="1" ht="20.100000000000001" hidden="1" customHeight="1" outlineLevel="2" x14ac:dyDescent="0.25">
      <c r="A672" s="80"/>
      <c r="B672" s="78"/>
      <c r="C672" s="79"/>
      <c r="D672" s="80"/>
      <c r="E672" s="81">
        <v>6</v>
      </c>
      <c r="F672" s="82">
        <v>0.98</v>
      </c>
      <c r="G672" s="82">
        <v>0.17</v>
      </c>
      <c r="H672" s="83"/>
      <c r="I672" s="82"/>
      <c r="J672" s="84" t="s">
        <v>75</v>
      </c>
      <c r="K672" s="83">
        <f t="shared" si="184"/>
        <v>1</v>
      </c>
      <c r="L672" s="127"/>
    </row>
    <row r="673" spans="1:12" s="43" customFormat="1" ht="20.100000000000001" hidden="1" customHeight="1" outlineLevel="2" x14ac:dyDescent="0.25">
      <c r="A673" s="80"/>
      <c r="B673" s="78"/>
      <c r="C673" s="79" t="s">
        <v>252</v>
      </c>
      <c r="D673" s="80" t="s">
        <v>4</v>
      </c>
      <c r="E673" s="81">
        <v>9</v>
      </c>
      <c r="F673" s="82">
        <v>0.25</v>
      </c>
      <c r="G673" s="83">
        <v>0.9</v>
      </c>
      <c r="H673" s="83"/>
      <c r="I673" s="82"/>
      <c r="J673" s="84" t="s">
        <v>75</v>
      </c>
      <c r="K673" s="83">
        <f t="shared" si="184"/>
        <v>2.0249999999999999</v>
      </c>
      <c r="L673" s="127"/>
    </row>
    <row r="674" spans="1:12" s="43" customFormat="1" ht="20.100000000000001" hidden="1" customHeight="1" outlineLevel="2" thickBot="1" x14ac:dyDescent="0.3">
      <c r="A674" s="99"/>
      <c r="B674" s="97"/>
      <c r="C674" s="98"/>
      <c r="D674" s="99"/>
      <c r="E674" s="100">
        <v>9</v>
      </c>
      <c r="F674" s="101">
        <v>0.17</v>
      </c>
      <c r="G674" s="83">
        <v>0.9</v>
      </c>
      <c r="H674" s="102"/>
      <c r="I674" s="101"/>
      <c r="J674" s="103" t="s">
        <v>75</v>
      </c>
      <c r="K674" s="102">
        <f t="shared" si="184"/>
        <v>1.377</v>
      </c>
      <c r="L674" s="119"/>
    </row>
    <row r="675" spans="1:12" s="42" customFormat="1" ht="36.75" customHeight="1" collapsed="1" thickBot="1" x14ac:dyDescent="0.3">
      <c r="A675" s="58">
        <v>44</v>
      </c>
      <c r="B675" s="59" t="s">
        <v>265</v>
      </c>
      <c r="C675" s="60"/>
      <c r="D675" s="61" t="s">
        <v>4</v>
      </c>
      <c r="E675" s="61"/>
      <c r="F675" s="62"/>
      <c r="G675" s="62"/>
      <c r="H675" s="62"/>
      <c r="I675" s="63"/>
      <c r="J675" s="61"/>
      <c r="K675" s="64"/>
      <c r="L675" s="65"/>
    </row>
    <row r="676" spans="1:12" s="42" customFormat="1" ht="24.95" hidden="1" customHeight="1" outlineLevel="1" x14ac:dyDescent="0.25">
      <c r="A676" s="66">
        <v>18.100000000000001</v>
      </c>
      <c r="B676" s="59" t="s">
        <v>167</v>
      </c>
      <c r="C676" s="60"/>
      <c r="D676" s="61" t="s">
        <v>4</v>
      </c>
      <c r="E676" s="61"/>
      <c r="F676" s="62"/>
      <c r="G676" s="62"/>
      <c r="H676" s="62"/>
      <c r="I676" s="63"/>
      <c r="J676" s="61"/>
      <c r="K676" s="64"/>
      <c r="L676" s="67"/>
    </row>
    <row r="677" spans="1:12" s="43" customFormat="1" ht="20.100000000000001" hidden="1" customHeight="1" outlineLevel="2" x14ac:dyDescent="0.25">
      <c r="A677" s="68"/>
      <c r="B677" s="69"/>
      <c r="C677" s="70" t="s">
        <v>271</v>
      </c>
      <c r="D677" s="71" t="s">
        <v>4</v>
      </c>
      <c r="E677" s="72">
        <v>1</v>
      </c>
      <c r="F677" s="73">
        <v>2.4</v>
      </c>
      <c r="G677" s="73">
        <v>2.6</v>
      </c>
      <c r="H677" s="74"/>
      <c r="I677" s="73"/>
      <c r="J677" s="75" t="s">
        <v>75</v>
      </c>
      <c r="K677" s="74">
        <f t="shared" ref="K677:K680" si="185">ROUND(PRODUCT(E677:J677),3)</f>
        <v>6.24</v>
      </c>
      <c r="L677" s="76" t="s">
        <v>266</v>
      </c>
    </row>
    <row r="678" spans="1:12" s="43" customFormat="1" ht="20.100000000000001" hidden="1" customHeight="1" outlineLevel="2" x14ac:dyDescent="0.25">
      <c r="A678" s="77"/>
      <c r="B678" s="78"/>
      <c r="C678" s="79" t="s">
        <v>270</v>
      </c>
      <c r="D678" s="80" t="s">
        <v>4</v>
      </c>
      <c r="E678" s="81">
        <v>1</v>
      </c>
      <c r="F678" s="82">
        <v>2.4</v>
      </c>
      <c r="G678" s="82">
        <v>2.6</v>
      </c>
      <c r="H678" s="83"/>
      <c r="I678" s="82"/>
      <c r="J678" s="84" t="s">
        <v>75</v>
      </c>
      <c r="K678" s="83">
        <f t="shared" si="185"/>
        <v>6.24</v>
      </c>
      <c r="L678" s="85" t="s">
        <v>267</v>
      </c>
    </row>
    <row r="679" spans="1:12" s="43" customFormat="1" ht="20.100000000000001" hidden="1" customHeight="1" outlineLevel="2" x14ac:dyDescent="0.25">
      <c r="A679" s="77"/>
      <c r="B679" s="78"/>
      <c r="C679" s="79" t="s">
        <v>272</v>
      </c>
      <c r="D679" s="80" t="s">
        <v>4</v>
      </c>
      <c r="E679" s="81">
        <v>1</v>
      </c>
      <c r="F679" s="82">
        <v>1.2</v>
      </c>
      <c r="G679" s="82">
        <v>1.2</v>
      </c>
      <c r="H679" s="83"/>
      <c r="I679" s="82"/>
      <c r="J679" s="84" t="s">
        <v>75</v>
      </c>
      <c r="K679" s="83">
        <f t="shared" si="185"/>
        <v>1.44</v>
      </c>
      <c r="L679" s="85" t="s">
        <v>268</v>
      </c>
    </row>
    <row r="680" spans="1:12" s="43" customFormat="1" ht="20.100000000000001" hidden="1" customHeight="1" outlineLevel="2" thickBot="1" x14ac:dyDescent="0.3">
      <c r="A680" s="77"/>
      <c r="B680" s="78"/>
      <c r="C680" s="79" t="s">
        <v>273</v>
      </c>
      <c r="D680" s="80" t="s">
        <v>4</v>
      </c>
      <c r="E680" s="81">
        <v>1</v>
      </c>
      <c r="F680" s="82">
        <v>0.8</v>
      </c>
      <c r="G680" s="82">
        <v>2.1</v>
      </c>
      <c r="H680" s="83"/>
      <c r="I680" s="82"/>
      <c r="J680" s="84" t="s">
        <v>75</v>
      </c>
      <c r="K680" s="83">
        <f t="shared" si="185"/>
        <v>1.68</v>
      </c>
      <c r="L680" s="85" t="s">
        <v>268</v>
      </c>
    </row>
    <row r="681" spans="1:12" s="42" customFormat="1" ht="24.95" hidden="1" customHeight="1" outlineLevel="1" x14ac:dyDescent="0.25">
      <c r="A681" s="66">
        <v>18.2</v>
      </c>
      <c r="B681" s="59" t="s">
        <v>55</v>
      </c>
      <c r="C681" s="60"/>
      <c r="D681" s="61" t="s">
        <v>4</v>
      </c>
      <c r="E681" s="61"/>
      <c r="F681" s="62"/>
      <c r="G681" s="62"/>
      <c r="H681" s="62"/>
      <c r="I681" s="63"/>
      <c r="J681" s="61"/>
      <c r="K681" s="64"/>
      <c r="L681" s="67"/>
    </row>
    <row r="682" spans="1:12" s="43" customFormat="1" ht="20.100000000000001" hidden="1" customHeight="1" outlineLevel="2" x14ac:dyDescent="0.25">
      <c r="A682" s="68"/>
      <c r="B682" s="70"/>
      <c r="C682" s="70" t="s">
        <v>274</v>
      </c>
      <c r="D682" s="71" t="s">
        <v>4</v>
      </c>
      <c r="E682" s="72">
        <v>1</v>
      </c>
      <c r="F682" s="73">
        <v>2.4</v>
      </c>
      <c r="G682" s="83">
        <v>2.9249999999999998</v>
      </c>
      <c r="H682" s="74"/>
      <c r="I682" s="73"/>
      <c r="J682" s="75" t="s">
        <v>75</v>
      </c>
      <c r="K682" s="74">
        <f t="shared" ref="K682:K684" si="186">ROUND(PRODUCT(E682:J682),3)</f>
        <v>7.02</v>
      </c>
      <c r="L682" s="76" t="s">
        <v>269</v>
      </c>
    </row>
    <row r="683" spans="1:12" s="43" customFormat="1" ht="20.100000000000001" hidden="1" customHeight="1" outlineLevel="2" x14ac:dyDescent="0.25">
      <c r="A683" s="86"/>
      <c r="B683" s="88"/>
      <c r="C683" s="88" t="s">
        <v>275</v>
      </c>
      <c r="D683" s="138" t="s">
        <v>4</v>
      </c>
      <c r="E683" s="139">
        <v>1</v>
      </c>
      <c r="F683" s="140">
        <v>0.9</v>
      </c>
      <c r="G683" s="83">
        <v>2.1</v>
      </c>
      <c r="H683" s="141"/>
      <c r="I683" s="140"/>
      <c r="J683" s="142" t="s">
        <v>75</v>
      </c>
      <c r="K683" s="141">
        <f t="shared" si="186"/>
        <v>1.89</v>
      </c>
      <c r="L683" s="89" t="s">
        <v>268</v>
      </c>
    </row>
    <row r="684" spans="1:12" s="43" customFormat="1" ht="20.100000000000001" hidden="1" customHeight="1" outlineLevel="2" thickBot="1" x14ac:dyDescent="0.3">
      <c r="A684" s="86"/>
      <c r="B684" s="87"/>
      <c r="C684" s="79" t="s">
        <v>272</v>
      </c>
      <c r="D684" s="80" t="s">
        <v>4</v>
      </c>
      <c r="E684" s="81">
        <v>1</v>
      </c>
      <c r="F684" s="82">
        <v>1.2</v>
      </c>
      <c r="G684" s="83">
        <v>1.2</v>
      </c>
      <c r="H684" s="83"/>
      <c r="I684" s="82"/>
      <c r="J684" s="84" t="s">
        <v>75</v>
      </c>
      <c r="K684" s="83">
        <f t="shared" si="186"/>
        <v>1.44</v>
      </c>
      <c r="L684" s="89" t="s">
        <v>268</v>
      </c>
    </row>
    <row r="685" spans="1:12" s="42" customFormat="1" ht="24.95" hidden="1" customHeight="1" outlineLevel="1" x14ac:dyDescent="0.25">
      <c r="A685" s="66">
        <v>18.3</v>
      </c>
      <c r="B685" s="59" t="s">
        <v>175</v>
      </c>
      <c r="C685" s="60"/>
      <c r="D685" s="61" t="s">
        <v>4</v>
      </c>
      <c r="E685" s="61"/>
      <c r="F685" s="62"/>
      <c r="G685" s="62"/>
      <c r="H685" s="62"/>
      <c r="I685" s="63"/>
      <c r="J685" s="61"/>
      <c r="K685" s="64"/>
      <c r="L685" s="67"/>
    </row>
    <row r="686" spans="1:12" s="43" customFormat="1" ht="20.100000000000001" hidden="1" customHeight="1" outlineLevel="2" x14ac:dyDescent="0.25">
      <c r="A686" s="71"/>
      <c r="B686" s="69"/>
      <c r="C686" s="70" t="s">
        <v>276</v>
      </c>
      <c r="D686" s="71" t="s">
        <v>4</v>
      </c>
      <c r="E686" s="72">
        <v>1</v>
      </c>
      <c r="F686" s="73">
        <v>2.4</v>
      </c>
      <c r="G686" s="74">
        <v>1.2</v>
      </c>
      <c r="H686" s="74"/>
      <c r="I686" s="73"/>
      <c r="J686" s="75" t="s">
        <v>75</v>
      </c>
      <c r="K686" s="74">
        <f t="shared" ref="K686:K690" si="187">ROUND(PRODUCT(E686:J686),3)</f>
        <v>2.88</v>
      </c>
      <c r="L686" s="118" t="s">
        <v>277</v>
      </c>
    </row>
    <row r="687" spans="1:12" s="43" customFormat="1" ht="20.100000000000001" hidden="1" customHeight="1" outlineLevel="2" x14ac:dyDescent="0.25">
      <c r="A687" s="80"/>
      <c r="B687" s="78"/>
      <c r="C687" s="79" t="s">
        <v>273</v>
      </c>
      <c r="D687" s="80" t="s">
        <v>4</v>
      </c>
      <c r="E687" s="81">
        <v>1</v>
      </c>
      <c r="F687" s="82">
        <v>0.8</v>
      </c>
      <c r="G687" s="83">
        <v>2.1</v>
      </c>
      <c r="H687" s="83"/>
      <c r="I687" s="82"/>
      <c r="J687" s="84" t="s">
        <v>75</v>
      </c>
      <c r="K687" s="83">
        <f t="shared" si="187"/>
        <v>1.68</v>
      </c>
      <c r="L687" s="127" t="s">
        <v>268</v>
      </c>
    </row>
    <row r="688" spans="1:12" s="43" customFormat="1" ht="20.100000000000001" hidden="1" customHeight="1" outlineLevel="2" x14ac:dyDescent="0.25">
      <c r="A688" s="80"/>
      <c r="B688" s="78"/>
      <c r="C688" s="79" t="s">
        <v>272</v>
      </c>
      <c r="D688" s="80" t="s">
        <v>4</v>
      </c>
      <c r="E688" s="81">
        <v>2</v>
      </c>
      <c r="F688" s="82">
        <v>0.9</v>
      </c>
      <c r="G688" s="82">
        <v>2.1</v>
      </c>
      <c r="H688" s="83"/>
      <c r="I688" s="82"/>
      <c r="J688" s="84" t="s">
        <v>75</v>
      </c>
      <c r="K688" s="83">
        <f t="shared" si="187"/>
        <v>3.78</v>
      </c>
      <c r="L688" s="127" t="s">
        <v>268</v>
      </c>
    </row>
    <row r="689" spans="1:12" s="43" customFormat="1" ht="20.100000000000001" hidden="1" customHeight="1" outlineLevel="2" x14ac:dyDescent="0.25">
      <c r="A689" s="80"/>
      <c r="B689" s="78"/>
      <c r="C689" s="79" t="s">
        <v>270</v>
      </c>
      <c r="D689" s="80" t="s">
        <v>4</v>
      </c>
      <c r="E689" s="81">
        <v>1</v>
      </c>
      <c r="F689" s="82">
        <v>0.8</v>
      </c>
      <c r="G689" s="82">
        <v>2.1</v>
      </c>
      <c r="H689" s="83"/>
      <c r="I689" s="82"/>
      <c r="J689" s="84" t="s">
        <v>75</v>
      </c>
      <c r="K689" s="83">
        <f t="shared" si="187"/>
        <v>1.68</v>
      </c>
      <c r="L689" s="127" t="s">
        <v>278</v>
      </c>
    </row>
    <row r="690" spans="1:12" s="43" customFormat="1" ht="20.100000000000001" hidden="1" customHeight="1" outlineLevel="2" thickBot="1" x14ac:dyDescent="0.3">
      <c r="A690" s="80"/>
      <c r="B690" s="97"/>
      <c r="C690" s="98" t="s">
        <v>272</v>
      </c>
      <c r="D690" s="99" t="s">
        <v>4</v>
      </c>
      <c r="E690" s="100">
        <v>1</v>
      </c>
      <c r="F690" s="101">
        <v>1.2</v>
      </c>
      <c r="G690" s="102">
        <v>1.2</v>
      </c>
      <c r="H690" s="102"/>
      <c r="I690" s="101"/>
      <c r="J690" s="103" t="s">
        <v>75</v>
      </c>
      <c r="K690" s="102">
        <f t="shared" si="187"/>
        <v>1.44</v>
      </c>
      <c r="L690" s="119" t="s">
        <v>268</v>
      </c>
    </row>
    <row r="691" spans="1:12" s="42" customFormat="1" ht="24.95" hidden="1" customHeight="1" outlineLevel="1" x14ac:dyDescent="0.25">
      <c r="A691" s="66">
        <v>18.3</v>
      </c>
      <c r="B691" s="59" t="s">
        <v>254</v>
      </c>
      <c r="C691" s="60"/>
      <c r="D691" s="61" t="s">
        <v>4</v>
      </c>
      <c r="E691" s="61"/>
      <c r="F691" s="62"/>
      <c r="G691" s="62"/>
      <c r="H691" s="62"/>
      <c r="I691" s="63"/>
      <c r="J691" s="61"/>
      <c r="K691" s="64"/>
      <c r="L691" s="67"/>
    </row>
    <row r="692" spans="1:12" s="43" customFormat="1" ht="20.100000000000001" hidden="1" customHeight="1" outlineLevel="2" x14ac:dyDescent="0.25">
      <c r="A692" s="71"/>
      <c r="B692" s="69"/>
      <c r="C692" s="70" t="s">
        <v>276</v>
      </c>
      <c r="D692" s="71" t="s">
        <v>4</v>
      </c>
      <c r="E692" s="72">
        <v>3</v>
      </c>
      <c r="F692" s="73">
        <v>2.4</v>
      </c>
      <c r="G692" s="74">
        <v>1.2</v>
      </c>
      <c r="H692" s="74"/>
      <c r="I692" s="73"/>
      <c r="J692" s="75" t="s">
        <v>75</v>
      </c>
      <c r="K692" s="74">
        <f t="shared" ref="K692:K695" si="188">ROUND(PRODUCT(E692:J692),3)</f>
        <v>8.64</v>
      </c>
      <c r="L692" s="118" t="s">
        <v>277</v>
      </c>
    </row>
    <row r="693" spans="1:12" s="43" customFormat="1" ht="20.100000000000001" hidden="1" customHeight="1" outlineLevel="2" x14ac:dyDescent="0.25">
      <c r="A693" s="80"/>
      <c r="B693" s="78"/>
      <c r="C693" s="79" t="s">
        <v>273</v>
      </c>
      <c r="D693" s="80" t="s">
        <v>4</v>
      </c>
      <c r="E693" s="81">
        <v>3</v>
      </c>
      <c r="F693" s="82">
        <v>0.8</v>
      </c>
      <c r="G693" s="83">
        <v>2.1</v>
      </c>
      <c r="H693" s="83"/>
      <c r="I693" s="82"/>
      <c r="J693" s="84" t="s">
        <v>75</v>
      </c>
      <c r="K693" s="83">
        <f t="shared" si="188"/>
        <v>5.04</v>
      </c>
      <c r="L693" s="127" t="s">
        <v>268</v>
      </c>
    </row>
    <row r="694" spans="1:12" s="43" customFormat="1" ht="20.100000000000001" hidden="1" customHeight="1" outlineLevel="2" x14ac:dyDescent="0.25">
      <c r="A694" s="80"/>
      <c r="B694" s="78"/>
      <c r="C694" s="79" t="s">
        <v>272</v>
      </c>
      <c r="D694" s="80" t="s">
        <v>4</v>
      </c>
      <c r="E694" s="81">
        <v>6</v>
      </c>
      <c r="F694" s="82">
        <v>0.9</v>
      </c>
      <c r="G694" s="82">
        <v>2.1</v>
      </c>
      <c r="H694" s="83"/>
      <c r="I694" s="82"/>
      <c r="J694" s="84" t="s">
        <v>75</v>
      </c>
      <c r="K694" s="83">
        <f t="shared" si="188"/>
        <v>11.34</v>
      </c>
      <c r="L694" s="127" t="s">
        <v>268</v>
      </c>
    </row>
    <row r="695" spans="1:12" s="43" customFormat="1" ht="20.100000000000001" hidden="1" customHeight="1" outlineLevel="2" thickBot="1" x14ac:dyDescent="0.3">
      <c r="A695" s="80"/>
      <c r="B695" s="97"/>
      <c r="C695" s="98" t="s">
        <v>272</v>
      </c>
      <c r="D695" s="99" t="s">
        <v>4</v>
      </c>
      <c r="E695" s="100">
        <v>3</v>
      </c>
      <c r="F695" s="101">
        <v>1.2</v>
      </c>
      <c r="G695" s="102">
        <v>1.2</v>
      </c>
      <c r="H695" s="102"/>
      <c r="I695" s="101"/>
      <c r="J695" s="103" t="s">
        <v>75</v>
      </c>
      <c r="K695" s="102">
        <f t="shared" si="188"/>
        <v>4.32</v>
      </c>
      <c r="L695" s="119" t="s">
        <v>268</v>
      </c>
    </row>
    <row r="696" spans="1:12" s="42" customFormat="1" ht="36.75" customHeight="1" collapsed="1" thickBot="1" x14ac:dyDescent="0.3">
      <c r="A696" s="58">
        <v>45</v>
      </c>
      <c r="B696" s="59" t="s">
        <v>358</v>
      </c>
      <c r="C696" s="60"/>
      <c r="D696" s="61" t="s">
        <v>10</v>
      </c>
      <c r="E696" s="61"/>
      <c r="F696" s="62"/>
      <c r="G696" s="62"/>
      <c r="H696" s="62"/>
      <c r="I696" s="63"/>
      <c r="J696" s="61"/>
      <c r="K696" s="64">
        <f>SUBTOTAL(9,K697:K706)</f>
        <v>38.955714285714301</v>
      </c>
      <c r="L696" s="65"/>
    </row>
    <row r="697" spans="1:12" s="42" customFormat="1" ht="24.95" hidden="1" customHeight="1" outlineLevel="1" x14ac:dyDescent="0.25">
      <c r="A697" s="66">
        <v>9.1</v>
      </c>
      <c r="B697" s="59" t="s">
        <v>167</v>
      </c>
      <c r="C697" s="60"/>
      <c r="D697" s="61" t="s">
        <v>10</v>
      </c>
      <c r="E697" s="61"/>
      <c r="F697" s="62"/>
      <c r="G697" s="62"/>
      <c r="H697" s="62"/>
      <c r="I697" s="63"/>
      <c r="J697" s="61"/>
      <c r="K697" s="64">
        <f>SUBTOTAL(9,K698:K702)</f>
        <v>8.7282857142857182</v>
      </c>
      <c r="L697" s="67"/>
    </row>
    <row r="698" spans="1:12" s="43" customFormat="1" ht="20.100000000000001" hidden="1" customHeight="1" outlineLevel="2" x14ac:dyDescent="0.25">
      <c r="A698" s="68"/>
      <c r="B698" s="69"/>
      <c r="C698" s="79"/>
      <c r="D698" s="80" t="s">
        <v>10</v>
      </c>
      <c r="E698" s="81">
        <v>1</v>
      </c>
      <c r="F698" s="82">
        <v>1.3440000000000001</v>
      </c>
      <c r="G698" s="82"/>
      <c r="H698" s="83"/>
      <c r="I698" s="82"/>
      <c r="J698" s="84"/>
      <c r="K698" s="83">
        <f>E698*F698</f>
        <v>1.3440000000000001</v>
      </c>
      <c r="L698" s="76"/>
    </row>
    <row r="699" spans="1:12" s="43" customFormat="1" ht="20.100000000000001" hidden="1" customHeight="1" outlineLevel="2" x14ac:dyDescent="0.25">
      <c r="A699" s="86"/>
      <c r="B699" s="87"/>
      <c r="C699" s="79"/>
      <c r="D699" s="80" t="s">
        <v>10</v>
      </c>
      <c r="E699" s="81">
        <v>1</v>
      </c>
      <c r="F699" s="82">
        <v>0.81</v>
      </c>
      <c r="G699" s="82"/>
      <c r="H699" s="83"/>
      <c r="I699" s="82"/>
      <c r="J699" s="84"/>
      <c r="K699" s="83">
        <f t="shared" ref="K699:K702" si="189">E699*F699</f>
        <v>0.81</v>
      </c>
      <c r="L699" s="89"/>
    </row>
    <row r="700" spans="1:12" s="43" customFormat="1" ht="20.100000000000001" hidden="1" customHeight="1" outlineLevel="2" x14ac:dyDescent="0.25">
      <c r="A700" s="77"/>
      <c r="B700" s="78"/>
      <c r="C700" s="79"/>
      <c r="D700" s="80" t="s">
        <v>10</v>
      </c>
      <c r="E700" s="81">
        <v>1</v>
      </c>
      <c r="F700" s="82">
        <f>2*1.42857142857143</f>
        <v>2.8571428571428599</v>
      </c>
      <c r="G700" s="82"/>
      <c r="H700" s="83"/>
      <c r="I700" s="82"/>
      <c r="J700" s="84"/>
      <c r="K700" s="83">
        <f t="shared" si="189"/>
        <v>2.8571428571428599</v>
      </c>
      <c r="L700" s="85"/>
    </row>
    <row r="701" spans="1:12" s="43" customFormat="1" ht="20.100000000000001" hidden="1" customHeight="1" outlineLevel="2" x14ac:dyDescent="0.25">
      <c r="A701" s="77"/>
      <c r="B701" s="78"/>
      <c r="C701" s="79"/>
      <c r="D701" s="80" t="s">
        <v>10</v>
      </c>
      <c r="E701" s="81">
        <v>1</v>
      </c>
      <c r="F701" s="82">
        <v>2.5</v>
      </c>
      <c r="G701" s="82"/>
      <c r="H701" s="83"/>
      <c r="I701" s="82"/>
      <c r="J701" s="84"/>
      <c r="K701" s="83">
        <f t="shared" si="189"/>
        <v>2.5</v>
      </c>
      <c r="L701" s="85"/>
    </row>
    <row r="702" spans="1:12" s="43" customFormat="1" ht="20.100000000000001" hidden="1" customHeight="1" outlineLevel="2" thickBot="1" x14ac:dyDescent="0.3">
      <c r="A702" s="77"/>
      <c r="B702" s="78"/>
      <c r="C702" s="79"/>
      <c r="D702" s="80" t="s">
        <v>10</v>
      </c>
      <c r="E702" s="81">
        <v>1</v>
      </c>
      <c r="F702" s="82">
        <f>0.852*1.42857142857143</f>
        <v>1.2171428571428582</v>
      </c>
      <c r="G702" s="82"/>
      <c r="H702" s="83"/>
      <c r="I702" s="82"/>
      <c r="J702" s="84"/>
      <c r="K702" s="83">
        <f t="shared" si="189"/>
        <v>1.2171428571428582</v>
      </c>
      <c r="L702" s="85"/>
    </row>
    <row r="703" spans="1:12" s="42" customFormat="1" ht="24.95" hidden="1" customHeight="1" outlineLevel="1" x14ac:dyDescent="0.25">
      <c r="A703" s="66">
        <v>9.1999999999999993</v>
      </c>
      <c r="B703" s="59" t="s">
        <v>211</v>
      </c>
      <c r="C703" s="60"/>
      <c r="D703" s="61" t="s">
        <v>10</v>
      </c>
      <c r="E703" s="61"/>
      <c r="F703" s="62"/>
      <c r="G703" s="62"/>
      <c r="H703" s="62"/>
      <c r="I703" s="63"/>
      <c r="J703" s="61"/>
      <c r="K703" s="64">
        <f>SUBTOTAL(9,K704:K706)</f>
        <v>30.227428571428582</v>
      </c>
      <c r="L703" s="67"/>
    </row>
    <row r="704" spans="1:12" s="43" customFormat="1" ht="20.100000000000001" hidden="1" customHeight="1" outlineLevel="2" x14ac:dyDescent="0.25">
      <c r="A704" s="68"/>
      <c r="B704" s="69"/>
      <c r="C704" s="70" t="s">
        <v>205</v>
      </c>
      <c r="D704" s="71" t="s">
        <v>10</v>
      </c>
      <c r="E704" s="72">
        <v>4</v>
      </c>
      <c r="F704" s="73">
        <v>2.41</v>
      </c>
      <c r="G704" s="73"/>
      <c r="H704" s="74"/>
      <c r="I704" s="73"/>
      <c r="J704" s="75"/>
      <c r="K704" s="74">
        <f t="shared" ref="K704:K706" si="190">E704*F704</f>
        <v>9.64</v>
      </c>
      <c r="L704" s="76"/>
    </row>
    <row r="705" spans="1:12" s="43" customFormat="1" ht="20.100000000000001" hidden="1" customHeight="1" outlineLevel="2" x14ac:dyDescent="0.25">
      <c r="A705" s="77"/>
      <c r="B705" s="78"/>
      <c r="C705" s="79"/>
      <c r="D705" s="80" t="s">
        <v>10</v>
      </c>
      <c r="E705" s="81">
        <v>8</v>
      </c>
      <c r="F705" s="82">
        <v>0.85199999999999998</v>
      </c>
      <c r="G705" s="82"/>
      <c r="H705" s="83"/>
      <c r="I705" s="82"/>
      <c r="J705" s="84"/>
      <c r="K705" s="83">
        <f t="shared" si="190"/>
        <v>6.8159999999999998</v>
      </c>
      <c r="L705" s="85"/>
    </row>
    <row r="706" spans="1:12" s="43" customFormat="1" ht="20.100000000000001" hidden="1" customHeight="1" outlineLevel="2" thickBot="1" x14ac:dyDescent="0.3">
      <c r="A706" s="77"/>
      <c r="B706" s="78"/>
      <c r="C706" s="79" t="s">
        <v>207</v>
      </c>
      <c r="D706" s="80" t="s">
        <v>10</v>
      </c>
      <c r="E706" s="81">
        <v>4</v>
      </c>
      <c r="F706" s="82">
        <f>2.41*1.42857142857143</f>
        <v>3.4428571428571462</v>
      </c>
      <c r="G706" s="82"/>
      <c r="H706" s="83"/>
      <c r="I706" s="82"/>
      <c r="J706" s="84"/>
      <c r="K706" s="83">
        <f t="shared" si="190"/>
        <v>13.771428571428585</v>
      </c>
      <c r="L706" s="85"/>
    </row>
    <row r="707" spans="1:12" s="42" customFormat="1" ht="36.75" customHeight="1" collapsed="1" thickBot="1" x14ac:dyDescent="0.3">
      <c r="A707" s="58">
        <v>46</v>
      </c>
      <c r="B707" s="59" t="s">
        <v>359</v>
      </c>
      <c r="C707" s="60"/>
      <c r="D707" s="61" t="s">
        <v>4</v>
      </c>
      <c r="E707" s="61"/>
      <c r="F707" s="62"/>
      <c r="G707" s="62"/>
      <c r="H707" s="62"/>
      <c r="I707" s="63"/>
      <c r="J707" s="61"/>
      <c r="K707" s="64">
        <f>SUBTOTAL(9,K708:K709)</f>
        <v>5.8380000000000001</v>
      </c>
      <c r="L707" s="65"/>
    </row>
    <row r="708" spans="1:12" s="43" customFormat="1" ht="20.100000000000001" hidden="1" customHeight="1" outlineLevel="2" x14ac:dyDescent="0.25">
      <c r="A708" s="68"/>
      <c r="B708" s="69"/>
      <c r="C708" s="70"/>
      <c r="D708" s="71" t="s">
        <v>4</v>
      </c>
      <c r="E708" s="72">
        <v>1</v>
      </c>
      <c r="F708" s="73">
        <v>2.41</v>
      </c>
      <c r="G708" s="73">
        <v>0.6</v>
      </c>
      <c r="H708" s="74"/>
      <c r="I708" s="73"/>
      <c r="J708" s="75"/>
      <c r="K708" s="74">
        <f>E708*F708*G708</f>
        <v>1.446</v>
      </c>
      <c r="L708" s="76"/>
    </row>
    <row r="709" spans="1:12" s="43" customFormat="1" ht="20.100000000000001" hidden="1" customHeight="1" outlineLevel="2" thickBot="1" x14ac:dyDescent="0.3">
      <c r="A709" s="77"/>
      <c r="B709" s="78"/>
      <c r="C709" s="79"/>
      <c r="D709" s="80" t="s">
        <v>4</v>
      </c>
      <c r="E709" s="81">
        <v>2</v>
      </c>
      <c r="F709" s="82">
        <v>3.66</v>
      </c>
      <c r="G709" s="82">
        <v>0.6</v>
      </c>
      <c r="H709" s="83"/>
      <c r="I709" s="82"/>
      <c r="J709" s="84"/>
      <c r="K709" s="83">
        <f>E709*F709*G709</f>
        <v>4.3920000000000003</v>
      </c>
      <c r="L709" s="85"/>
    </row>
    <row r="710" spans="1:12" s="42" customFormat="1" ht="36.75" customHeight="1" collapsed="1" thickBot="1" x14ac:dyDescent="0.3">
      <c r="A710" s="58">
        <v>47</v>
      </c>
      <c r="B710" s="59" t="s">
        <v>355</v>
      </c>
      <c r="C710" s="60"/>
      <c r="D710" s="61" t="s">
        <v>4</v>
      </c>
      <c r="E710" s="61"/>
      <c r="F710" s="62"/>
      <c r="G710" s="62"/>
      <c r="H710" s="62"/>
      <c r="I710" s="63"/>
      <c r="J710" s="61"/>
      <c r="K710" s="64">
        <f>K443</f>
        <v>458.47199999999998</v>
      </c>
      <c r="L710" s="65"/>
    </row>
    <row r="711" spans="1:12" s="42" customFormat="1" ht="36.75" customHeight="1" collapsed="1" thickBot="1" x14ac:dyDescent="0.3">
      <c r="A711" s="58">
        <v>48</v>
      </c>
      <c r="B711" s="59" t="s">
        <v>370</v>
      </c>
      <c r="C711" s="60"/>
      <c r="D711" s="61" t="s">
        <v>4</v>
      </c>
      <c r="E711" s="61"/>
      <c r="F711" s="62"/>
      <c r="G711" s="62"/>
      <c r="H711" s="62"/>
      <c r="I711" s="63"/>
      <c r="J711" s="61"/>
      <c r="K711" s="64">
        <f>K479+K561</f>
        <v>643.44081967677607</v>
      </c>
      <c r="L711" s="65"/>
    </row>
    <row r="712" spans="1:12" s="42" customFormat="1" ht="36.75" customHeight="1" thickBot="1" x14ac:dyDescent="0.3">
      <c r="A712" s="58">
        <v>49</v>
      </c>
      <c r="B712" s="59" t="s">
        <v>356</v>
      </c>
      <c r="C712" s="60"/>
      <c r="D712" s="61" t="s">
        <v>2</v>
      </c>
      <c r="E712" s="61"/>
      <c r="F712" s="62"/>
      <c r="G712" s="62"/>
      <c r="H712" s="62"/>
      <c r="I712" s="63"/>
      <c r="J712" s="61"/>
      <c r="K712" s="64">
        <v>1</v>
      </c>
      <c r="L712" s="65"/>
    </row>
    <row r="713" spans="1:12" s="42" customFormat="1" ht="36.75" customHeight="1" x14ac:dyDescent="0.25">
      <c r="A713" s="58">
        <v>50</v>
      </c>
      <c r="B713" s="59" t="s">
        <v>357</v>
      </c>
      <c r="C713" s="60"/>
      <c r="D713" s="61" t="s">
        <v>326</v>
      </c>
      <c r="E713" s="61"/>
      <c r="F713" s="62"/>
      <c r="G713" s="62"/>
      <c r="H713" s="62"/>
      <c r="I713" s="63"/>
      <c r="J713" s="61"/>
      <c r="K713" s="64">
        <v>1</v>
      </c>
      <c r="L713" s="65"/>
    </row>
  </sheetData>
  <mergeCells count="9">
    <mergeCell ref="F4:I4"/>
    <mergeCell ref="J4:J5"/>
    <mergeCell ref="K4:K5"/>
    <mergeCell ref="L4:L5"/>
    <mergeCell ref="A4:A5"/>
    <mergeCell ref="B4:B5"/>
    <mergeCell ref="C4:C5"/>
    <mergeCell ref="D4:D5"/>
    <mergeCell ref="E4:E5"/>
  </mergeCells>
  <printOptions horizontalCentered="1"/>
  <pageMargins left="0.78740157480314965" right="0.39370078740157483" top="0.39370078740157483" bottom="0.59055118110236227" header="0.31496062992125984" footer="0.19685039370078741"/>
  <pageSetup paperSize="9" scale="10" firstPageNumber="9" orientation="landscape" useFirstPageNumber="1" horizontalDpi="300" verticalDpi="300" r:id="rId1"/>
  <headerFooter alignWithMargins="0">
    <oddFooter>&amp;CTrang &amp;P/&amp;[57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4"/>
  <sheetViews>
    <sheetView showGridLines="0" tabSelected="1" view="pageBreakPreview" zoomScale="70" zoomScaleSheetLayoutView="70" workbookViewId="0">
      <pane ySplit="6" topLeftCell="A7" activePane="bottomLeft" state="frozen"/>
      <selection pane="bottomLeft" activeCell="H25" sqref="H25"/>
    </sheetView>
  </sheetViews>
  <sheetFormatPr defaultColWidth="34.140625" defaultRowHeight="17.25" outlineLevelCol="1" x14ac:dyDescent="0.25"/>
  <cols>
    <col min="1" max="1" width="6.42578125" style="168" customWidth="1"/>
    <col min="2" max="2" width="60.85546875" style="168" customWidth="1"/>
    <col min="3" max="3" width="8.7109375" style="168" customWidth="1"/>
    <col min="4" max="4" width="16" style="171" customWidth="1"/>
    <col min="5" max="5" width="14.5703125" style="172" hidden="1" customWidth="1" outlineLevel="1"/>
    <col min="6" max="6" width="15.5703125" style="172" hidden="1" customWidth="1" outlineLevel="1"/>
    <col min="7" max="7" width="16.85546875" style="172" customWidth="1" collapsed="1"/>
    <col min="8" max="8" width="19.28515625" style="172" customWidth="1"/>
    <col min="9" max="9" width="28.5703125" style="168" customWidth="1"/>
    <col min="10" max="10" width="19" style="168" customWidth="1"/>
    <col min="11" max="11" width="13.85546875" style="168" customWidth="1"/>
    <col min="12" max="12" width="15.7109375" style="168" customWidth="1"/>
    <col min="13" max="13" width="15" style="168" customWidth="1"/>
    <col min="14" max="248" width="9.140625" style="168" customWidth="1"/>
    <col min="249" max="249" width="4.85546875" style="168" customWidth="1"/>
    <col min="250" max="258" width="34.140625" style="168"/>
    <col min="259" max="259" width="6.42578125" style="168" customWidth="1"/>
    <col min="260" max="260" width="51" style="168" customWidth="1"/>
    <col min="261" max="261" width="8.7109375" style="168" customWidth="1"/>
    <col min="262" max="262" width="13.7109375" style="168" customWidth="1"/>
    <col min="263" max="263" width="14.5703125" style="168" customWidth="1"/>
    <col min="264" max="264" width="20.7109375" style="168" customWidth="1"/>
    <col min="265" max="265" width="28.5703125" style="168" customWidth="1"/>
    <col min="266" max="504" width="9.140625" style="168" customWidth="1"/>
    <col min="505" max="505" width="4.85546875" style="168" customWidth="1"/>
    <col min="506" max="514" width="34.140625" style="168"/>
    <col min="515" max="515" width="6.42578125" style="168" customWidth="1"/>
    <col min="516" max="516" width="51" style="168" customWidth="1"/>
    <col min="517" max="517" width="8.7109375" style="168" customWidth="1"/>
    <col min="518" max="518" width="13.7109375" style="168" customWidth="1"/>
    <col min="519" max="519" width="14.5703125" style="168" customWidth="1"/>
    <col min="520" max="520" width="20.7109375" style="168" customWidth="1"/>
    <col min="521" max="521" width="28.5703125" style="168" customWidth="1"/>
    <col min="522" max="760" width="9.140625" style="168" customWidth="1"/>
    <col min="761" max="761" width="4.85546875" style="168" customWidth="1"/>
    <col min="762" max="770" width="34.140625" style="168"/>
    <col min="771" max="771" width="6.42578125" style="168" customWidth="1"/>
    <col min="772" max="772" width="51" style="168" customWidth="1"/>
    <col min="773" max="773" width="8.7109375" style="168" customWidth="1"/>
    <col min="774" max="774" width="13.7109375" style="168" customWidth="1"/>
    <col min="775" max="775" width="14.5703125" style="168" customWidth="1"/>
    <col min="776" max="776" width="20.7109375" style="168" customWidth="1"/>
    <col min="777" max="777" width="28.5703125" style="168" customWidth="1"/>
    <col min="778" max="1016" width="9.140625" style="168" customWidth="1"/>
    <col min="1017" max="1017" width="4.85546875" style="168" customWidth="1"/>
    <col min="1018" max="1026" width="34.140625" style="168"/>
    <col min="1027" max="1027" width="6.42578125" style="168" customWidth="1"/>
    <col min="1028" max="1028" width="51" style="168" customWidth="1"/>
    <col min="1029" max="1029" width="8.7109375" style="168" customWidth="1"/>
    <col min="1030" max="1030" width="13.7109375" style="168" customWidth="1"/>
    <col min="1031" max="1031" width="14.5703125" style="168" customWidth="1"/>
    <col min="1032" max="1032" width="20.7109375" style="168" customWidth="1"/>
    <col min="1033" max="1033" width="28.5703125" style="168" customWidth="1"/>
    <col min="1034" max="1272" width="9.140625" style="168" customWidth="1"/>
    <col min="1273" max="1273" width="4.85546875" style="168" customWidth="1"/>
    <col min="1274" max="1282" width="34.140625" style="168"/>
    <col min="1283" max="1283" width="6.42578125" style="168" customWidth="1"/>
    <col min="1284" max="1284" width="51" style="168" customWidth="1"/>
    <col min="1285" max="1285" width="8.7109375" style="168" customWidth="1"/>
    <col min="1286" max="1286" width="13.7109375" style="168" customWidth="1"/>
    <col min="1287" max="1287" width="14.5703125" style="168" customWidth="1"/>
    <col min="1288" max="1288" width="20.7109375" style="168" customWidth="1"/>
    <col min="1289" max="1289" width="28.5703125" style="168" customWidth="1"/>
    <col min="1290" max="1528" width="9.140625" style="168" customWidth="1"/>
    <col min="1529" max="1529" width="4.85546875" style="168" customWidth="1"/>
    <col min="1530" max="1538" width="34.140625" style="168"/>
    <col min="1539" max="1539" width="6.42578125" style="168" customWidth="1"/>
    <col min="1540" max="1540" width="51" style="168" customWidth="1"/>
    <col min="1541" max="1541" width="8.7109375" style="168" customWidth="1"/>
    <col min="1542" max="1542" width="13.7109375" style="168" customWidth="1"/>
    <col min="1543" max="1543" width="14.5703125" style="168" customWidth="1"/>
    <col min="1544" max="1544" width="20.7109375" style="168" customWidth="1"/>
    <col min="1545" max="1545" width="28.5703125" style="168" customWidth="1"/>
    <col min="1546" max="1784" width="9.140625" style="168" customWidth="1"/>
    <col min="1785" max="1785" width="4.85546875" style="168" customWidth="1"/>
    <col min="1786" max="1794" width="34.140625" style="168"/>
    <col min="1795" max="1795" width="6.42578125" style="168" customWidth="1"/>
    <col min="1796" max="1796" width="51" style="168" customWidth="1"/>
    <col min="1797" max="1797" width="8.7109375" style="168" customWidth="1"/>
    <col min="1798" max="1798" width="13.7109375" style="168" customWidth="1"/>
    <col min="1799" max="1799" width="14.5703125" style="168" customWidth="1"/>
    <col min="1800" max="1800" width="20.7109375" style="168" customWidth="1"/>
    <col min="1801" max="1801" width="28.5703125" style="168" customWidth="1"/>
    <col min="1802" max="2040" width="9.140625" style="168" customWidth="1"/>
    <col min="2041" max="2041" width="4.85546875" style="168" customWidth="1"/>
    <col min="2042" max="2050" width="34.140625" style="168"/>
    <col min="2051" max="2051" width="6.42578125" style="168" customWidth="1"/>
    <col min="2052" max="2052" width="51" style="168" customWidth="1"/>
    <col min="2053" max="2053" width="8.7109375" style="168" customWidth="1"/>
    <col min="2054" max="2054" width="13.7109375" style="168" customWidth="1"/>
    <col min="2055" max="2055" width="14.5703125" style="168" customWidth="1"/>
    <col min="2056" max="2056" width="20.7109375" style="168" customWidth="1"/>
    <col min="2057" max="2057" width="28.5703125" style="168" customWidth="1"/>
    <col min="2058" max="2296" width="9.140625" style="168" customWidth="1"/>
    <col min="2297" max="2297" width="4.85546875" style="168" customWidth="1"/>
    <col min="2298" max="2306" width="34.140625" style="168"/>
    <col min="2307" max="2307" width="6.42578125" style="168" customWidth="1"/>
    <col min="2308" max="2308" width="51" style="168" customWidth="1"/>
    <col min="2309" max="2309" width="8.7109375" style="168" customWidth="1"/>
    <col min="2310" max="2310" width="13.7109375" style="168" customWidth="1"/>
    <col min="2311" max="2311" width="14.5703125" style="168" customWidth="1"/>
    <col min="2312" max="2312" width="20.7109375" style="168" customWidth="1"/>
    <col min="2313" max="2313" width="28.5703125" style="168" customWidth="1"/>
    <col min="2314" max="2552" width="9.140625" style="168" customWidth="1"/>
    <col min="2553" max="2553" width="4.85546875" style="168" customWidth="1"/>
    <col min="2554" max="2562" width="34.140625" style="168"/>
    <col min="2563" max="2563" width="6.42578125" style="168" customWidth="1"/>
    <col min="2564" max="2564" width="51" style="168" customWidth="1"/>
    <col min="2565" max="2565" width="8.7109375" style="168" customWidth="1"/>
    <col min="2566" max="2566" width="13.7109375" style="168" customWidth="1"/>
    <col min="2567" max="2567" width="14.5703125" style="168" customWidth="1"/>
    <col min="2568" max="2568" width="20.7109375" style="168" customWidth="1"/>
    <col min="2569" max="2569" width="28.5703125" style="168" customWidth="1"/>
    <col min="2570" max="2808" width="9.140625" style="168" customWidth="1"/>
    <col min="2809" max="2809" width="4.85546875" style="168" customWidth="1"/>
    <col min="2810" max="2818" width="34.140625" style="168"/>
    <col min="2819" max="2819" width="6.42578125" style="168" customWidth="1"/>
    <col min="2820" max="2820" width="51" style="168" customWidth="1"/>
    <col min="2821" max="2821" width="8.7109375" style="168" customWidth="1"/>
    <col min="2822" max="2822" width="13.7109375" style="168" customWidth="1"/>
    <col min="2823" max="2823" width="14.5703125" style="168" customWidth="1"/>
    <col min="2824" max="2824" width="20.7109375" style="168" customWidth="1"/>
    <col min="2825" max="2825" width="28.5703125" style="168" customWidth="1"/>
    <col min="2826" max="3064" width="9.140625" style="168" customWidth="1"/>
    <col min="3065" max="3065" width="4.85546875" style="168" customWidth="1"/>
    <col min="3066" max="3074" width="34.140625" style="168"/>
    <col min="3075" max="3075" width="6.42578125" style="168" customWidth="1"/>
    <col min="3076" max="3076" width="51" style="168" customWidth="1"/>
    <col min="3077" max="3077" width="8.7109375" style="168" customWidth="1"/>
    <col min="3078" max="3078" width="13.7109375" style="168" customWidth="1"/>
    <col min="3079" max="3079" width="14.5703125" style="168" customWidth="1"/>
    <col min="3080" max="3080" width="20.7109375" style="168" customWidth="1"/>
    <col min="3081" max="3081" width="28.5703125" style="168" customWidth="1"/>
    <col min="3082" max="3320" width="9.140625" style="168" customWidth="1"/>
    <col min="3321" max="3321" width="4.85546875" style="168" customWidth="1"/>
    <col min="3322" max="3330" width="34.140625" style="168"/>
    <col min="3331" max="3331" width="6.42578125" style="168" customWidth="1"/>
    <col min="3332" max="3332" width="51" style="168" customWidth="1"/>
    <col min="3333" max="3333" width="8.7109375" style="168" customWidth="1"/>
    <col min="3334" max="3334" width="13.7109375" style="168" customWidth="1"/>
    <col min="3335" max="3335" width="14.5703125" style="168" customWidth="1"/>
    <col min="3336" max="3336" width="20.7109375" style="168" customWidth="1"/>
    <col min="3337" max="3337" width="28.5703125" style="168" customWidth="1"/>
    <col min="3338" max="3576" width="9.140625" style="168" customWidth="1"/>
    <col min="3577" max="3577" width="4.85546875" style="168" customWidth="1"/>
    <col min="3578" max="3586" width="34.140625" style="168"/>
    <col min="3587" max="3587" width="6.42578125" style="168" customWidth="1"/>
    <col min="3588" max="3588" width="51" style="168" customWidth="1"/>
    <col min="3589" max="3589" width="8.7109375" style="168" customWidth="1"/>
    <col min="3590" max="3590" width="13.7109375" style="168" customWidth="1"/>
    <col min="3591" max="3591" width="14.5703125" style="168" customWidth="1"/>
    <col min="3592" max="3592" width="20.7109375" style="168" customWidth="1"/>
    <col min="3593" max="3593" width="28.5703125" style="168" customWidth="1"/>
    <col min="3594" max="3832" width="9.140625" style="168" customWidth="1"/>
    <col min="3833" max="3833" width="4.85546875" style="168" customWidth="1"/>
    <col min="3834" max="3842" width="34.140625" style="168"/>
    <col min="3843" max="3843" width="6.42578125" style="168" customWidth="1"/>
    <col min="3844" max="3844" width="51" style="168" customWidth="1"/>
    <col min="3845" max="3845" width="8.7109375" style="168" customWidth="1"/>
    <col min="3846" max="3846" width="13.7109375" style="168" customWidth="1"/>
    <col min="3847" max="3847" width="14.5703125" style="168" customWidth="1"/>
    <col min="3848" max="3848" width="20.7109375" style="168" customWidth="1"/>
    <col min="3849" max="3849" width="28.5703125" style="168" customWidth="1"/>
    <col min="3850" max="4088" width="9.140625" style="168" customWidth="1"/>
    <col min="4089" max="4089" width="4.85546875" style="168" customWidth="1"/>
    <col min="4090" max="4098" width="34.140625" style="168"/>
    <col min="4099" max="4099" width="6.42578125" style="168" customWidth="1"/>
    <col min="4100" max="4100" width="51" style="168" customWidth="1"/>
    <col min="4101" max="4101" width="8.7109375" style="168" customWidth="1"/>
    <col min="4102" max="4102" width="13.7109375" style="168" customWidth="1"/>
    <col min="4103" max="4103" width="14.5703125" style="168" customWidth="1"/>
    <col min="4104" max="4104" width="20.7109375" style="168" customWidth="1"/>
    <col min="4105" max="4105" width="28.5703125" style="168" customWidth="1"/>
    <col min="4106" max="4344" width="9.140625" style="168" customWidth="1"/>
    <col min="4345" max="4345" width="4.85546875" style="168" customWidth="1"/>
    <col min="4346" max="4354" width="34.140625" style="168"/>
    <col min="4355" max="4355" width="6.42578125" style="168" customWidth="1"/>
    <col min="4356" max="4356" width="51" style="168" customWidth="1"/>
    <col min="4357" max="4357" width="8.7109375" style="168" customWidth="1"/>
    <col min="4358" max="4358" width="13.7109375" style="168" customWidth="1"/>
    <col min="4359" max="4359" width="14.5703125" style="168" customWidth="1"/>
    <col min="4360" max="4360" width="20.7109375" style="168" customWidth="1"/>
    <col min="4361" max="4361" width="28.5703125" style="168" customWidth="1"/>
    <col min="4362" max="4600" width="9.140625" style="168" customWidth="1"/>
    <col min="4601" max="4601" width="4.85546875" style="168" customWidth="1"/>
    <col min="4602" max="4610" width="34.140625" style="168"/>
    <col min="4611" max="4611" width="6.42578125" style="168" customWidth="1"/>
    <col min="4612" max="4612" width="51" style="168" customWidth="1"/>
    <col min="4613" max="4613" width="8.7109375" style="168" customWidth="1"/>
    <col min="4614" max="4614" width="13.7109375" style="168" customWidth="1"/>
    <col min="4615" max="4615" width="14.5703125" style="168" customWidth="1"/>
    <col min="4616" max="4616" width="20.7109375" style="168" customWidth="1"/>
    <col min="4617" max="4617" width="28.5703125" style="168" customWidth="1"/>
    <col min="4618" max="4856" width="9.140625" style="168" customWidth="1"/>
    <col min="4857" max="4857" width="4.85546875" style="168" customWidth="1"/>
    <col min="4858" max="4866" width="34.140625" style="168"/>
    <col min="4867" max="4867" width="6.42578125" style="168" customWidth="1"/>
    <col min="4868" max="4868" width="51" style="168" customWidth="1"/>
    <col min="4869" max="4869" width="8.7109375" style="168" customWidth="1"/>
    <col min="4870" max="4870" width="13.7109375" style="168" customWidth="1"/>
    <col min="4871" max="4871" width="14.5703125" style="168" customWidth="1"/>
    <col min="4872" max="4872" width="20.7109375" style="168" customWidth="1"/>
    <col min="4873" max="4873" width="28.5703125" style="168" customWidth="1"/>
    <col min="4874" max="5112" width="9.140625" style="168" customWidth="1"/>
    <col min="5113" max="5113" width="4.85546875" style="168" customWidth="1"/>
    <col min="5114" max="5122" width="34.140625" style="168"/>
    <col min="5123" max="5123" width="6.42578125" style="168" customWidth="1"/>
    <col min="5124" max="5124" width="51" style="168" customWidth="1"/>
    <col min="5125" max="5125" width="8.7109375" style="168" customWidth="1"/>
    <col min="5126" max="5126" width="13.7109375" style="168" customWidth="1"/>
    <col min="5127" max="5127" width="14.5703125" style="168" customWidth="1"/>
    <col min="5128" max="5128" width="20.7109375" style="168" customWidth="1"/>
    <col min="5129" max="5129" width="28.5703125" style="168" customWidth="1"/>
    <col min="5130" max="5368" width="9.140625" style="168" customWidth="1"/>
    <col min="5369" max="5369" width="4.85546875" style="168" customWidth="1"/>
    <col min="5370" max="5378" width="34.140625" style="168"/>
    <col min="5379" max="5379" width="6.42578125" style="168" customWidth="1"/>
    <col min="5380" max="5380" width="51" style="168" customWidth="1"/>
    <col min="5381" max="5381" width="8.7109375" style="168" customWidth="1"/>
    <col min="5382" max="5382" width="13.7109375" style="168" customWidth="1"/>
    <col min="5383" max="5383" width="14.5703125" style="168" customWidth="1"/>
    <col min="5384" max="5384" width="20.7109375" style="168" customWidth="1"/>
    <col min="5385" max="5385" width="28.5703125" style="168" customWidth="1"/>
    <col min="5386" max="5624" width="9.140625" style="168" customWidth="1"/>
    <col min="5625" max="5625" width="4.85546875" style="168" customWidth="1"/>
    <col min="5626" max="5634" width="34.140625" style="168"/>
    <col min="5635" max="5635" width="6.42578125" style="168" customWidth="1"/>
    <col min="5636" max="5636" width="51" style="168" customWidth="1"/>
    <col min="5637" max="5637" width="8.7109375" style="168" customWidth="1"/>
    <col min="5638" max="5638" width="13.7109375" style="168" customWidth="1"/>
    <col min="5639" max="5639" width="14.5703125" style="168" customWidth="1"/>
    <col min="5640" max="5640" width="20.7109375" style="168" customWidth="1"/>
    <col min="5641" max="5641" width="28.5703125" style="168" customWidth="1"/>
    <col min="5642" max="5880" width="9.140625" style="168" customWidth="1"/>
    <col min="5881" max="5881" width="4.85546875" style="168" customWidth="1"/>
    <col min="5882" max="5890" width="34.140625" style="168"/>
    <col min="5891" max="5891" width="6.42578125" style="168" customWidth="1"/>
    <col min="5892" max="5892" width="51" style="168" customWidth="1"/>
    <col min="5893" max="5893" width="8.7109375" style="168" customWidth="1"/>
    <col min="5894" max="5894" width="13.7109375" style="168" customWidth="1"/>
    <col min="5895" max="5895" width="14.5703125" style="168" customWidth="1"/>
    <col min="5896" max="5896" width="20.7109375" style="168" customWidth="1"/>
    <col min="5897" max="5897" width="28.5703125" style="168" customWidth="1"/>
    <col min="5898" max="6136" width="9.140625" style="168" customWidth="1"/>
    <col min="6137" max="6137" width="4.85546875" style="168" customWidth="1"/>
    <col min="6138" max="6146" width="34.140625" style="168"/>
    <col min="6147" max="6147" width="6.42578125" style="168" customWidth="1"/>
    <col min="6148" max="6148" width="51" style="168" customWidth="1"/>
    <col min="6149" max="6149" width="8.7109375" style="168" customWidth="1"/>
    <col min="6150" max="6150" width="13.7109375" style="168" customWidth="1"/>
    <col min="6151" max="6151" width="14.5703125" style="168" customWidth="1"/>
    <col min="6152" max="6152" width="20.7109375" style="168" customWidth="1"/>
    <col min="6153" max="6153" width="28.5703125" style="168" customWidth="1"/>
    <col min="6154" max="6392" width="9.140625" style="168" customWidth="1"/>
    <col min="6393" max="6393" width="4.85546875" style="168" customWidth="1"/>
    <col min="6394" max="6402" width="34.140625" style="168"/>
    <col min="6403" max="6403" width="6.42578125" style="168" customWidth="1"/>
    <col min="6404" max="6404" width="51" style="168" customWidth="1"/>
    <col min="6405" max="6405" width="8.7109375" style="168" customWidth="1"/>
    <col min="6406" max="6406" width="13.7109375" style="168" customWidth="1"/>
    <col min="6407" max="6407" width="14.5703125" style="168" customWidth="1"/>
    <col min="6408" max="6408" width="20.7109375" style="168" customWidth="1"/>
    <col min="6409" max="6409" width="28.5703125" style="168" customWidth="1"/>
    <col min="6410" max="6648" width="9.140625" style="168" customWidth="1"/>
    <col min="6649" max="6649" width="4.85546875" style="168" customWidth="1"/>
    <col min="6650" max="6658" width="34.140625" style="168"/>
    <col min="6659" max="6659" width="6.42578125" style="168" customWidth="1"/>
    <col min="6660" max="6660" width="51" style="168" customWidth="1"/>
    <col min="6661" max="6661" width="8.7109375" style="168" customWidth="1"/>
    <col min="6662" max="6662" width="13.7109375" style="168" customWidth="1"/>
    <col min="6663" max="6663" width="14.5703125" style="168" customWidth="1"/>
    <col min="6664" max="6664" width="20.7109375" style="168" customWidth="1"/>
    <col min="6665" max="6665" width="28.5703125" style="168" customWidth="1"/>
    <col min="6666" max="6904" width="9.140625" style="168" customWidth="1"/>
    <col min="6905" max="6905" width="4.85546875" style="168" customWidth="1"/>
    <col min="6906" max="6914" width="34.140625" style="168"/>
    <col min="6915" max="6915" width="6.42578125" style="168" customWidth="1"/>
    <col min="6916" max="6916" width="51" style="168" customWidth="1"/>
    <col min="6917" max="6917" width="8.7109375" style="168" customWidth="1"/>
    <col min="6918" max="6918" width="13.7109375" style="168" customWidth="1"/>
    <col min="6919" max="6919" width="14.5703125" style="168" customWidth="1"/>
    <col min="6920" max="6920" width="20.7109375" style="168" customWidth="1"/>
    <col min="6921" max="6921" width="28.5703125" style="168" customWidth="1"/>
    <col min="6922" max="7160" width="9.140625" style="168" customWidth="1"/>
    <col min="7161" max="7161" width="4.85546875" style="168" customWidth="1"/>
    <col min="7162" max="7170" width="34.140625" style="168"/>
    <col min="7171" max="7171" width="6.42578125" style="168" customWidth="1"/>
    <col min="7172" max="7172" width="51" style="168" customWidth="1"/>
    <col min="7173" max="7173" width="8.7109375" style="168" customWidth="1"/>
    <col min="7174" max="7174" width="13.7109375" style="168" customWidth="1"/>
    <col min="7175" max="7175" width="14.5703125" style="168" customWidth="1"/>
    <col min="7176" max="7176" width="20.7109375" style="168" customWidth="1"/>
    <col min="7177" max="7177" width="28.5703125" style="168" customWidth="1"/>
    <col min="7178" max="7416" width="9.140625" style="168" customWidth="1"/>
    <col min="7417" max="7417" width="4.85546875" style="168" customWidth="1"/>
    <col min="7418" max="7426" width="34.140625" style="168"/>
    <col min="7427" max="7427" width="6.42578125" style="168" customWidth="1"/>
    <col min="7428" max="7428" width="51" style="168" customWidth="1"/>
    <col min="7429" max="7429" width="8.7109375" style="168" customWidth="1"/>
    <col min="7430" max="7430" width="13.7109375" style="168" customWidth="1"/>
    <col min="7431" max="7431" width="14.5703125" style="168" customWidth="1"/>
    <col min="7432" max="7432" width="20.7109375" style="168" customWidth="1"/>
    <col min="7433" max="7433" width="28.5703125" style="168" customWidth="1"/>
    <col min="7434" max="7672" width="9.140625" style="168" customWidth="1"/>
    <col min="7673" max="7673" width="4.85546875" style="168" customWidth="1"/>
    <col min="7674" max="7682" width="34.140625" style="168"/>
    <col min="7683" max="7683" width="6.42578125" style="168" customWidth="1"/>
    <col min="7684" max="7684" width="51" style="168" customWidth="1"/>
    <col min="7685" max="7685" width="8.7109375" style="168" customWidth="1"/>
    <col min="7686" max="7686" width="13.7109375" style="168" customWidth="1"/>
    <col min="7687" max="7687" width="14.5703125" style="168" customWidth="1"/>
    <col min="7688" max="7688" width="20.7109375" style="168" customWidth="1"/>
    <col min="7689" max="7689" width="28.5703125" style="168" customWidth="1"/>
    <col min="7690" max="7928" width="9.140625" style="168" customWidth="1"/>
    <col min="7929" max="7929" width="4.85546875" style="168" customWidth="1"/>
    <col min="7930" max="7938" width="34.140625" style="168"/>
    <col min="7939" max="7939" width="6.42578125" style="168" customWidth="1"/>
    <col min="7940" max="7940" width="51" style="168" customWidth="1"/>
    <col min="7941" max="7941" width="8.7109375" style="168" customWidth="1"/>
    <col min="7942" max="7942" width="13.7109375" style="168" customWidth="1"/>
    <col min="7943" max="7943" width="14.5703125" style="168" customWidth="1"/>
    <col min="7944" max="7944" width="20.7109375" style="168" customWidth="1"/>
    <col min="7945" max="7945" width="28.5703125" style="168" customWidth="1"/>
    <col min="7946" max="8184" width="9.140625" style="168" customWidth="1"/>
    <col min="8185" max="8185" width="4.85546875" style="168" customWidth="1"/>
    <col min="8186" max="8194" width="34.140625" style="168"/>
    <col min="8195" max="8195" width="6.42578125" style="168" customWidth="1"/>
    <col min="8196" max="8196" width="51" style="168" customWidth="1"/>
    <col min="8197" max="8197" width="8.7109375" style="168" customWidth="1"/>
    <col min="8198" max="8198" width="13.7109375" style="168" customWidth="1"/>
    <col min="8199" max="8199" width="14.5703125" style="168" customWidth="1"/>
    <col min="8200" max="8200" width="20.7109375" style="168" customWidth="1"/>
    <col min="8201" max="8201" width="28.5703125" style="168" customWidth="1"/>
    <col min="8202" max="8440" width="9.140625" style="168" customWidth="1"/>
    <col min="8441" max="8441" width="4.85546875" style="168" customWidth="1"/>
    <col min="8442" max="8450" width="34.140625" style="168"/>
    <col min="8451" max="8451" width="6.42578125" style="168" customWidth="1"/>
    <col min="8452" max="8452" width="51" style="168" customWidth="1"/>
    <col min="8453" max="8453" width="8.7109375" style="168" customWidth="1"/>
    <col min="8454" max="8454" width="13.7109375" style="168" customWidth="1"/>
    <col min="8455" max="8455" width="14.5703125" style="168" customWidth="1"/>
    <col min="8456" max="8456" width="20.7109375" style="168" customWidth="1"/>
    <col min="8457" max="8457" width="28.5703125" style="168" customWidth="1"/>
    <col min="8458" max="8696" width="9.140625" style="168" customWidth="1"/>
    <col min="8697" max="8697" width="4.85546875" style="168" customWidth="1"/>
    <col min="8698" max="8706" width="34.140625" style="168"/>
    <col min="8707" max="8707" width="6.42578125" style="168" customWidth="1"/>
    <col min="8708" max="8708" width="51" style="168" customWidth="1"/>
    <col min="8709" max="8709" width="8.7109375" style="168" customWidth="1"/>
    <col min="8710" max="8710" width="13.7109375" style="168" customWidth="1"/>
    <col min="8711" max="8711" width="14.5703125" style="168" customWidth="1"/>
    <col min="8712" max="8712" width="20.7109375" style="168" customWidth="1"/>
    <col min="8713" max="8713" width="28.5703125" style="168" customWidth="1"/>
    <col min="8714" max="8952" width="9.140625" style="168" customWidth="1"/>
    <col min="8953" max="8953" width="4.85546875" style="168" customWidth="1"/>
    <col min="8954" max="8962" width="34.140625" style="168"/>
    <col min="8963" max="8963" width="6.42578125" style="168" customWidth="1"/>
    <col min="8964" max="8964" width="51" style="168" customWidth="1"/>
    <col min="8965" max="8965" width="8.7109375" style="168" customWidth="1"/>
    <col min="8966" max="8966" width="13.7109375" style="168" customWidth="1"/>
    <col min="8967" max="8967" width="14.5703125" style="168" customWidth="1"/>
    <col min="8968" max="8968" width="20.7109375" style="168" customWidth="1"/>
    <col min="8969" max="8969" width="28.5703125" style="168" customWidth="1"/>
    <col min="8970" max="9208" width="9.140625" style="168" customWidth="1"/>
    <col min="9209" max="9209" width="4.85546875" style="168" customWidth="1"/>
    <col min="9210" max="9218" width="34.140625" style="168"/>
    <col min="9219" max="9219" width="6.42578125" style="168" customWidth="1"/>
    <col min="9220" max="9220" width="51" style="168" customWidth="1"/>
    <col min="9221" max="9221" width="8.7109375" style="168" customWidth="1"/>
    <col min="9222" max="9222" width="13.7109375" style="168" customWidth="1"/>
    <col min="9223" max="9223" width="14.5703125" style="168" customWidth="1"/>
    <col min="9224" max="9224" width="20.7109375" style="168" customWidth="1"/>
    <col min="9225" max="9225" width="28.5703125" style="168" customWidth="1"/>
    <col min="9226" max="9464" width="9.140625" style="168" customWidth="1"/>
    <col min="9465" max="9465" width="4.85546875" style="168" customWidth="1"/>
    <col min="9466" max="9474" width="34.140625" style="168"/>
    <col min="9475" max="9475" width="6.42578125" style="168" customWidth="1"/>
    <col min="9476" max="9476" width="51" style="168" customWidth="1"/>
    <col min="9477" max="9477" width="8.7109375" style="168" customWidth="1"/>
    <col min="9478" max="9478" width="13.7109375" style="168" customWidth="1"/>
    <col min="9479" max="9479" width="14.5703125" style="168" customWidth="1"/>
    <col min="9480" max="9480" width="20.7109375" style="168" customWidth="1"/>
    <col min="9481" max="9481" width="28.5703125" style="168" customWidth="1"/>
    <col min="9482" max="9720" width="9.140625" style="168" customWidth="1"/>
    <col min="9721" max="9721" width="4.85546875" style="168" customWidth="1"/>
    <col min="9722" max="9730" width="34.140625" style="168"/>
    <col min="9731" max="9731" width="6.42578125" style="168" customWidth="1"/>
    <col min="9732" max="9732" width="51" style="168" customWidth="1"/>
    <col min="9733" max="9733" width="8.7109375" style="168" customWidth="1"/>
    <col min="9734" max="9734" width="13.7109375" style="168" customWidth="1"/>
    <col min="9735" max="9735" width="14.5703125" style="168" customWidth="1"/>
    <col min="9736" max="9736" width="20.7109375" style="168" customWidth="1"/>
    <col min="9737" max="9737" width="28.5703125" style="168" customWidth="1"/>
    <col min="9738" max="9976" width="9.140625" style="168" customWidth="1"/>
    <col min="9977" max="9977" width="4.85546875" style="168" customWidth="1"/>
    <col min="9978" max="9986" width="34.140625" style="168"/>
    <col min="9987" max="9987" width="6.42578125" style="168" customWidth="1"/>
    <col min="9988" max="9988" width="51" style="168" customWidth="1"/>
    <col min="9989" max="9989" width="8.7109375" style="168" customWidth="1"/>
    <col min="9990" max="9990" width="13.7109375" style="168" customWidth="1"/>
    <col min="9991" max="9991" width="14.5703125" style="168" customWidth="1"/>
    <col min="9992" max="9992" width="20.7109375" style="168" customWidth="1"/>
    <col min="9993" max="9993" width="28.5703125" style="168" customWidth="1"/>
    <col min="9994" max="10232" width="9.140625" style="168" customWidth="1"/>
    <col min="10233" max="10233" width="4.85546875" style="168" customWidth="1"/>
    <col min="10234" max="10242" width="34.140625" style="168"/>
    <col min="10243" max="10243" width="6.42578125" style="168" customWidth="1"/>
    <col min="10244" max="10244" width="51" style="168" customWidth="1"/>
    <col min="10245" max="10245" width="8.7109375" style="168" customWidth="1"/>
    <col min="10246" max="10246" width="13.7109375" style="168" customWidth="1"/>
    <col min="10247" max="10247" width="14.5703125" style="168" customWidth="1"/>
    <col min="10248" max="10248" width="20.7109375" style="168" customWidth="1"/>
    <col min="10249" max="10249" width="28.5703125" style="168" customWidth="1"/>
    <col min="10250" max="10488" width="9.140625" style="168" customWidth="1"/>
    <col min="10489" max="10489" width="4.85546875" style="168" customWidth="1"/>
    <col min="10490" max="10498" width="34.140625" style="168"/>
    <col min="10499" max="10499" width="6.42578125" style="168" customWidth="1"/>
    <col min="10500" max="10500" width="51" style="168" customWidth="1"/>
    <col min="10501" max="10501" width="8.7109375" style="168" customWidth="1"/>
    <col min="10502" max="10502" width="13.7109375" style="168" customWidth="1"/>
    <col min="10503" max="10503" width="14.5703125" style="168" customWidth="1"/>
    <col min="10504" max="10504" width="20.7109375" style="168" customWidth="1"/>
    <col min="10505" max="10505" width="28.5703125" style="168" customWidth="1"/>
    <col min="10506" max="10744" width="9.140625" style="168" customWidth="1"/>
    <col min="10745" max="10745" width="4.85546875" style="168" customWidth="1"/>
    <col min="10746" max="10754" width="34.140625" style="168"/>
    <col min="10755" max="10755" width="6.42578125" style="168" customWidth="1"/>
    <col min="10756" max="10756" width="51" style="168" customWidth="1"/>
    <col min="10757" max="10757" width="8.7109375" style="168" customWidth="1"/>
    <col min="10758" max="10758" width="13.7109375" style="168" customWidth="1"/>
    <col min="10759" max="10759" width="14.5703125" style="168" customWidth="1"/>
    <col min="10760" max="10760" width="20.7109375" style="168" customWidth="1"/>
    <col min="10761" max="10761" width="28.5703125" style="168" customWidth="1"/>
    <col min="10762" max="11000" width="9.140625" style="168" customWidth="1"/>
    <col min="11001" max="11001" width="4.85546875" style="168" customWidth="1"/>
    <col min="11002" max="11010" width="34.140625" style="168"/>
    <col min="11011" max="11011" width="6.42578125" style="168" customWidth="1"/>
    <col min="11012" max="11012" width="51" style="168" customWidth="1"/>
    <col min="11013" max="11013" width="8.7109375" style="168" customWidth="1"/>
    <col min="11014" max="11014" width="13.7109375" style="168" customWidth="1"/>
    <col min="11015" max="11015" width="14.5703125" style="168" customWidth="1"/>
    <col min="11016" max="11016" width="20.7109375" style="168" customWidth="1"/>
    <col min="11017" max="11017" width="28.5703125" style="168" customWidth="1"/>
    <col min="11018" max="11256" width="9.140625" style="168" customWidth="1"/>
    <col min="11257" max="11257" width="4.85546875" style="168" customWidth="1"/>
    <col min="11258" max="11266" width="34.140625" style="168"/>
    <col min="11267" max="11267" width="6.42578125" style="168" customWidth="1"/>
    <col min="11268" max="11268" width="51" style="168" customWidth="1"/>
    <col min="11269" max="11269" width="8.7109375" style="168" customWidth="1"/>
    <col min="11270" max="11270" width="13.7109375" style="168" customWidth="1"/>
    <col min="11271" max="11271" width="14.5703125" style="168" customWidth="1"/>
    <col min="11272" max="11272" width="20.7109375" style="168" customWidth="1"/>
    <col min="11273" max="11273" width="28.5703125" style="168" customWidth="1"/>
    <col min="11274" max="11512" width="9.140625" style="168" customWidth="1"/>
    <col min="11513" max="11513" width="4.85546875" style="168" customWidth="1"/>
    <col min="11514" max="11522" width="34.140625" style="168"/>
    <col min="11523" max="11523" width="6.42578125" style="168" customWidth="1"/>
    <col min="11524" max="11524" width="51" style="168" customWidth="1"/>
    <col min="11525" max="11525" width="8.7109375" style="168" customWidth="1"/>
    <col min="11526" max="11526" width="13.7109375" style="168" customWidth="1"/>
    <col min="11527" max="11527" width="14.5703125" style="168" customWidth="1"/>
    <col min="11528" max="11528" width="20.7109375" style="168" customWidth="1"/>
    <col min="11529" max="11529" width="28.5703125" style="168" customWidth="1"/>
    <col min="11530" max="11768" width="9.140625" style="168" customWidth="1"/>
    <col min="11769" max="11769" width="4.85546875" style="168" customWidth="1"/>
    <col min="11770" max="11778" width="34.140625" style="168"/>
    <col min="11779" max="11779" width="6.42578125" style="168" customWidth="1"/>
    <col min="11780" max="11780" width="51" style="168" customWidth="1"/>
    <col min="11781" max="11781" width="8.7109375" style="168" customWidth="1"/>
    <col min="11782" max="11782" width="13.7109375" style="168" customWidth="1"/>
    <col min="11783" max="11783" width="14.5703125" style="168" customWidth="1"/>
    <col min="11784" max="11784" width="20.7109375" style="168" customWidth="1"/>
    <col min="11785" max="11785" width="28.5703125" style="168" customWidth="1"/>
    <col min="11786" max="12024" width="9.140625" style="168" customWidth="1"/>
    <col min="12025" max="12025" width="4.85546875" style="168" customWidth="1"/>
    <col min="12026" max="12034" width="34.140625" style="168"/>
    <col min="12035" max="12035" width="6.42578125" style="168" customWidth="1"/>
    <col min="12036" max="12036" width="51" style="168" customWidth="1"/>
    <col min="12037" max="12037" width="8.7109375" style="168" customWidth="1"/>
    <col min="12038" max="12038" width="13.7109375" style="168" customWidth="1"/>
    <col min="12039" max="12039" width="14.5703125" style="168" customWidth="1"/>
    <col min="12040" max="12040" width="20.7109375" style="168" customWidth="1"/>
    <col min="12041" max="12041" width="28.5703125" style="168" customWidth="1"/>
    <col min="12042" max="12280" width="9.140625" style="168" customWidth="1"/>
    <col min="12281" max="12281" width="4.85546875" style="168" customWidth="1"/>
    <col min="12282" max="12290" width="34.140625" style="168"/>
    <col min="12291" max="12291" width="6.42578125" style="168" customWidth="1"/>
    <col min="12292" max="12292" width="51" style="168" customWidth="1"/>
    <col min="12293" max="12293" width="8.7109375" style="168" customWidth="1"/>
    <col min="12294" max="12294" width="13.7109375" style="168" customWidth="1"/>
    <col min="12295" max="12295" width="14.5703125" style="168" customWidth="1"/>
    <col min="12296" max="12296" width="20.7109375" style="168" customWidth="1"/>
    <col min="12297" max="12297" width="28.5703125" style="168" customWidth="1"/>
    <col min="12298" max="12536" width="9.140625" style="168" customWidth="1"/>
    <col min="12537" max="12537" width="4.85546875" style="168" customWidth="1"/>
    <col min="12538" max="12546" width="34.140625" style="168"/>
    <col min="12547" max="12547" width="6.42578125" style="168" customWidth="1"/>
    <col min="12548" max="12548" width="51" style="168" customWidth="1"/>
    <col min="12549" max="12549" width="8.7109375" style="168" customWidth="1"/>
    <col min="12550" max="12550" width="13.7109375" style="168" customWidth="1"/>
    <col min="12551" max="12551" width="14.5703125" style="168" customWidth="1"/>
    <col min="12552" max="12552" width="20.7109375" style="168" customWidth="1"/>
    <col min="12553" max="12553" width="28.5703125" style="168" customWidth="1"/>
    <col min="12554" max="12792" width="9.140625" style="168" customWidth="1"/>
    <col min="12793" max="12793" width="4.85546875" style="168" customWidth="1"/>
    <col min="12794" max="12802" width="34.140625" style="168"/>
    <col min="12803" max="12803" width="6.42578125" style="168" customWidth="1"/>
    <col min="12804" max="12804" width="51" style="168" customWidth="1"/>
    <col min="12805" max="12805" width="8.7109375" style="168" customWidth="1"/>
    <col min="12806" max="12806" width="13.7109375" style="168" customWidth="1"/>
    <col min="12807" max="12807" width="14.5703125" style="168" customWidth="1"/>
    <col min="12808" max="12808" width="20.7109375" style="168" customWidth="1"/>
    <col min="12809" max="12809" width="28.5703125" style="168" customWidth="1"/>
    <col min="12810" max="13048" width="9.140625" style="168" customWidth="1"/>
    <col min="13049" max="13049" width="4.85546875" style="168" customWidth="1"/>
    <col min="13050" max="13058" width="34.140625" style="168"/>
    <col min="13059" max="13059" width="6.42578125" style="168" customWidth="1"/>
    <col min="13060" max="13060" width="51" style="168" customWidth="1"/>
    <col min="13061" max="13061" width="8.7109375" style="168" customWidth="1"/>
    <col min="13062" max="13062" width="13.7109375" style="168" customWidth="1"/>
    <col min="13063" max="13063" width="14.5703125" style="168" customWidth="1"/>
    <col min="13064" max="13064" width="20.7109375" style="168" customWidth="1"/>
    <col min="13065" max="13065" width="28.5703125" style="168" customWidth="1"/>
    <col min="13066" max="13304" width="9.140625" style="168" customWidth="1"/>
    <col min="13305" max="13305" width="4.85546875" style="168" customWidth="1"/>
    <col min="13306" max="13314" width="34.140625" style="168"/>
    <col min="13315" max="13315" width="6.42578125" style="168" customWidth="1"/>
    <col min="13316" max="13316" width="51" style="168" customWidth="1"/>
    <col min="13317" max="13317" width="8.7109375" style="168" customWidth="1"/>
    <col min="13318" max="13318" width="13.7109375" style="168" customWidth="1"/>
    <col min="13319" max="13319" width="14.5703125" style="168" customWidth="1"/>
    <col min="13320" max="13320" width="20.7109375" style="168" customWidth="1"/>
    <col min="13321" max="13321" width="28.5703125" style="168" customWidth="1"/>
    <col min="13322" max="13560" width="9.140625" style="168" customWidth="1"/>
    <col min="13561" max="13561" width="4.85546875" style="168" customWidth="1"/>
    <col min="13562" max="13570" width="34.140625" style="168"/>
    <col min="13571" max="13571" width="6.42578125" style="168" customWidth="1"/>
    <col min="13572" max="13572" width="51" style="168" customWidth="1"/>
    <col min="13573" max="13573" width="8.7109375" style="168" customWidth="1"/>
    <col min="13574" max="13574" width="13.7109375" style="168" customWidth="1"/>
    <col min="13575" max="13575" width="14.5703125" style="168" customWidth="1"/>
    <col min="13576" max="13576" width="20.7109375" style="168" customWidth="1"/>
    <col min="13577" max="13577" width="28.5703125" style="168" customWidth="1"/>
    <col min="13578" max="13816" width="9.140625" style="168" customWidth="1"/>
    <col min="13817" max="13817" width="4.85546875" style="168" customWidth="1"/>
    <col min="13818" max="13826" width="34.140625" style="168"/>
    <col min="13827" max="13827" width="6.42578125" style="168" customWidth="1"/>
    <col min="13828" max="13828" width="51" style="168" customWidth="1"/>
    <col min="13829" max="13829" width="8.7109375" style="168" customWidth="1"/>
    <col min="13830" max="13830" width="13.7109375" style="168" customWidth="1"/>
    <col min="13831" max="13831" width="14.5703125" style="168" customWidth="1"/>
    <col min="13832" max="13832" width="20.7109375" style="168" customWidth="1"/>
    <col min="13833" max="13833" width="28.5703125" style="168" customWidth="1"/>
    <col min="13834" max="14072" width="9.140625" style="168" customWidth="1"/>
    <col min="14073" max="14073" width="4.85546875" style="168" customWidth="1"/>
    <col min="14074" max="14082" width="34.140625" style="168"/>
    <col min="14083" max="14083" width="6.42578125" style="168" customWidth="1"/>
    <col min="14084" max="14084" width="51" style="168" customWidth="1"/>
    <col min="14085" max="14085" width="8.7109375" style="168" customWidth="1"/>
    <col min="14086" max="14086" width="13.7109375" style="168" customWidth="1"/>
    <col min="14087" max="14087" width="14.5703125" style="168" customWidth="1"/>
    <col min="14088" max="14088" width="20.7109375" style="168" customWidth="1"/>
    <col min="14089" max="14089" width="28.5703125" style="168" customWidth="1"/>
    <col min="14090" max="14328" width="9.140625" style="168" customWidth="1"/>
    <col min="14329" max="14329" width="4.85546875" style="168" customWidth="1"/>
    <col min="14330" max="14338" width="34.140625" style="168"/>
    <col min="14339" max="14339" width="6.42578125" style="168" customWidth="1"/>
    <col min="14340" max="14340" width="51" style="168" customWidth="1"/>
    <col min="14341" max="14341" width="8.7109375" style="168" customWidth="1"/>
    <col min="14342" max="14342" width="13.7109375" style="168" customWidth="1"/>
    <col min="14343" max="14343" width="14.5703125" style="168" customWidth="1"/>
    <col min="14344" max="14344" width="20.7109375" style="168" customWidth="1"/>
    <col min="14345" max="14345" width="28.5703125" style="168" customWidth="1"/>
    <col min="14346" max="14584" width="9.140625" style="168" customWidth="1"/>
    <col min="14585" max="14585" width="4.85546875" style="168" customWidth="1"/>
    <col min="14586" max="14594" width="34.140625" style="168"/>
    <col min="14595" max="14595" width="6.42578125" style="168" customWidth="1"/>
    <col min="14596" max="14596" width="51" style="168" customWidth="1"/>
    <col min="14597" max="14597" width="8.7109375" style="168" customWidth="1"/>
    <col min="14598" max="14598" width="13.7109375" style="168" customWidth="1"/>
    <col min="14599" max="14599" width="14.5703125" style="168" customWidth="1"/>
    <col min="14600" max="14600" width="20.7109375" style="168" customWidth="1"/>
    <col min="14601" max="14601" width="28.5703125" style="168" customWidth="1"/>
    <col min="14602" max="14840" width="9.140625" style="168" customWidth="1"/>
    <col min="14841" max="14841" width="4.85546875" style="168" customWidth="1"/>
    <col min="14842" max="14850" width="34.140625" style="168"/>
    <col min="14851" max="14851" width="6.42578125" style="168" customWidth="1"/>
    <col min="14852" max="14852" width="51" style="168" customWidth="1"/>
    <col min="14853" max="14853" width="8.7109375" style="168" customWidth="1"/>
    <col min="14854" max="14854" width="13.7109375" style="168" customWidth="1"/>
    <col min="14855" max="14855" width="14.5703125" style="168" customWidth="1"/>
    <col min="14856" max="14856" width="20.7109375" style="168" customWidth="1"/>
    <col min="14857" max="14857" width="28.5703125" style="168" customWidth="1"/>
    <col min="14858" max="15096" width="9.140625" style="168" customWidth="1"/>
    <col min="15097" max="15097" width="4.85546875" style="168" customWidth="1"/>
    <col min="15098" max="15106" width="34.140625" style="168"/>
    <col min="15107" max="15107" width="6.42578125" style="168" customWidth="1"/>
    <col min="15108" max="15108" width="51" style="168" customWidth="1"/>
    <col min="15109" max="15109" width="8.7109375" style="168" customWidth="1"/>
    <col min="15110" max="15110" width="13.7109375" style="168" customWidth="1"/>
    <col min="15111" max="15111" width="14.5703125" style="168" customWidth="1"/>
    <col min="15112" max="15112" width="20.7109375" style="168" customWidth="1"/>
    <col min="15113" max="15113" width="28.5703125" style="168" customWidth="1"/>
    <col min="15114" max="15352" width="9.140625" style="168" customWidth="1"/>
    <col min="15353" max="15353" width="4.85546875" style="168" customWidth="1"/>
    <col min="15354" max="15362" width="34.140625" style="168"/>
    <col min="15363" max="15363" width="6.42578125" style="168" customWidth="1"/>
    <col min="15364" max="15364" width="51" style="168" customWidth="1"/>
    <col min="15365" max="15365" width="8.7109375" style="168" customWidth="1"/>
    <col min="15366" max="15366" width="13.7109375" style="168" customWidth="1"/>
    <col min="15367" max="15367" width="14.5703125" style="168" customWidth="1"/>
    <col min="15368" max="15368" width="20.7109375" style="168" customWidth="1"/>
    <col min="15369" max="15369" width="28.5703125" style="168" customWidth="1"/>
    <col min="15370" max="15608" width="9.140625" style="168" customWidth="1"/>
    <col min="15609" max="15609" width="4.85546875" style="168" customWidth="1"/>
    <col min="15610" max="15618" width="34.140625" style="168"/>
    <col min="15619" max="15619" width="6.42578125" style="168" customWidth="1"/>
    <col min="15620" max="15620" width="51" style="168" customWidth="1"/>
    <col min="15621" max="15621" width="8.7109375" style="168" customWidth="1"/>
    <col min="15622" max="15622" width="13.7109375" style="168" customWidth="1"/>
    <col min="15623" max="15623" width="14.5703125" style="168" customWidth="1"/>
    <col min="15624" max="15624" width="20.7109375" style="168" customWidth="1"/>
    <col min="15625" max="15625" width="28.5703125" style="168" customWidth="1"/>
    <col min="15626" max="15864" width="9.140625" style="168" customWidth="1"/>
    <col min="15865" max="15865" width="4.85546875" style="168" customWidth="1"/>
    <col min="15866" max="15874" width="34.140625" style="168"/>
    <col min="15875" max="15875" width="6.42578125" style="168" customWidth="1"/>
    <col min="15876" max="15876" width="51" style="168" customWidth="1"/>
    <col min="15877" max="15877" width="8.7109375" style="168" customWidth="1"/>
    <col min="15878" max="15878" width="13.7109375" style="168" customWidth="1"/>
    <col min="15879" max="15879" width="14.5703125" style="168" customWidth="1"/>
    <col min="15880" max="15880" width="20.7109375" style="168" customWidth="1"/>
    <col min="15881" max="15881" width="28.5703125" style="168" customWidth="1"/>
    <col min="15882" max="16120" width="9.140625" style="168" customWidth="1"/>
    <col min="16121" max="16121" width="4.85546875" style="168" customWidth="1"/>
    <col min="16122" max="16130" width="34.140625" style="168"/>
    <col min="16131" max="16131" width="6.42578125" style="168" customWidth="1"/>
    <col min="16132" max="16132" width="51" style="168" customWidth="1"/>
    <col min="16133" max="16133" width="8.7109375" style="168" customWidth="1"/>
    <col min="16134" max="16134" width="13.7109375" style="168" customWidth="1"/>
    <col min="16135" max="16135" width="14.5703125" style="168" customWidth="1"/>
    <col min="16136" max="16136" width="20.7109375" style="168" customWidth="1"/>
    <col min="16137" max="16137" width="28.5703125" style="168" customWidth="1"/>
    <col min="16138" max="16376" width="9.140625" style="168" customWidth="1"/>
    <col min="16377" max="16377" width="4.85546875" style="168" customWidth="1"/>
    <col min="16378" max="16384" width="34.140625" style="168"/>
  </cols>
  <sheetData>
    <row r="1" spans="1:14" s="32" customFormat="1" ht="35.25" customHeight="1" x14ac:dyDescent="0.25">
      <c r="A1" s="174" t="s">
        <v>307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</row>
    <row r="2" spans="1:14" s="32" customFormat="1" ht="23.25" customHeight="1" x14ac:dyDescent="0.25">
      <c r="A2" s="175" t="s">
        <v>381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</row>
    <row r="3" spans="1:14" ht="12" customHeight="1" x14ac:dyDescent="0.25">
      <c r="A3" s="165"/>
      <c r="B3" s="165"/>
      <c r="C3" s="165"/>
      <c r="D3" s="166"/>
      <c r="E3" s="167"/>
      <c r="F3" s="167"/>
      <c r="G3" s="167"/>
      <c r="H3" s="167"/>
      <c r="I3" s="165"/>
    </row>
    <row r="4" spans="1:14" ht="30" customHeight="1" x14ac:dyDescent="0.25">
      <c r="A4" s="236" t="s">
        <v>298</v>
      </c>
      <c r="B4" s="236" t="s">
        <v>299</v>
      </c>
      <c r="C4" s="236" t="s">
        <v>122</v>
      </c>
      <c r="D4" s="238" t="s">
        <v>300</v>
      </c>
      <c r="E4" s="217"/>
      <c r="F4" s="218"/>
      <c r="G4" s="216" t="s">
        <v>301</v>
      </c>
      <c r="H4" s="216" t="s">
        <v>312</v>
      </c>
      <c r="I4" s="234" t="s">
        <v>302</v>
      </c>
    </row>
    <row r="5" spans="1:14" s="169" customFormat="1" ht="30" customHeight="1" x14ac:dyDescent="0.25">
      <c r="A5" s="237"/>
      <c r="B5" s="237"/>
      <c r="C5" s="237"/>
      <c r="D5" s="239"/>
      <c r="E5" s="196" t="s">
        <v>308</v>
      </c>
      <c r="F5" s="196" t="s">
        <v>309</v>
      </c>
      <c r="G5" s="196" t="s">
        <v>310</v>
      </c>
      <c r="H5" s="196" t="s">
        <v>310</v>
      </c>
      <c r="I5" s="235"/>
    </row>
    <row r="6" spans="1:14" s="169" customFormat="1" ht="18" customHeight="1" x14ac:dyDescent="0.25">
      <c r="A6" s="177" t="s">
        <v>63</v>
      </c>
      <c r="B6" s="177" t="s">
        <v>64</v>
      </c>
      <c r="C6" s="177" t="s">
        <v>65</v>
      </c>
      <c r="D6" s="178" t="s">
        <v>66</v>
      </c>
      <c r="E6" s="178" t="s">
        <v>67</v>
      </c>
      <c r="F6" s="178" t="s">
        <v>68</v>
      </c>
      <c r="G6" s="178" t="s">
        <v>311</v>
      </c>
      <c r="H6" s="178" t="s">
        <v>317</v>
      </c>
      <c r="I6" s="179" t="s">
        <v>72</v>
      </c>
    </row>
    <row r="7" spans="1:14" ht="21.95" customHeight="1" x14ac:dyDescent="0.25">
      <c r="A7" s="197"/>
      <c r="B7" s="202" t="s">
        <v>143</v>
      </c>
      <c r="C7" s="198"/>
      <c r="D7" s="199"/>
      <c r="E7" s="200"/>
      <c r="F7" s="200"/>
      <c r="G7" s="200"/>
      <c r="H7" s="203">
        <f>SUBTOTAL(9,H8:H9)</f>
        <v>14582000.000000002</v>
      </c>
      <c r="I7" s="201"/>
      <c r="J7" s="220">
        <f>H7+H10</f>
        <v>76091389.882500008</v>
      </c>
    </row>
    <row r="8" spans="1:14" ht="21.95" customHeight="1" x14ac:dyDescent="0.25">
      <c r="A8" s="180">
        <v>1</v>
      </c>
      <c r="B8" s="181" t="s">
        <v>350</v>
      </c>
      <c r="C8" s="182" t="s">
        <v>326</v>
      </c>
      <c r="D8" s="263">
        <v>1</v>
      </c>
      <c r="E8" s="192"/>
      <c r="F8" s="192">
        <v>10000000</v>
      </c>
      <c r="G8" s="192">
        <f>E8+F8</f>
        <v>10000000</v>
      </c>
      <c r="H8" s="192">
        <f>D8*G8</f>
        <v>10000000</v>
      </c>
      <c r="I8" s="183"/>
    </row>
    <row r="9" spans="1:14" ht="21.95" customHeight="1" x14ac:dyDescent="0.25">
      <c r="A9" s="184">
        <v>2</v>
      </c>
      <c r="B9" s="185" t="s">
        <v>352</v>
      </c>
      <c r="C9" s="186" t="s">
        <v>2</v>
      </c>
      <c r="D9" s="241">
        <v>22.910000000000011</v>
      </c>
      <c r="E9" s="193">
        <v>150000</v>
      </c>
      <c r="F9" s="193">
        <v>50000</v>
      </c>
      <c r="G9" s="193">
        <v>200000</v>
      </c>
      <c r="H9" s="193">
        <f>D9*G9</f>
        <v>4582000.0000000019</v>
      </c>
      <c r="I9" s="187"/>
    </row>
    <row r="10" spans="1:14" ht="21.95" customHeight="1" x14ac:dyDescent="0.25">
      <c r="A10" s="197"/>
      <c r="B10" s="202" t="s">
        <v>354</v>
      </c>
      <c r="C10" s="198"/>
      <c r="D10" s="252"/>
      <c r="E10" s="200"/>
      <c r="F10" s="200"/>
      <c r="G10" s="200"/>
      <c r="H10" s="203">
        <f>SUBTOTAL(9,H11:H14)</f>
        <v>61509389.8825</v>
      </c>
      <c r="I10" s="201"/>
      <c r="K10" s="168">
        <v>215.64</v>
      </c>
      <c r="L10" s="219">
        <f>H10/K10</f>
        <v>285241.09572667413</v>
      </c>
    </row>
    <row r="11" spans="1:14" ht="21.95" customHeight="1" x14ac:dyDescent="0.25">
      <c r="A11" s="184">
        <v>3</v>
      </c>
      <c r="B11" s="185" t="s">
        <v>363</v>
      </c>
      <c r="C11" s="186" t="s">
        <v>2</v>
      </c>
      <c r="D11" s="241">
        <v>13</v>
      </c>
      <c r="E11" s="193">
        <v>1050000</v>
      </c>
      <c r="F11" s="193"/>
      <c r="G11" s="193">
        <f>E11</f>
        <v>1050000</v>
      </c>
      <c r="H11" s="193">
        <f>D11*G11</f>
        <v>13650000</v>
      </c>
      <c r="I11" s="187"/>
      <c r="K11" s="168">
        <v>215.64</v>
      </c>
      <c r="L11" s="219">
        <v>3800000</v>
      </c>
      <c r="M11" s="219">
        <f>L11*K11</f>
        <v>819432000</v>
      </c>
    </row>
    <row r="12" spans="1:14" ht="21.95" customHeight="1" x14ac:dyDescent="0.25">
      <c r="A12" s="184">
        <v>4</v>
      </c>
      <c r="B12" s="185" t="s">
        <v>371</v>
      </c>
      <c r="C12" s="186" t="s">
        <v>2</v>
      </c>
      <c r="D12" s="241">
        <v>27</v>
      </c>
      <c r="E12" s="193">
        <v>1024421.8475</v>
      </c>
      <c r="F12" s="193"/>
      <c r="G12" s="193">
        <f t="shared" ref="G12:G14" si="0">E12+F12</f>
        <v>1024421.8475</v>
      </c>
      <c r="H12" s="193">
        <f>D12*G12</f>
        <v>27659389.8825</v>
      </c>
      <c r="I12" s="187"/>
    </row>
    <row r="13" spans="1:14" ht="21.95" customHeight="1" x14ac:dyDescent="0.25">
      <c r="A13" s="184">
        <v>5</v>
      </c>
      <c r="B13" s="185" t="s">
        <v>372</v>
      </c>
      <c r="C13" s="186" t="s">
        <v>4</v>
      </c>
      <c r="D13" s="241">
        <v>385</v>
      </c>
      <c r="E13" s="193">
        <v>20000</v>
      </c>
      <c r="F13" s="193"/>
      <c r="G13" s="193">
        <f t="shared" si="0"/>
        <v>20000</v>
      </c>
      <c r="H13" s="193">
        <f>D13*G13</f>
        <v>7700000</v>
      </c>
      <c r="I13" s="187"/>
    </row>
    <row r="14" spans="1:14" ht="21.95" customHeight="1" x14ac:dyDescent="0.25">
      <c r="A14" s="184">
        <v>6</v>
      </c>
      <c r="B14" s="185" t="s">
        <v>373</v>
      </c>
      <c r="C14" s="186" t="s">
        <v>321</v>
      </c>
      <c r="D14" s="241">
        <v>1000</v>
      </c>
      <c r="E14" s="193">
        <v>12500</v>
      </c>
      <c r="F14" s="193"/>
      <c r="G14" s="193">
        <f t="shared" si="0"/>
        <v>12500</v>
      </c>
      <c r="H14" s="193">
        <f>D14*G14</f>
        <v>12500000</v>
      </c>
      <c r="I14" s="187"/>
    </row>
    <row r="15" spans="1:14" ht="21.95" customHeight="1" x14ac:dyDescent="0.25">
      <c r="A15" s="197"/>
      <c r="B15" s="202" t="s">
        <v>306</v>
      </c>
      <c r="C15" s="198"/>
      <c r="D15" s="252"/>
      <c r="E15" s="200"/>
      <c r="F15" s="200"/>
      <c r="G15" s="200"/>
      <c r="H15" s="203">
        <f>SUBTOTAL(9,H16:H21)</f>
        <v>99120000</v>
      </c>
      <c r="I15" s="201"/>
    </row>
    <row r="16" spans="1:14" ht="21.95" customHeight="1" x14ac:dyDescent="0.25">
      <c r="A16" s="184">
        <v>7</v>
      </c>
      <c r="B16" s="185" t="s">
        <v>374</v>
      </c>
      <c r="C16" s="186" t="str">
        <f>VLOOKUP('Giá vốn'!$A16,THKL,4,0)</f>
        <v>m2</v>
      </c>
      <c r="D16" s="241">
        <v>55</v>
      </c>
      <c r="E16" s="193"/>
      <c r="F16" s="193"/>
      <c r="G16" s="193">
        <v>150000</v>
      </c>
      <c r="H16" s="193">
        <f>D16*G16</f>
        <v>8250000</v>
      </c>
      <c r="I16" s="187"/>
      <c r="K16" s="221">
        <f>G16*1.15</f>
        <v>172500</v>
      </c>
    </row>
    <row r="17" spans="1:12" ht="21.95" customHeight="1" x14ac:dyDescent="0.25">
      <c r="A17" s="184">
        <v>8</v>
      </c>
      <c r="B17" s="185" t="s">
        <v>375</v>
      </c>
      <c r="C17" s="186" t="s">
        <v>4</v>
      </c>
      <c r="D17" s="241">
        <v>14</v>
      </c>
      <c r="E17" s="193"/>
      <c r="F17" s="193"/>
      <c r="G17" s="193">
        <v>2500000</v>
      </c>
      <c r="H17" s="193">
        <f>D17*G17</f>
        <v>35000000</v>
      </c>
      <c r="I17" s="187"/>
      <c r="K17" s="221">
        <f>G17*1.15</f>
        <v>2875000</v>
      </c>
    </row>
    <row r="18" spans="1:12" ht="21.95" customHeight="1" x14ac:dyDescent="0.25">
      <c r="A18" s="184">
        <v>9</v>
      </c>
      <c r="B18" s="188" t="s">
        <v>376</v>
      </c>
      <c r="C18" s="213" t="s">
        <v>4</v>
      </c>
      <c r="D18" s="253">
        <v>9.6</v>
      </c>
      <c r="E18" s="214"/>
      <c r="F18" s="214"/>
      <c r="G18" s="214">
        <v>1700000</v>
      </c>
      <c r="H18" s="214">
        <f>D18*G18</f>
        <v>16320000</v>
      </c>
      <c r="I18" s="215"/>
      <c r="K18" s="221"/>
    </row>
    <row r="19" spans="1:12" ht="21.95" customHeight="1" x14ac:dyDescent="0.25">
      <c r="A19" s="247">
        <v>10</v>
      </c>
      <c r="B19" s="248" t="s">
        <v>378</v>
      </c>
      <c r="C19" s="249" t="s">
        <v>4</v>
      </c>
      <c r="D19" s="261">
        <f>45*1.3</f>
        <v>58.5</v>
      </c>
      <c r="E19" s="250"/>
      <c r="F19" s="250"/>
      <c r="G19" s="250">
        <v>300000</v>
      </c>
      <c r="H19" s="214">
        <f>D19*G19</f>
        <v>17550000</v>
      </c>
      <c r="I19" s="251"/>
      <c r="K19" s="221"/>
    </row>
    <row r="20" spans="1:12" ht="21.95" customHeight="1" x14ac:dyDescent="0.25">
      <c r="A20" s="247">
        <v>11</v>
      </c>
      <c r="B20" s="248" t="s">
        <v>379</v>
      </c>
      <c r="C20" s="249" t="s">
        <v>326</v>
      </c>
      <c r="D20" s="261">
        <v>1</v>
      </c>
      <c r="E20" s="250"/>
      <c r="F20" s="250"/>
      <c r="G20" s="250">
        <v>7000000</v>
      </c>
      <c r="H20" s="214">
        <f>D20*G20</f>
        <v>7000000</v>
      </c>
      <c r="I20" s="251"/>
      <c r="K20" s="221"/>
    </row>
    <row r="21" spans="1:12" ht="21.95" customHeight="1" x14ac:dyDescent="0.25">
      <c r="A21" s="242">
        <v>12</v>
      </c>
      <c r="B21" s="243" t="s">
        <v>380</v>
      </c>
      <c r="C21" s="244" t="s">
        <v>326</v>
      </c>
      <c r="D21" s="262">
        <v>1</v>
      </c>
      <c r="E21" s="245"/>
      <c r="F21" s="245"/>
      <c r="G21" s="245">
        <v>15000000</v>
      </c>
      <c r="H21" s="245">
        <f>D21*G21</f>
        <v>15000000</v>
      </c>
      <c r="I21" s="246"/>
      <c r="K21" s="221"/>
    </row>
    <row r="22" spans="1:12" s="170" customFormat="1" ht="20.100000000000001" customHeight="1" x14ac:dyDescent="0.25">
      <c r="A22" s="189"/>
      <c r="B22" s="190" t="s">
        <v>303</v>
      </c>
      <c r="C22" s="191"/>
      <c r="D22" s="194"/>
      <c r="E22" s="195"/>
      <c r="F22" s="195"/>
      <c r="G22" s="195"/>
      <c r="H22" s="209">
        <f>SUBTOTAL(9,H7:H21)</f>
        <v>175211389.88249999</v>
      </c>
      <c r="I22" s="191"/>
      <c r="K22" s="168">
        <v>211.23</v>
      </c>
      <c r="L22" s="219">
        <f>H22/K22</f>
        <v>829481.55982814939</v>
      </c>
    </row>
    <row r="23" spans="1:12" s="169" customFormat="1" x14ac:dyDescent="0.25">
      <c r="A23" s="257"/>
      <c r="B23" s="258" t="s">
        <v>377</v>
      </c>
      <c r="C23" s="258" t="s">
        <v>4</v>
      </c>
      <c r="D23" s="259">
        <v>51</v>
      </c>
      <c r="E23" s="260"/>
      <c r="F23" s="260"/>
      <c r="G23" s="260">
        <v>850000</v>
      </c>
      <c r="H23" s="256">
        <f>D23*G23</f>
        <v>43350000</v>
      </c>
      <c r="I23" s="258"/>
    </row>
    <row r="24" spans="1:12" x14ac:dyDescent="0.25">
      <c r="A24" s="246"/>
      <c r="B24" s="246"/>
      <c r="C24" s="246"/>
      <c r="D24" s="242"/>
      <c r="E24" s="254"/>
      <c r="F24" s="254"/>
      <c r="G24" s="254"/>
      <c r="H24" s="255">
        <f>H22+H23</f>
        <v>218561389.88249999</v>
      </c>
      <c r="I24" s="246"/>
    </row>
  </sheetData>
  <mergeCells count="5">
    <mergeCell ref="I4:I5"/>
    <mergeCell ref="A4:A5"/>
    <mergeCell ref="B4:B5"/>
    <mergeCell ref="C4:C5"/>
    <mergeCell ref="D4:D5"/>
  </mergeCells>
  <pageMargins left="0.511811023622047" right="0.23622047244094499" top="0.82677165354330695" bottom="0.39370078740157499" header="0.196850393700787" footer="0.15748031496063"/>
  <pageSetup paperSize="9" scale="60" fitToHeight="0" orientation="landscape" horizontalDpi="1200" verticalDpi="1200" r:id="rId1"/>
  <headerFooter>
    <oddFooter>&amp;L&amp;"Segoe UI,Regular"&amp;A&amp;C&amp;"Segoe UI,Regular"&amp;P/&amp;N&amp;R&amp;"Segoe UI,Regular"&amp;F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O35"/>
  <sheetViews>
    <sheetView zoomScale="70" zoomScaleNormal="70" workbookViewId="0">
      <selection activeCell="L21" sqref="L21"/>
    </sheetView>
  </sheetViews>
  <sheetFormatPr defaultRowHeight="15.75" x14ac:dyDescent="0.25"/>
  <cols>
    <col min="1" max="1" width="11.7109375" style="204" customWidth="1"/>
    <col min="2" max="2" width="19.5703125" style="204" customWidth="1"/>
    <col min="3" max="3" width="12.7109375" style="204" customWidth="1"/>
    <col min="4" max="4" width="13.42578125" style="204" customWidth="1"/>
    <col min="5" max="5" width="14.42578125" style="204" customWidth="1"/>
    <col min="6" max="6" width="9.140625" style="204"/>
    <col min="7" max="7" width="11.85546875" style="204" customWidth="1"/>
    <col min="8" max="8" width="9.140625" style="204"/>
    <col min="9" max="9" width="13.140625" style="204" customWidth="1"/>
    <col min="10" max="10" width="9.140625" style="204"/>
    <col min="11" max="11" width="15.140625" style="204" customWidth="1"/>
    <col min="12" max="12" width="12" style="204" customWidth="1"/>
    <col min="13" max="13" width="13.85546875" style="204" customWidth="1"/>
    <col min="14" max="14" width="9.140625" style="204"/>
    <col min="15" max="15" width="10.28515625" style="204" bestFit="1" customWidth="1"/>
    <col min="16" max="16" width="13.85546875" style="204" customWidth="1"/>
    <col min="17" max="16384" width="9.140625" style="204"/>
  </cols>
  <sheetData>
    <row r="2" spans="2:15" x14ac:dyDescent="0.25">
      <c r="C2" s="207" t="s">
        <v>334</v>
      </c>
      <c r="D2" s="207" t="s">
        <v>301</v>
      </c>
      <c r="E2" s="207" t="s">
        <v>312</v>
      </c>
    </row>
    <row r="3" spans="2:15" x14ac:dyDescent="0.25">
      <c r="B3" s="204" t="s">
        <v>339</v>
      </c>
      <c r="F3" s="204" t="e">
        <f>'Giá vốn'!#REF!+'Giá vốn'!#REF!</f>
        <v>#REF!</v>
      </c>
    </row>
    <row r="4" spans="2:15" x14ac:dyDescent="0.25">
      <c r="B4" s="206" t="s">
        <v>329</v>
      </c>
      <c r="C4" s="204">
        <v>564</v>
      </c>
      <c r="D4" s="204">
        <f>VLOOKUP(B4,$J$6:$M$12,4,0)</f>
        <v>1627.5</v>
      </c>
      <c r="E4" s="205">
        <f>C4*D4</f>
        <v>917910</v>
      </c>
      <c r="G4" s="204" t="e">
        <f>C4*$F$3</f>
        <v>#REF!</v>
      </c>
    </row>
    <row r="5" spans="2:15" x14ac:dyDescent="0.25">
      <c r="B5" s="206" t="s">
        <v>341</v>
      </c>
      <c r="C5" s="204">
        <v>91.769300000000001</v>
      </c>
      <c r="D5" s="204">
        <f t="shared" ref="D5:D33" si="0">VLOOKUP(B5,$J$6:$M$12,4,0)</f>
        <v>1575</v>
      </c>
      <c r="E5" s="205">
        <f>C5*D5</f>
        <v>144536.64749999999</v>
      </c>
      <c r="G5" s="204" t="e">
        <f t="shared" ref="G5:G6" si="1">C5*$F$3</f>
        <v>#REF!</v>
      </c>
    </row>
    <row r="6" spans="2:15" x14ac:dyDescent="0.25">
      <c r="B6" s="206" t="s">
        <v>336</v>
      </c>
      <c r="C6" s="204">
        <v>0.34720000000000001</v>
      </c>
      <c r="D6" s="204">
        <f t="shared" si="0"/>
        <v>178500</v>
      </c>
      <c r="E6" s="205">
        <f>C6*D6</f>
        <v>61975.200000000004</v>
      </c>
      <c r="G6" s="204" t="e">
        <f t="shared" si="1"/>
        <v>#REF!</v>
      </c>
      <c r="J6" s="206" t="s">
        <v>329</v>
      </c>
      <c r="K6" s="211" t="e">
        <f>SUMIF($B$3:$B$35,J6,$G$3:$G$35)</f>
        <v>#REF!</v>
      </c>
      <c r="L6" s="210" t="s">
        <v>346</v>
      </c>
      <c r="M6" s="204">
        <f>1550*1.05</f>
        <v>1627.5</v>
      </c>
    </row>
    <row r="7" spans="2:15" x14ac:dyDescent="0.25">
      <c r="E7" s="208">
        <f>SUM(E4:E6)</f>
        <v>1124421.8474999999</v>
      </c>
      <c r="J7" s="206" t="s">
        <v>341</v>
      </c>
      <c r="K7" s="211" t="e">
        <f t="shared" ref="K7:K12" si="2">SUMIF($B$3:$B$35,J7,$G$3:$G$35)</f>
        <v>#REF!</v>
      </c>
      <c r="L7" s="210" t="s">
        <v>321</v>
      </c>
      <c r="M7" s="204">
        <f>1500*1.05</f>
        <v>1575</v>
      </c>
      <c r="O7" s="212"/>
    </row>
    <row r="8" spans="2:15" x14ac:dyDescent="0.25">
      <c r="B8" s="204" t="s">
        <v>340</v>
      </c>
      <c r="F8" s="204" t="e">
        <f>'Giá vốn'!D16+'Giá vốn'!#REF!</f>
        <v>#REF!</v>
      </c>
      <c r="J8" s="206" t="s">
        <v>336</v>
      </c>
      <c r="K8" s="211" t="e">
        <f t="shared" si="2"/>
        <v>#REF!</v>
      </c>
      <c r="L8" s="210" t="s">
        <v>2</v>
      </c>
      <c r="M8" s="204">
        <f>170000*1.05</f>
        <v>178500</v>
      </c>
      <c r="O8" s="212"/>
    </row>
    <row r="9" spans="2:15" x14ac:dyDescent="0.25">
      <c r="B9" s="206" t="s">
        <v>329</v>
      </c>
      <c r="C9" s="204">
        <v>660</v>
      </c>
      <c r="D9" s="204">
        <f t="shared" si="0"/>
        <v>1627.5</v>
      </c>
      <c r="E9" s="205">
        <f>C9*D9</f>
        <v>1074150</v>
      </c>
      <c r="G9" s="204" t="e">
        <f>C9*$F$8</f>
        <v>#REF!</v>
      </c>
      <c r="J9" s="206" t="s">
        <v>342</v>
      </c>
      <c r="K9" s="211" t="e">
        <f t="shared" si="2"/>
        <v>#REF!</v>
      </c>
      <c r="L9" s="210" t="s">
        <v>2</v>
      </c>
      <c r="M9" s="204">
        <f>130000*1.05</f>
        <v>136500</v>
      </c>
      <c r="O9" s="212"/>
    </row>
    <row r="10" spans="2:15" x14ac:dyDescent="0.25">
      <c r="B10" s="206" t="s">
        <v>341</v>
      </c>
      <c r="C10" s="204">
        <v>74</v>
      </c>
      <c r="D10" s="204">
        <f t="shared" si="0"/>
        <v>1575</v>
      </c>
      <c r="E10" s="205">
        <f>C10*D10</f>
        <v>116550</v>
      </c>
      <c r="G10" s="204" t="e">
        <f t="shared" ref="G10:G11" si="3">C10*$F$8</f>
        <v>#REF!</v>
      </c>
      <c r="J10" s="206" t="s">
        <v>335</v>
      </c>
      <c r="K10" s="211" t="e">
        <f t="shared" si="2"/>
        <v>#REF!</v>
      </c>
      <c r="L10" s="210" t="s">
        <v>2</v>
      </c>
      <c r="M10" s="204">
        <f>250000*1.05</f>
        <v>262500</v>
      </c>
      <c r="O10" s="212"/>
    </row>
    <row r="11" spans="2:15" x14ac:dyDescent="0.25">
      <c r="B11" s="206" t="s">
        <v>336</v>
      </c>
      <c r="C11" s="204">
        <v>0.28000000000000003</v>
      </c>
      <c r="D11" s="204">
        <f t="shared" si="0"/>
        <v>178500</v>
      </c>
      <c r="E11" s="205">
        <f>C11*D11</f>
        <v>49980.000000000007</v>
      </c>
      <c r="G11" s="204" t="e">
        <f t="shared" si="3"/>
        <v>#REF!</v>
      </c>
      <c r="J11" s="206" t="s">
        <v>337</v>
      </c>
      <c r="K11" s="211" t="e">
        <f t="shared" si="2"/>
        <v>#REF!</v>
      </c>
      <c r="L11" s="210" t="s">
        <v>2</v>
      </c>
      <c r="M11" s="204">
        <f>250000*1.05</f>
        <v>262500</v>
      </c>
      <c r="O11" s="212"/>
    </row>
    <row r="12" spans="2:15" x14ac:dyDescent="0.25">
      <c r="E12" s="208">
        <f>SUM(E9:E11)</f>
        <v>1240680</v>
      </c>
      <c r="J12" s="206" t="s">
        <v>327</v>
      </c>
      <c r="K12" s="211" t="e">
        <f t="shared" si="2"/>
        <v>#REF!</v>
      </c>
      <c r="L12" s="210" t="s">
        <v>2</v>
      </c>
      <c r="M12" s="204">
        <f>110000*1.05</f>
        <v>115500</v>
      </c>
      <c r="O12" s="212"/>
    </row>
    <row r="13" spans="2:15" x14ac:dyDescent="0.25">
      <c r="B13" s="204" t="s">
        <v>328</v>
      </c>
      <c r="F13" s="204" t="e">
        <f>'Giá vốn'!#REF!+'Giá vốn'!#REF!+'Giá vốn'!#REF!+'Giá vốn'!#REF!</f>
        <v>#REF!</v>
      </c>
      <c r="O13" s="212"/>
    </row>
    <row r="14" spans="2:15" x14ac:dyDescent="0.25">
      <c r="B14" s="206" t="s">
        <v>341</v>
      </c>
      <c r="C14" s="204">
        <v>6.4807199999999998</v>
      </c>
      <c r="D14" s="204">
        <f t="shared" si="0"/>
        <v>1575</v>
      </c>
      <c r="E14" s="205">
        <f>C14*D14</f>
        <v>10207.134</v>
      </c>
      <c r="G14" s="204" t="e">
        <f>C14*$F$13</f>
        <v>#REF!</v>
      </c>
    </row>
    <row r="15" spans="2:15" x14ac:dyDescent="0.25">
      <c r="B15" s="206" t="s">
        <v>342</v>
      </c>
      <c r="C15" s="204">
        <v>1.189E-2</v>
      </c>
      <c r="D15" s="204">
        <f t="shared" si="0"/>
        <v>136500</v>
      </c>
      <c r="E15" s="205">
        <f>C15*D15</f>
        <v>1622.9849999999999</v>
      </c>
      <c r="G15" s="204" t="e">
        <f>C15*$F$13</f>
        <v>#REF!</v>
      </c>
    </row>
    <row r="16" spans="2:15" x14ac:dyDescent="0.25">
      <c r="E16" s="208">
        <f>SUM(E14:E15)</f>
        <v>11830.119000000001</v>
      </c>
    </row>
    <row r="17" spans="2:7" x14ac:dyDescent="0.25">
      <c r="B17" s="204" t="s">
        <v>343</v>
      </c>
      <c r="F17" s="204" t="e">
        <f>+'Giá vốn'!#REF!</f>
        <v>#REF!</v>
      </c>
    </row>
    <row r="18" spans="2:7" x14ac:dyDescent="0.25">
      <c r="B18" s="206" t="s">
        <v>341</v>
      </c>
      <c r="C18" s="204">
        <v>6.12</v>
      </c>
      <c r="D18" s="204">
        <f t="shared" si="0"/>
        <v>1575</v>
      </c>
      <c r="E18" s="205">
        <f>C18*D18</f>
        <v>9639</v>
      </c>
      <c r="G18" s="204" t="e">
        <f>C18*$F$17</f>
        <v>#REF!</v>
      </c>
    </row>
    <row r="19" spans="2:7" x14ac:dyDescent="0.25">
      <c r="B19" s="206" t="s">
        <v>342</v>
      </c>
      <c r="C19" s="204">
        <v>1.7850000000000001E-2</v>
      </c>
      <c r="D19" s="204">
        <f t="shared" si="0"/>
        <v>136500</v>
      </c>
      <c r="E19" s="205">
        <f>C19*D19</f>
        <v>2436.5250000000001</v>
      </c>
      <c r="G19" s="204" t="e">
        <f>C19*$F$17</f>
        <v>#REF!</v>
      </c>
    </row>
    <row r="20" spans="2:7" x14ac:dyDescent="0.25">
      <c r="E20" s="208">
        <f>SUM(E18:E19)</f>
        <v>12075.525</v>
      </c>
    </row>
    <row r="21" spans="2:7" x14ac:dyDescent="0.25">
      <c r="B21" s="204" t="s">
        <v>333</v>
      </c>
      <c r="F21" s="204" t="e">
        <f>'Giá vốn'!D9+'Giá vốn'!#REF!</f>
        <v>#REF!</v>
      </c>
    </row>
    <row r="22" spans="2:7" x14ac:dyDescent="0.25">
      <c r="B22" s="206" t="s">
        <v>341</v>
      </c>
      <c r="C22" s="204">
        <v>200.85</v>
      </c>
      <c r="D22" s="204">
        <f t="shared" si="0"/>
        <v>1575</v>
      </c>
      <c r="E22" s="205">
        <f>C22*D22</f>
        <v>316338.75</v>
      </c>
      <c r="G22" s="204" t="e">
        <f>$F$21*C22</f>
        <v>#REF!</v>
      </c>
    </row>
    <row r="23" spans="2:7" x14ac:dyDescent="0.25">
      <c r="B23" s="206" t="s">
        <v>335</v>
      </c>
      <c r="C23" s="204">
        <v>0.93627000000000005</v>
      </c>
      <c r="D23" s="204">
        <f t="shared" si="0"/>
        <v>262500</v>
      </c>
      <c r="E23" s="205">
        <f>C23*D23</f>
        <v>245770.875</v>
      </c>
      <c r="G23" s="204" t="e">
        <f>$F$21*C23</f>
        <v>#REF!</v>
      </c>
    </row>
    <row r="24" spans="2:7" x14ac:dyDescent="0.25">
      <c r="B24" s="206" t="s">
        <v>336</v>
      </c>
      <c r="C24" s="204">
        <v>0.53147999999999995</v>
      </c>
      <c r="D24" s="204">
        <f t="shared" si="0"/>
        <v>178500</v>
      </c>
      <c r="E24" s="205">
        <f>C24*D24</f>
        <v>94869.18</v>
      </c>
      <c r="G24" s="204" t="e">
        <f t="shared" ref="G24" si="4">$F$21*C24</f>
        <v>#REF!</v>
      </c>
    </row>
    <row r="25" spans="2:7" x14ac:dyDescent="0.25">
      <c r="E25" s="208">
        <f>SUM(E22:E24)</f>
        <v>656978.80499999993</v>
      </c>
    </row>
    <row r="26" spans="2:7" x14ac:dyDescent="0.25">
      <c r="B26" s="204" t="s">
        <v>338</v>
      </c>
      <c r="F26" s="204" t="e">
        <f>'Giá vốn'!D11+'Giá vốn'!D13+'Giá vốn'!#REF!+'Giá vốn'!#REF!+'Giá vốn'!#REF!+'Giá vốn'!#REF!+'Giá vốn'!#REF!+'Giá vốn'!#REF!+'Giá vốn'!#REF!</f>
        <v>#REF!</v>
      </c>
    </row>
    <row r="27" spans="2:7" x14ac:dyDescent="0.25">
      <c r="B27" s="206" t="s">
        <v>341</v>
      </c>
      <c r="C27" s="204">
        <v>335.17500000000001</v>
      </c>
      <c r="D27" s="204">
        <f t="shared" si="0"/>
        <v>1575</v>
      </c>
      <c r="E27" s="205">
        <f>C27*D27</f>
        <v>527900.625</v>
      </c>
      <c r="G27" s="204" t="e">
        <f>$F$26*C27</f>
        <v>#REF!</v>
      </c>
    </row>
    <row r="28" spans="2:7" x14ac:dyDescent="0.25">
      <c r="B28" s="206" t="s">
        <v>337</v>
      </c>
      <c r="C28" s="204">
        <v>0.90302499999999997</v>
      </c>
      <c r="D28" s="204">
        <f t="shared" si="0"/>
        <v>262500</v>
      </c>
      <c r="E28" s="205">
        <f>C28*D28</f>
        <v>237044.0625</v>
      </c>
      <c r="G28" s="204" t="e">
        <f t="shared" ref="G28" si="5">$F$26*C28</f>
        <v>#REF!</v>
      </c>
    </row>
    <row r="29" spans="2:7" x14ac:dyDescent="0.25">
      <c r="B29" s="206" t="s">
        <v>336</v>
      </c>
      <c r="C29" s="204">
        <v>0.486875</v>
      </c>
      <c r="D29" s="204">
        <f t="shared" si="0"/>
        <v>178500</v>
      </c>
      <c r="E29" s="205">
        <f>C29*D29</f>
        <v>86907.1875</v>
      </c>
      <c r="G29" s="204" t="e">
        <f>$F$26*C29</f>
        <v>#REF!</v>
      </c>
    </row>
    <row r="30" spans="2:7" x14ac:dyDescent="0.25">
      <c r="E30" s="208">
        <f>SUM(E27:E29)</f>
        <v>851851.875</v>
      </c>
    </row>
    <row r="31" spans="2:7" x14ac:dyDescent="0.25">
      <c r="B31" s="204" t="s">
        <v>344</v>
      </c>
      <c r="F31" s="204" t="e">
        <f>'Giá vốn'!#REF!+'Giá vốn'!#REF!+'Giá vốn'!#REF!+'Giá vốn'!#REF!+'Giá vốn'!#REF!</f>
        <v>#REF!</v>
      </c>
    </row>
    <row r="32" spans="2:7" x14ac:dyDescent="0.25">
      <c r="B32" s="206" t="s">
        <v>341</v>
      </c>
      <c r="C32" s="204">
        <v>8.1</v>
      </c>
      <c r="D32" s="204">
        <f t="shared" si="0"/>
        <v>1575</v>
      </c>
      <c r="E32" s="205">
        <f>C32*D32</f>
        <v>12757.5</v>
      </c>
      <c r="G32" s="204" t="e">
        <f>$F$31*C32</f>
        <v>#REF!</v>
      </c>
    </row>
    <row r="33" spans="2:7" x14ac:dyDescent="0.25">
      <c r="B33" s="206" t="s">
        <v>327</v>
      </c>
      <c r="C33" s="204">
        <v>2.725E-2</v>
      </c>
      <c r="D33" s="204">
        <f t="shared" si="0"/>
        <v>115500</v>
      </c>
      <c r="E33" s="205">
        <f>C33*D33</f>
        <v>3147.375</v>
      </c>
      <c r="G33" s="204" t="e">
        <f t="shared" ref="G33" si="6">$F$31*C33</f>
        <v>#REF!</v>
      </c>
    </row>
    <row r="34" spans="2:7" x14ac:dyDescent="0.25">
      <c r="B34" s="206" t="s">
        <v>345</v>
      </c>
      <c r="C34" s="204">
        <v>1</v>
      </c>
      <c r="D34" s="204">
        <v>5000</v>
      </c>
      <c r="E34" s="205">
        <f>C34*D34</f>
        <v>5000</v>
      </c>
      <c r="G34" s="204" t="e">
        <f>$F$31*C34</f>
        <v>#REF!</v>
      </c>
    </row>
    <row r="35" spans="2:7" x14ac:dyDescent="0.25">
      <c r="E35" s="208">
        <f>SUM(E32:E34)</f>
        <v>20904.875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44"/>
  <sheetViews>
    <sheetView topLeftCell="A25" workbookViewId="0">
      <selection activeCell="E34" sqref="E34"/>
    </sheetView>
  </sheetViews>
  <sheetFormatPr defaultRowHeight="15" x14ac:dyDescent="0.25"/>
  <cols>
    <col min="1" max="4" width="9.140625" style="26"/>
    <col min="5" max="5" width="11.28515625" style="26" customWidth="1"/>
    <col min="6" max="16384" width="9.140625" style="26"/>
  </cols>
  <sheetData>
    <row r="1" spans="1:24" x14ac:dyDescent="0.25">
      <c r="A1" s="240" t="s">
        <v>80</v>
      </c>
      <c r="B1" s="240"/>
      <c r="C1" s="240"/>
      <c r="D1" s="240"/>
      <c r="E1" s="240"/>
      <c r="F1" s="240"/>
      <c r="G1" s="240"/>
      <c r="H1" s="240"/>
    </row>
    <row r="2" spans="1:24" x14ac:dyDescent="0.25">
      <c r="F2" s="26" t="s">
        <v>118</v>
      </c>
      <c r="G2" s="240" t="s">
        <v>95</v>
      </c>
      <c r="H2" s="240"/>
      <c r="I2" s="240" t="s">
        <v>96</v>
      </c>
      <c r="J2" s="240"/>
      <c r="K2" s="240" t="s">
        <v>97</v>
      </c>
      <c r="L2" s="240"/>
      <c r="M2" s="240" t="s">
        <v>98</v>
      </c>
      <c r="N2" s="240"/>
      <c r="O2" s="240" t="s">
        <v>99</v>
      </c>
      <c r="P2" s="240"/>
      <c r="Q2" s="240" t="s">
        <v>100</v>
      </c>
      <c r="R2" s="240"/>
      <c r="S2" s="240" t="s">
        <v>101</v>
      </c>
      <c r="T2" s="240"/>
      <c r="U2" s="240" t="s">
        <v>108</v>
      </c>
      <c r="V2" s="240"/>
      <c r="W2" s="240" t="s">
        <v>109</v>
      </c>
      <c r="X2" s="240"/>
    </row>
    <row r="3" spans="1:24" s="27" customFormat="1" ht="14.25" x14ac:dyDescent="0.25">
      <c r="B3" s="28" t="s">
        <v>88</v>
      </c>
      <c r="C3" s="28" t="s">
        <v>89</v>
      </c>
      <c r="D3" s="28" t="s">
        <v>90</v>
      </c>
      <c r="E3" s="28" t="s">
        <v>92</v>
      </c>
      <c r="F3" s="28" t="s">
        <v>91</v>
      </c>
      <c r="G3" s="28" t="s">
        <v>93</v>
      </c>
      <c r="H3" s="28" t="s">
        <v>94</v>
      </c>
      <c r="I3" s="28" t="s">
        <v>93</v>
      </c>
      <c r="J3" s="28" t="s">
        <v>94</v>
      </c>
      <c r="K3" s="28" t="s">
        <v>93</v>
      </c>
      <c r="L3" s="28" t="s">
        <v>94</v>
      </c>
      <c r="M3" s="28" t="s">
        <v>93</v>
      </c>
      <c r="N3" s="28" t="s">
        <v>94</v>
      </c>
      <c r="O3" s="28" t="s">
        <v>93</v>
      </c>
      <c r="P3" s="28" t="s">
        <v>94</v>
      </c>
      <c r="Q3" s="28" t="s">
        <v>93</v>
      </c>
      <c r="R3" s="28" t="s">
        <v>94</v>
      </c>
      <c r="S3" s="28" t="s">
        <v>93</v>
      </c>
      <c r="T3" s="28" t="s">
        <v>94</v>
      </c>
      <c r="U3" s="28" t="s">
        <v>93</v>
      </c>
      <c r="V3" s="28" t="s">
        <v>94</v>
      </c>
      <c r="W3" s="28" t="s">
        <v>93</v>
      </c>
      <c r="X3" s="28" t="s">
        <v>94</v>
      </c>
    </row>
    <row r="4" spans="1:24" x14ac:dyDescent="0.25">
      <c r="A4" s="28" t="s">
        <v>81</v>
      </c>
      <c r="B4" s="26">
        <v>1.6</v>
      </c>
      <c r="C4" s="26">
        <f>B4</f>
        <v>1.6</v>
      </c>
      <c r="D4" s="26">
        <v>0.12</v>
      </c>
      <c r="E4" s="26">
        <v>1</v>
      </c>
      <c r="F4" s="26">
        <f>B4*4*D4*E4</f>
        <v>0.76800000000000002</v>
      </c>
      <c r="G4" s="26">
        <f>(16+14)/64</f>
        <v>0.46875</v>
      </c>
      <c r="H4" s="26">
        <f>$F4*G4</f>
        <v>0.36</v>
      </c>
      <c r="I4" s="26">
        <f>(16+12)/64</f>
        <v>0.4375</v>
      </c>
      <c r="J4" s="26">
        <f>$F4*I4</f>
        <v>0.33600000000000002</v>
      </c>
      <c r="K4" s="26">
        <f>(12+32)/64</f>
        <v>0.6875</v>
      </c>
      <c r="L4" s="26">
        <f>$F4*K4</f>
        <v>0.52800000000000002</v>
      </c>
      <c r="M4" s="26">
        <f>(16+32)/64</f>
        <v>0.75</v>
      </c>
      <c r="N4" s="26">
        <f>$F4*M4</f>
        <v>0.57600000000000007</v>
      </c>
      <c r="O4" s="26">
        <f>62/64</f>
        <v>0.96875</v>
      </c>
      <c r="P4" s="26">
        <f>$F4*O4</f>
        <v>0.74399999999999999</v>
      </c>
      <c r="Q4" s="26">
        <f>24/64</f>
        <v>0.375</v>
      </c>
      <c r="R4" s="26">
        <f>$F4*Q4</f>
        <v>0.28800000000000003</v>
      </c>
      <c r="S4" s="26">
        <f>(0.85+32)/64</f>
        <v>0.51328125000000002</v>
      </c>
      <c r="T4" s="26">
        <f>$F4*S4</f>
        <v>0.39420000000000005</v>
      </c>
      <c r="U4" s="26">
        <f>(12+32)/64</f>
        <v>0.6875</v>
      </c>
      <c r="V4" s="26">
        <f>$F4*U4</f>
        <v>0.52800000000000002</v>
      </c>
      <c r="W4" s="26">
        <f>(9.9+16)/64</f>
        <v>0.40468749999999998</v>
      </c>
      <c r="X4" s="26">
        <f>$F4*W4</f>
        <v>0.31079999999999997</v>
      </c>
    </row>
    <row r="5" spans="1:24" x14ac:dyDescent="0.25">
      <c r="A5" s="28" t="s">
        <v>82</v>
      </c>
      <c r="B5" s="26">
        <v>1.4339999999999999</v>
      </c>
      <c r="C5" s="26">
        <f t="shared" ref="C5:C8" si="0">B5</f>
        <v>1.4339999999999999</v>
      </c>
      <c r="D5" s="26">
        <v>0.53</v>
      </c>
      <c r="E5" s="26">
        <v>1.1000000000000001</v>
      </c>
      <c r="F5" s="26">
        <f t="shared" ref="F5:F10" si="1">B5*4*D5*E5</f>
        <v>3.3440880000000006</v>
      </c>
      <c r="G5" s="26">
        <f t="shared" ref="G5:G10" si="2">(16+14)/64</f>
        <v>0.46875</v>
      </c>
      <c r="H5" s="26">
        <f>$F5*G5</f>
        <v>1.5675412500000003</v>
      </c>
      <c r="I5" s="26">
        <f t="shared" ref="I5:I10" si="3">(16+12)/64</f>
        <v>0.4375</v>
      </c>
      <c r="J5" s="26">
        <f t="shared" ref="J5:L10" si="4">$F5*I5</f>
        <v>1.4630385000000004</v>
      </c>
      <c r="K5" s="26">
        <f t="shared" ref="K5:K10" si="5">(12+32)/64</f>
        <v>0.6875</v>
      </c>
      <c r="L5" s="26">
        <f t="shared" si="4"/>
        <v>2.2990605000000004</v>
      </c>
      <c r="M5" s="26">
        <f t="shared" ref="M5:M10" si="6">(16+32)/64</f>
        <v>0.75</v>
      </c>
      <c r="N5" s="26">
        <f t="shared" ref="N5:P5" si="7">$F5*M5</f>
        <v>2.5080660000000004</v>
      </c>
      <c r="O5" s="26">
        <f t="shared" ref="O5:O10" si="8">62/64</f>
        <v>0.96875</v>
      </c>
      <c r="P5" s="26">
        <f t="shared" si="7"/>
        <v>3.2395852500000006</v>
      </c>
      <c r="Q5" s="26">
        <f t="shared" ref="Q5:Q10" si="9">24/64</f>
        <v>0.375</v>
      </c>
      <c r="R5" s="26">
        <f t="shared" ref="R5:T5" si="10">$F5*Q5</f>
        <v>1.2540330000000002</v>
      </c>
      <c r="S5" s="26">
        <f t="shared" ref="S5:S10" si="11">(0.85+32)/64</f>
        <v>0.51328125000000002</v>
      </c>
      <c r="T5" s="26">
        <f t="shared" si="10"/>
        <v>1.7164576687500004</v>
      </c>
      <c r="U5" s="26">
        <f t="shared" ref="U5:U10" si="12">(12+32)/64</f>
        <v>0.6875</v>
      </c>
      <c r="V5" s="26">
        <f t="shared" ref="V5" si="13">$F5*U5</f>
        <v>2.2990605000000004</v>
      </c>
      <c r="W5" s="26">
        <f t="shared" ref="W5:W10" si="14">(9.9+16)/64</f>
        <v>0.40468749999999998</v>
      </c>
      <c r="X5" s="26">
        <f t="shared" ref="X5" si="15">$F5*W5</f>
        <v>1.3533106125000001</v>
      </c>
    </row>
    <row r="6" spans="1:24" x14ac:dyDescent="0.25">
      <c r="A6" s="28" t="s">
        <v>83</v>
      </c>
      <c r="B6" s="26">
        <v>1.3</v>
      </c>
      <c r="C6" s="26">
        <f t="shared" si="0"/>
        <v>1.3</v>
      </c>
      <c r="D6" s="26">
        <v>0.28000000000000003</v>
      </c>
      <c r="E6" s="26">
        <v>1</v>
      </c>
      <c r="F6" s="26">
        <f t="shared" si="1"/>
        <v>1.4560000000000002</v>
      </c>
      <c r="G6" s="26">
        <f t="shared" si="2"/>
        <v>0.46875</v>
      </c>
      <c r="H6" s="26">
        <f t="shared" ref="H6:H10" si="16">$F6*G6</f>
        <v>0.68250000000000011</v>
      </c>
      <c r="I6" s="26">
        <f t="shared" si="3"/>
        <v>0.4375</v>
      </c>
      <c r="J6" s="26">
        <f t="shared" si="4"/>
        <v>0.63700000000000012</v>
      </c>
      <c r="K6" s="26">
        <f t="shared" si="5"/>
        <v>0.6875</v>
      </c>
      <c r="L6" s="26">
        <f t="shared" si="4"/>
        <v>1.0010000000000001</v>
      </c>
      <c r="M6" s="26">
        <f t="shared" si="6"/>
        <v>0.75</v>
      </c>
      <c r="N6" s="26">
        <f t="shared" ref="N6:P6" si="17">$F6*M6</f>
        <v>1.0920000000000001</v>
      </c>
      <c r="O6" s="26">
        <f t="shared" si="8"/>
        <v>0.96875</v>
      </c>
      <c r="P6" s="26">
        <f t="shared" si="17"/>
        <v>1.4105000000000001</v>
      </c>
      <c r="Q6" s="26">
        <f t="shared" si="9"/>
        <v>0.375</v>
      </c>
      <c r="R6" s="26">
        <f t="shared" ref="R6:T6" si="18">$F6*Q6</f>
        <v>0.54600000000000004</v>
      </c>
      <c r="S6" s="26">
        <f t="shared" si="11"/>
        <v>0.51328125000000002</v>
      </c>
      <c r="T6" s="26">
        <f t="shared" si="18"/>
        <v>0.7473375000000001</v>
      </c>
      <c r="U6" s="26">
        <f t="shared" si="12"/>
        <v>0.6875</v>
      </c>
      <c r="V6" s="26">
        <f t="shared" ref="V6" si="19">$F6*U6</f>
        <v>1.0010000000000001</v>
      </c>
      <c r="W6" s="26">
        <f t="shared" si="14"/>
        <v>0.40468749999999998</v>
      </c>
      <c r="X6" s="26">
        <f t="shared" ref="X6" si="20">$F6*W6</f>
        <v>0.589225</v>
      </c>
    </row>
    <row r="7" spans="1:24" s="31" customFormat="1" x14ac:dyDescent="0.25">
      <c r="A7" s="30" t="s">
        <v>84</v>
      </c>
      <c r="B7" s="31">
        <v>1</v>
      </c>
      <c r="C7" s="31">
        <f>(0.36*2+0.21*2+0.16*4)*4</f>
        <v>7.1199999999999992</v>
      </c>
      <c r="D7" s="31">
        <v>3.29</v>
      </c>
      <c r="E7" s="31">
        <v>1</v>
      </c>
      <c r="F7" s="31">
        <f t="shared" ref="F7:F9" si="21">PRODUCT(B7:E7)</f>
        <v>23.424799999999998</v>
      </c>
      <c r="G7" s="31">
        <f t="shared" si="2"/>
        <v>0.46875</v>
      </c>
      <c r="H7" s="31">
        <f t="shared" si="16"/>
        <v>10.980374999999999</v>
      </c>
      <c r="I7" s="31">
        <f t="shared" si="3"/>
        <v>0.4375</v>
      </c>
      <c r="J7" s="31">
        <f t="shared" si="4"/>
        <v>10.248349999999999</v>
      </c>
      <c r="K7" s="31">
        <f t="shared" si="5"/>
        <v>0.6875</v>
      </c>
      <c r="L7" s="31">
        <f t="shared" si="4"/>
        <v>16.10455</v>
      </c>
      <c r="M7" s="31">
        <f t="shared" si="6"/>
        <v>0.75</v>
      </c>
      <c r="N7" s="31">
        <f t="shared" ref="N7:P7" si="22">$F7*M7</f>
        <v>17.568599999999996</v>
      </c>
      <c r="O7" s="31">
        <f t="shared" si="8"/>
        <v>0.96875</v>
      </c>
      <c r="P7" s="31">
        <f t="shared" si="22"/>
        <v>22.692774999999997</v>
      </c>
      <c r="Q7" s="31">
        <f t="shared" si="9"/>
        <v>0.375</v>
      </c>
      <c r="R7" s="31">
        <f t="shared" ref="R7:T7" si="23">$F7*Q7</f>
        <v>8.7842999999999982</v>
      </c>
      <c r="S7" s="31">
        <f t="shared" si="11"/>
        <v>0.51328125000000002</v>
      </c>
      <c r="T7" s="31">
        <f t="shared" si="23"/>
        <v>12.023510625</v>
      </c>
      <c r="U7" s="31">
        <f t="shared" si="12"/>
        <v>0.6875</v>
      </c>
      <c r="V7" s="31">
        <f t="shared" ref="V7" si="24">$F7*U7</f>
        <v>16.10455</v>
      </c>
      <c r="W7" s="31">
        <f t="shared" si="14"/>
        <v>0.40468749999999998</v>
      </c>
      <c r="X7" s="31">
        <f t="shared" ref="X7" si="25">$F7*W7</f>
        <v>9.479723749999998</v>
      </c>
    </row>
    <row r="8" spans="1:24" x14ac:dyDescent="0.25">
      <c r="A8" s="28" t="s">
        <v>85</v>
      </c>
      <c r="B8" s="26">
        <v>1.3</v>
      </c>
      <c r="C8" s="26">
        <f t="shared" si="0"/>
        <v>1.3</v>
      </c>
      <c r="D8" s="26">
        <v>0.21</v>
      </c>
      <c r="E8" s="26">
        <v>1</v>
      </c>
      <c r="F8" s="26">
        <f t="shared" si="1"/>
        <v>1.0920000000000001</v>
      </c>
      <c r="G8" s="26">
        <f t="shared" si="2"/>
        <v>0.46875</v>
      </c>
      <c r="H8" s="26">
        <f t="shared" si="16"/>
        <v>0.51187500000000008</v>
      </c>
      <c r="I8" s="26">
        <f t="shared" si="3"/>
        <v>0.4375</v>
      </c>
      <c r="J8" s="26">
        <f t="shared" si="4"/>
        <v>0.47775000000000001</v>
      </c>
      <c r="K8" s="26">
        <f t="shared" si="5"/>
        <v>0.6875</v>
      </c>
      <c r="L8" s="26">
        <f t="shared" si="4"/>
        <v>0.75075000000000003</v>
      </c>
      <c r="M8" s="26">
        <f t="shared" si="6"/>
        <v>0.75</v>
      </c>
      <c r="N8" s="26">
        <f t="shared" ref="N8:P8" si="26">$F8*M8</f>
        <v>0.81900000000000006</v>
      </c>
      <c r="O8" s="26">
        <f t="shared" si="8"/>
        <v>0.96875</v>
      </c>
      <c r="P8" s="26">
        <f t="shared" si="26"/>
        <v>1.0578750000000001</v>
      </c>
      <c r="Q8" s="26">
        <f t="shared" si="9"/>
        <v>0.375</v>
      </c>
      <c r="R8" s="26">
        <f t="shared" ref="R8:T8" si="27">$F8*Q8</f>
        <v>0.40950000000000003</v>
      </c>
      <c r="S8" s="26">
        <f t="shared" si="11"/>
        <v>0.51328125000000002</v>
      </c>
      <c r="T8" s="26">
        <f t="shared" si="27"/>
        <v>0.5605031250000001</v>
      </c>
      <c r="U8" s="26">
        <f t="shared" si="12"/>
        <v>0.6875</v>
      </c>
      <c r="V8" s="26">
        <f t="shared" ref="V8" si="28">$F8*U8</f>
        <v>0.75075000000000003</v>
      </c>
      <c r="W8" s="26">
        <f t="shared" si="14"/>
        <v>0.40468749999999998</v>
      </c>
      <c r="X8" s="26">
        <f t="shared" ref="X8" si="29">$F8*W8</f>
        <v>0.44191875000000003</v>
      </c>
    </row>
    <row r="9" spans="1:24" s="31" customFormat="1" x14ac:dyDescent="0.25">
      <c r="A9" s="30" t="s">
        <v>86</v>
      </c>
      <c r="B9" s="31">
        <v>1.52</v>
      </c>
      <c r="C9" s="31">
        <f>PI()</f>
        <v>3.1415926535897931</v>
      </c>
      <c r="D9" s="31">
        <v>0.27200000000000002</v>
      </c>
      <c r="E9" s="31">
        <v>1.2</v>
      </c>
      <c r="F9" s="31">
        <f t="shared" si="21"/>
        <v>1.5586320800401967</v>
      </c>
      <c r="G9" s="31">
        <f t="shared" si="2"/>
        <v>0.46875</v>
      </c>
      <c r="H9" s="31">
        <f t="shared" si="16"/>
        <v>0.73060878751884217</v>
      </c>
      <c r="I9" s="31">
        <f t="shared" si="3"/>
        <v>0.4375</v>
      </c>
      <c r="J9" s="31">
        <f t="shared" si="4"/>
        <v>0.6819015350175861</v>
      </c>
      <c r="K9" s="31">
        <f t="shared" si="5"/>
        <v>0.6875</v>
      </c>
      <c r="L9" s="31">
        <f t="shared" si="4"/>
        <v>1.0715595550276353</v>
      </c>
      <c r="M9" s="31">
        <f t="shared" si="6"/>
        <v>0.75</v>
      </c>
      <c r="N9" s="31">
        <f t="shared" ref="N9:P9" si="30">$F9*M9</f>
        <v>1.1689740600301475</v>
      </c>
      <c r="O9" s="31">
        <f t="shared" si="8"/>
        <v>0.96875</v>
      </c>
      <c r="P9" s="31">
        <f t="shared" si="30"/>
        <v>1.5099248275389405</v>
      </c>
      <c r="Q9" s="31">
        <f t="shared" si="9"/>
        <v>0.375</v>
      </c>
      <c r="R9" s="31">
        <f t="shared" ref="R9:T9" si="31">$F9*Q9</f>
        <v>0.58448703001507374</v>
      </c>
      <c r="S9" s="31">
        <f t="shared" si="11"/>
        <v>0.51328125000000002</v>
      </c>
      <c r="T9" s="31">
        <f t="shared" si="31"/>
        <v>0.8000166223331322</v>
      </c>
      <c r="U9" s="31">
        <f t="shared" si="12"/>
        <v>0.6875</v>
      </c>
      <c r="V9" s="31">
        <f t="shared" ref="V9" si="32">$F9*U9</f>
        <v>1.0715595550276353</v>
      </c>
      <c r="W9" s="31">
        <f t="shared" si="14"/>
        <v>0.40468749999999998</v>
      </c>
      <c r="X9" s="31">
        <f t="shared" ref="X9" si="33">$F9*W9</f>
        <v>0.63075891989126709</v>
      </c>
    </row>
    <row r="10" spans="1:24" x14ac:dyDescent="0.25">
      <c r="A10" s="28" t="s">
        <v>87</v>
      </c>
      <c r="B10" s="26">
        <v>1.6</v>
      </c>
      <c r="C10" s="26">
        <f>B10</f>
        <v>1.6</v>
      </c>
      <c r="D10" s="26">
        <v>0.4</v>
      </c>
      <c r="E10" s="26">
        <v>1</v>
      </c>
      <c r="F10" s="26">
        <f t="shared" si="1"/>
        <v>2.5600000000000005</v>
      </c>
      <c r="G10" s="26">
        <f t="shared" si="2"/>
        <v>0.46875</v>
      </c>
      <c r="H10" s="26">
        <f t="shared" si="16"/>
        <v>1.2000000000000002</v>
      </c>
      <c r="I10" s="26">
        <f t="shared" si="3"/>
        <v>0.4375</v>
      </c>
      <c r="J10" s="26">
        <f t="shared" si="4"/>
        <v>1.1200000000000001</v>
      </c>
      <c r="K10" s="26">
        <f t="shared" si="5"/>
        <v>0.6875</v>
      </c>
      <c r="L10" s="26">
        <f t="shared" si="4"/>
        <v>1.7600000000000002</v>
      </c>
      <c r="M10" s="26">
        <f t="shared" si="6"/>
        <v>0.75</v>
      </c>
      <c r="N10" s="26">
        <f t="shared" ref="N10:P10" si="34">$F10*M10</f>
        <v>1.9200000000000004</v>
      </c>
      <c r="O10" s="26">
        <f t="shared" si="8"/>
        <v>0.96875</v>
      </c>
      <c r="P10" s="26">
        <f t="shared" si="34"/>
        <v>2.4800000000000004</v>
      </c>
      <c r="Q10" s="26">
        <f t="shared" si="9"/>
        <v>0.375</v>
      </c>
      <c r="R10" s="26">
        <f t="shared" ref="R10:T10" si="35">$F10*Q10</f>
        <v>0.96000000000000019</v>
      </c>
      <c r="S10" s="26">
        <f t="shared" si="11"/>
        <v>0.51328125000000002</v>
      </c>
      <c r="T10" s="26">
        <f t="shared" si="35"/>
        <v>1.3140000000000003</v>
      </c>
      <c r="U10" s="26">
        <f t="shared" si="12"/>
        <v>0.6875</v>
      </c>
      <c r="V10" s="26">
        <f t="shared" ref="V10" si="36">$F10*U10</f>
        <v>1.7600000000000002</v>
      </c>
      <c r="W10" s="26">
        <f t="shared" si="14"/>
        <v>0.40468749999999998</v>
      </c>
      <c r="X10" s="26">
        <f t="shared" ref="X10" si="37">$F10*W10</f>
        <v>1.0360000000000003</v>
      </c>
    </row>
    <row r="11" spans="1:24" x14ac:dyDescent="0.25">
      <c r="A11" s="27"/>
      <c r="F11" s="29">
        <f>SUM(F4:F10)</f>
        <v>34.2035200800402</v>
      </c>
      <c r="H11" s="27">
        <f>SUM(H4:H10)</f>
        <v>16.032900037518839</v>
      </c>
      <c r="J11" s="27">
        <f>SUM(J4:J10)</f>
        <v>14.964040035017586</v>
      </c>
      <c r="L11" s="27">
        <f>SUM(L4:L10)</f>
        <v>23.514920055027638</v>
      </c>
      <c r="N11" s="27">
        <f>SUM(N4:N10)</f>
        <v>25.652640060030144</v>
      </c>
      <c r="P11" s="27">
        <f>SUM(P4:P10)</f>
        <v>33.134660077538939</v>
      </c>
      <c r="R11" s="27">
        <f>SUM(R4:R10)</f>
        <v>12.826320030015072</v>
      </c>
      <c r="T11" s="27">
        <f>SUM(T4:T10)</f>
        <v>17.556025541083134</v>
      </c>
      <c r="V11" s="27">
        <f>SUM(V4:V10)</f>
        <v>23.514920055027638</v>
      </c>
      <c r="X11" s="27">
        <f>SUM(X4:X10)</f>
        <v>13.841737032391263</v>
      </c>
    </row>
    <row r="12" spans="1:24" x14ac:dyDescent="0.25">
      <c r="F12" s="26" t="s">
        <v>117</v>
      </c>
      <c r="G12" s="26" t="s">
        <v>106</v>
      </c>
      <c r="I12" s="26" t="s">
        <v>105</v>
      </c>
      <c r="K12" s="26" t="s">
        <v>112</v>
      </c>
      <c r="M12" s="26" t="s">
        <v>111</v>
      </c>
      <c r="O12" s="26" t="s">
        <v>104</v>
      </c>
      <c r="Q12" s="26" t="s">
        <v>102</v>
      </c>
      <c r="S12" s="26" t="s">
        <v>103</v>
      </c>
      <c r="U12" s="26" t="s">
        <v>107</v>
      </c>
      <c r="W12" s="26" t="s">
        <v>110</v>
      </c>
    </row>
    <row r="13" spans="1:24" x14ac:dyDescent="0.25">
      <c r="A13" s="240" t="s">
        <v>113</v>
      </c>
      <c r="B13" s="240"/>
      <c r="C13" s="240"/>
      <c r="D13" s="240"/>
      <c r="E13" s="240"/>
      <c r="F13" s="240"/>
      <c r="G13" s="240"/>
      <c r="H13" s="240"/>
    </row>
    <row r="14" spans="1:24" x14ac:dyDescent="0.25">
      <c r="G14" s="240" t="s">
        <v>95</v>
      </c>
      <c r="H14" s="240"/>
    </row>
    <row r="15" spans="1:24" x14ac:dyDescent="0.25">
      <c r="A15" s="27"/>
      <c r="B15" s="28" t="s">
        <v>88</v>
      </c>
      <c r="C15" s="28" t="s">
        <v>89</v>
      </c>
      <c r="D15" s="28" t="s">
        <v>90</v>
      </c>
      <c r="E15" s="28" t="s">
        <v>92</v>
      </c>
      <c r="F15" s="28" t="s">
        <v>91</v>
      </c>
      <c r="G15" s="28" t="s">
        <v>93</v>
      </c>
      <c r="H15" s="28" t="s">
        <v>94</v>
      </c>
    </row>
    <row r="16" spans="1:24" x14ac:dyDescent="0.25">
      <c r="A16" s="28" t="s">
        <v>81</v>
      </c>
      <c r="B16" s="26">
        <v>1.6</v>
      </c>
      <c r="C16" s="26">
        <f>B16</f>
        <v>1.6</v>
      </c>
      <c r="D16" s="26">
        <v>0.12</v>
      </c>
      <c r="E16" s="26">
        <v>1</v>
      </c>
      <c r="F16" s="26">
        <f t="shared" ref="F16:F18" si="38">B16*4*D16*E16</f>
        <v>0.76800000000000002</v>
      </c>
      <c r="G16" s="26">
        <v>1</v>
      </c>
      <c r="H16" s="26">
        <f>$F16*G16</f>
        <v>0.76800000000000002</v>
      </c>
    </row>
    <row r="17" spans="1:10" x14ac:dyDescent="0.25">
      <c r="A17" s="28" t="s">
        <v>82</v>
      </c>
      <c r="B17" s="26">
        <v>1.4339999999999999</v>
      </c>
      <c r="C17" s="26">
        <f t="shared" ref="C17:C20" si="39">B17</f>
        <v>1.4339999999999999</v>
      </c>
      <c r="D17" s="26">
        <v>0.53</v>
      </c>
      <c r="E17" s="26">
        <v>1.1000000000000001</v>
      </c>
      <c r="F17" s="26">
        <f t="shared" si="38"/>
        <v>3.3440880000000006</v>
      </c>
      <c r="G17" s="26">
        <v>1</v>
      </c>
      <c r="H17" s="26">
        <f>$F17*G17</f>
        <v>3.3440880000000006</v>
      </c>
    </row>
    <row r="18" spans="1:10" x14ac:dyDescent="0.25">
      <c r="A18" s="28" t="s">
        <v>83</v>
      </c>
      <c r="B18" s="26">
        <v>1.3</v>
      </c>
      <c r="C18" s="26">
        <f t="shared" si="39"/>
        <v>1.3</v>
      </c>
      <c r="D18" s="26">
        <v>0.28000000000000003</v>
      </c>
      <c r="E18" s="26">
        <v>1</v>
      </c>
      <c r="F18" s="26">
        <f t="shared" si="38"/>
        <v>1.4560000000000002</v>
      </c>
      <c r="G18" s="26">
        <v>1</v>
      </c>
      <c r="H18" s="26">
        <f t="shared" ref="H18:H22" si="40">$F18*G18</f>
        <v>1.4560000000000002</v>
      </c>
    </row>
    <row r="19" spans="1:10" s="31" customFormat="1" x14ac:dyDescent="0.25">
      <c r="A19" s="30" t="s">
        <v>84</v>
      </c>
      <c r="B19" s="31">
        <v>1</v>
      </c>
      <c r="C19" s="31">
        <f>(0.36*2+0.21*2+0.16*4)*4</f>
        <v>7.1199999999999992</v>
      </c>
      <c r="D19" s="31">
        <v>10.89</v>
      </c>
      <c r="E19" s="31">
        <v>1</v>
      </c>
      <c r="F19" s="31">
        <f t="shared" ref="F19:F21" si="41">PRODUCT(B19:E19)</f>
        <v>77.536799999999999</v>
      </c>
      <c r="G19" s="31">
        <f>7.8/D19</f>
        <v>0.71625344352617071</v>
      </c>
      <c r="H19" s="31">
        <f t="shared" si="40"/>
        <v>55.535999999999994</v>
      </c>
    </row>
    <row r="20" spans="1:10" x14ac:dyDescent="0.25">
      <c r="A20" s="28" t="s">
        <v>85</v>
      </c>
      <c r="B20" s="26">
        <v>1.3</v>
      </c>
      <c r="C20" s="26">
        <f t="shared" si="39"/>
        <v>1.3</v>
      </c>
      <c r="D20" s="26">
        <v>0.21</v>
      </c>
      <c r="E20" s="26">
        <v>1</v>
      </c>
      <c r="F20" s="26">
        <f t="shared" ref="F20" si="42">B20*4*D20*E20</f>
        <v>1.0920000000000001</v>
      </c>
      <c r="G20" s="26">
        <v>0</v>
      </c>
      <c r="H20" s="26">
        <f t="shared" si="40"/>
        <v>0</v>
      </c>
    </row>
    <row r="21" spans="1:10" s="31" customFormat="1" x14ac:dyDescent="0.25">
      <c r="A21" s="30" t="s">
        <v>86</v>
      </c>
      <c r="B21" s="31">
        <v>1.52</v>
      </c>
      <c r="C21" s="31">
        <f>PI()</f>
        <v>3.1415926535897931</v>
      </c>
      <c r="D21" s="31">
        <v>0.27200000000000002</v>
      </c>
      <c r="E21" s="31">
        <v>1.2</v>
      </c>
      <c r="F21" s="31">
        <f t="shared" si="41"/>
        <v>1.5586320800401967</v>
      </c>
      <c r="G21" s="31">
        <v>0</v>
      </c>
      <c r="H21" s="31">
        <f t="shared" si="40"/>
        <v>0</v>
      </c>
    </row>
    <row r="22" spans="1:10" x14ac:dyDescent="0.25">
      <c r="A22" s="28" t="s">
        <v>87</v>
      </c>
      <c r="B22" s="26">
        <v>1.6</v>
      </c>
      <c r="C22" s="26">
        <f>B22</f>
        <v>1.6</v>
      </c>
      <c r="D22" s="26">
        <v>1.5</v>
      </c>
      <c r="E22" s="26">
        <v>1</v>
      </c>
      <c r="F22" s="26">
        <f t="shared" ref="F22" si="43">B22*4*D22*E22</f>
        <v>9.6000000000000014</v>
      </c>
      <c r="G22" s="26">
        <v>0</v>
      </c>
      <c r="H22" s="26">
        <f t="shared" si="40"/>
        <v>0</v>
      </c>
    </row>
    <row r="23" spans="1:10" x14ac:dyDescent="0.25">
      <c r="A23" s="27"/>
      <c r="F23" s="29">
        <f>SUM(F16:F22)</f>
        <v>95.355520080040208</v>
      </c>
      <c r="H23" s="27">
        <f>SUM(H16:H22)</f>
        <v>61.104087999999997</v>
      </c>
    </row>
    <row r="24" spans="1:10" x14ac:dyDescent="0.25">
      <c r="F24" s="26" t="s">
        <v>114</v>
      </c>
      <c r="H24" s="26" t="s">
        <v>115</v>
      </c>
    </row>
    <row r="26" spans="1:10" x14ac:dyDescent="0.25">
      <c r="A26" s="240" t="s">
        <v>119</v>
      </c>
      <c r="B26" s="240"/>
      <c r="C26" s="240"/>
      <c r="D26" s="240"/>
      <c r="E26" s="240"/>
      <c r="F26" s="240"/>
      <c r="G26" s="240"/>
      <c r="H26" s="240"/>
    </row>
    <row r="27" spans="1:10" x14ac:dyDescent="0.25">
      <c r="G27" s="240" t="s">
        <v>95</v>
      </c>
      <c r="H27" s="240"/>
      <c r="I27" s="240" t="s">
        <v>96</v>
      </c>
      <c r="J27" s="240"/>
    </row>
    <row r="28" spans="1:10" x14ac:dyDescent="0.25">
      <c r="A28" s="27"/>
      <c r="B28" s="28" t="s">
        <v>88</v>
      </c>
      <c r="C28" s="28" t="s">
        <v>89</v>
      </c>
      <c r="D28" s="28" t="s">
        <v>90</v>
      </c>
      <c r="E28" s="28" t="s">
        <v>92</v>
      </c>
      <c r="F28" s="28" t="s">
        <v>91</v>
      </c>
      <c r="G28" s="28" t="s">
        <v>93</v>
      </c>
      <c r="H28" s="28" t="s">
        <v>94</v>
      </c>
      <c r="I28" s="28" t="s">
        <v>93</v>
      </c>
      <c r="J28" s="28" t="s">
        <v>94</v>
      </c>
    </row>
    <row r="29" spans="1:10" x14ac:dyDescent="0.25">
      <c r="A29" s="28" t="s">
        <v>81</v>
      </c>
      <c r="B29" s="26">
        <v>1.6</v>
      </c>
      <c r="C29" s="26">
        <f>B29</f>
        <v>1.6</v>
      </c>
      <c r="D29" s="26">
        <v>0.12</v>
      </c>
      <c r="E29" s="26">
        <v>1</v>
      </c>
      <c r="F29" s="26">
        <f t="shared" ref="F29:F31" si="44">B29*4*D29*E29</f>
        <v>0.76800000000000002</v>
      </c>
      <c r="G29" s="26">
        <v>0</v>
      </c>
      <c r="H29" s="26">
        <f>$F29*G29</f>
        <v>0</v>
      </c>
      <c r="I29" s="26">
        <v>0</v>
      </c>
      <c r="J29" s="26">
        <f>$F29*I29</f>
        <v>0</v>
      </c>
    </row>
    <row r="30" spans="1:10" x14ac:dyDescent="0.25">
      <c r="A30" s="28" t="s">
        <v>82</v>
      </c>
      <c r="B30" s="26">
        <v>1.4339999999999999</v>
      </c>
      <c r="C30" s="26">
        <f t="shared" ref="C30:C33" si="45">B30</f>
        <v>1.4339999999999999</v>
      </c>
      <c r="D30" s="26">
        <v>0.53</v>
      </c>
      <c r="E30" s="26">
        <v>1.1000000000000001</v>
      </c>
      <c r="F30" s="26">
        <f t="shared" si="44"/>
        <v>3.3440880000000006</v>
      </c>
      <c r="G30" s="26">
        <v>0</v>
      </c>
      <c r="H30" s="26">
        <f>$F30*G30</f>
        <v>0</v>
      </c>
      <c r="I30" s="26">
        <v>0</v>
      </c>
      <c r="J30" s="26">
        <f>$F30*I30</f>
        <v>0</v>
      </c>
    </row>
    <row r="31" spans="1:10" x14ac:dyDescent="0.25">
      <c r="A31" s="28" t="s">
        <v>83</v>
      </c>
      <c r="B31" s="26">
        <v>1.3</v>
      </c>
      <c r="C31" s="26">
        <f t="shared" si="45"/>
        <v>1.3</v>
      </c>
      <c r="D31" s="26">
        <v>0.28000000000000003</v>
      </c>
      <c r="E31" s="26">
        <v>1</v>
      </c>
      <c r="F31" s="26">
        <f t="shared" si="44"/>
        <v>1.4560000000000002</v>
      </c>
      <c r="G31" s="26">
        <v>0</v>
      </c>
      <c r="H31" s="26">
        <f t="shared" ref="H31:J35" si="46">$F31*G31</f>
        <v>0</v>
      </c>
      <c r="I31" s="26">
        <v>0</v>
      </c>
      <c r="J31" s="26">
        <f t="shared" si="46"/>
        <v>0</v>
      </c>
    </row>
    <row r="32" spans="1:10" s="31" customFormat="1" x14ac:dyDescent="0.25">
      <c r="A32" s="30" t="s">
        <v>84</v>
      </c>
      <c r="B32" s="31">
        <v>1</v>
      </c>
      <c r="C32" s="31">
        <f>(0.36*2+0.21*2+0.16*4)*4</f>
        <v>7.1199999999999992</v>
      </c>
      <c r="D32" s="31">
        <v>3.29</v>
      </c>
      <c r="E32" s="31">
        <v>1</v>
      </c>
      <c r="F32" s="31">
        <f t="shared" ref="F32:F34" si="47">PRODUCT(B32:E32)</f>
        <v>23.424799999999998</v>
      </c>
      <c r="G32" s="31">
        <v>0</v>
      </c>
      <c r="H32" s="31">
        <f t="shared" si="46"/>
        <v>0</v>
      </c>
      <c r="I32" s="31">
        <v>0</v>
      </c>
      <c r="J32" s="31">
        <f t="shared" si="46"/>
        <v>0</v>
      </c>
    </row>
    <row r="33" spans="1:10" x14ac:dyDescent="0.25">
      <c r="A33" s="28" t="s">
        <v>85</v>
      </c>
      <c r="B33" s="26">
        <v>1.3</v>
      </c>
      <c r="C33" s="26">
        <f t="shared" si="45"/>
        <v>1.3</v>
      </c>
      <c r="D33" s="26">
        <v>0.16800000000000001</v>
      </c>
      <c r="E33" s="26">
        <v>1</v>
      </c>
      <c r="F33" s="26">
        <f t="shared" ref="F33" si="48">B33*4*D33*E33</f>
        <v>0.87360000000000004</v>
      </c>
      <c r="G33" s="26">
        <f>1/4</f>
        <v>0.25</v>
      </c>
      <c r="H33" s="26">
        <f t="shared" si="46"/>
        <v>0.21840000000000001</v>
      </c>
      <c r="I33" s="26">
        <f>0.5/1.3/4</f>
        <v>9.6153846153846145E-2</v>
      </c>
      <c r="J33" s="26">
        <f t="shared" si="46"/>
        <v>8.3999999999999991E-2</v>
      </c>
    </row>
    <row r="34" spans="1:10" s="31" customFormat="1" x14ac:dyDescent="0.25">
      <c r="A34" s="30" t="s">
        <v>86</v>
      </c>
      <c r="B34" s="31">
        <v>1.52</v>
      </c>
      <c r="C34" s="31">
        <f>PI()</f>
        <v>3.1415926535897931</v>
      </c>
      <c r="D34" s="31">
        <v>0.27200000000000002</v>
      </c>
      <c r="E34" s="31">
        <v>1.2</v>
      </c>
      <c r="F34" s="31">
        <f t="shared" si="47"/>
        <v>1.5586320800401967</v>
      </c>
      <c r="G34" s="31">
        <f>1/4</f>
        <v>0.25</v>
      </c>
      <c r="H34" s="31">
        <f t="shared" si="46"/>
        <v>0.38965802001004918</v>
      </c>
      <c r="I34" s="31">
        <f>1.3/6.4</f>
        <v>0.203125</v>
      </c>
      <c r="J34" s="31">
        <f t="shared" si="46"/>
        <v>0.31659714125816496</v>
      </c>
    </row>
    <row r="35" spans="1:10" x14ac:dyDescent="0.25">
      <c r="A35" s="28" t="s">
        <v>87</v>
      </c>
      <c r="B35" s="26">
        <v>1.6</v>
      </c>
      <c r="C35" s="26">
        <f>B35</f>
        <v>1.6</v>
      </c>
      <c r="D35" s="26">
        <v>0.4</v>
      </c>
      <c r="E35" s="26">
        <v>1</v>
      </c>
      <c r="F35" s="26">
        <f t="shared" ref="F35" si="49">B35*4*D35*E35</f>
        <v>2.5600000000000005</v>
      </c>
      <c r="G35" s="26">
        <f>3/4</f>
        <v>0.75</v>
      </c>
      <c r="H35" s="26">
        <f t="shared" si="46"/>
        <v>1.9200000000000004</v>
      </c>
      <c r="I35" s="26">
        <f>1.65/6.4</f>
        <v>0.25781249999999994</v>
      </c>
      <c r="J35" s="26">
        <f t="shared" si="46"/>
        <v>0.66</v>
      </c>
    </row>
    <row r="36" spans="1:10" x14ac:dyDescent="0.25">
      <c r="A36" s="27"/>
      <c r="F36" s="29">
        <f>SUM(F29:F35)</f>
        <v>33.985120080040197</v>
      </c>
      <c r="H36" s="29">
        <f>SUM(H29:H35)</f>
        <v>2.5280580200100493</v>
      </c>
      <c r="J36" s="29">
        <f>SUM(J29:J35)</f>
        <v>1.060597141258165</v>
      </c>
    </row>
    <row r="37" spans="1:10" x14ac:dyDescent="0.25">
      <c r="H37" s="26" t="s">
        <v>120</v>
      </c>
      <c r="J37" s="26" t="s">
        <v>115</v>
      </c>
    </row>
    <row r="39" spans="1:10" x14ac:dyDescent="0.25">
      <c r="A39" s="240" t="s">
        <v>116</v>
      </c>
      <c r="B39" s="240"/>
      <c r="C39" s="240"/>
      <c r="D39" s="240"/>
      <c r="E39" s="240"/>
      <c r="F39" s="240"/>
      <c r="G39" s="240"/>
      <c r="H39" s="240"/>
    </row>
    <row r="40" spans="1:10" x14ac:dyDescent="0.25">
      <c r="G40" s="240"/>
      <c r="H40" s="240"/>
    </row>
    <row r="41" spans="1:10" x14ac:dyDescent="0.25">
      <c r="A41" s="27"/>
      <c r="B41" s="28" t="s">
        <v>88</v>
      </c>
      <c r="C41" s="28" t="s">
        <v>89</v>
      </c>
      <c r="D41" s="28" t="s">
        <v>90</v>
      </c>
      <c r="E41" s="28" t="s">
        <v>92</v>
      </c>
      <c r="F41" s="28" t="s">
        <v>91</v>
      </c>
      <c r="G41" s="28"/>
      <c r="H41" s="28"/>
    </row>
    <row r="42" spans="1:10" x14ac:dyDescent="0.25">
      <c r="A42" s="28" t="s">
        <v>81</v>
      </c>
      <c r="B42" s="26">
        <f>0.8*2+1.6</f>
        <v>3.2</v>
      </c>
      <c r="C42" s="26">
        <v>1</v>
      </c>
      <c r="D42" s="26">
        <v>0.51</v>
      </c>
      <c r="E42" s="26">
        <v>1</v>
      </c>
      <c r="F42" s="26">
        <f>B42*C42*D42*E42</f>
        <v>1.6320000000000001</v>
      </c>
    </row>
    <row r="43" spans="1:10" x14ac:dyDescent="0.25">
      <c r="A43" s="28" t="s">
        <v>82</v>
      </c>
      <c r="B43" s="26">
        <v>1.6</v>
      </c>
      <c r="C43" s="26">
        <v>1</v>
      </c>
      <c r="D43" s="26">
        <v>0.84</v>
      </c>
      <c r="E43" s="26">
        <v>1</v>
      </c>
      <c r="F43" s="26">
        <f>B43*C43*D43*E43</f>
        <v>1.3440000000000001</v>
      </c>
    </row>
    <row r="44" spans="1:10" x14ac:dyDescent="0.25">
      <c r="A44" s="27"/>
      <c r="F44" s="29">
        <f>SUM(F42:F43)</f>
        <v>2.976</v>
      </c>
      <c r="H44" s="29"/>
    </row>
  </sheetData>
  <mergeCells count="17">
    <mergeCell ref="G14:H14"/>
    <mergeCell ref="A1:H1"/>
    <mergeCell ref="G2:H2"/>
    <mergeCell ref="I2:J2"/>
    <mergeCell ref="K2:L2"/>
    <mergeCell ref="Q2:R2"/>
    <mergeCell ref="S2:T2"/>
    <mergeCell ref="U2:V2"/>
    <mergeCell ref="W2:X2"/>
    <mergeCell ref="A13:H13"/>
    <mergeCell ref="M2:N2"/>
    <mergeCell ref="O2:P2"/>
    <mergeCell ref="G40:H40"/>
    <mergeCell ref="A26:H26"/>
    <mergeCell ref="G27:H27"/>
    <mergeCell ref="I27:J27"/>
    <mergeCell ref="A39:H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view="pageBreakPreview" topLeftCell="A31" zoomScaleSheetLayoutView="100" workbookViewId="0">
      <selection activeCell="C41" sqref="C41"/>
    </sheetView>
  </sheetViews>
  <sheetFormatPr defaultRowHeight="15" x14ac:dyDescent="0.25"/>
  <cols>
    <col min="1" max="1" width="6.5703125" customWidth="1"/>
    <col min="2" max="2" width="60" customWidth="1"/>
    <col min="4" max="5" width="11.7109375" customWidth="1"/>
  </cols>
  <sheetData>
    <row r="1" spans="1:5" ht="33" customHeight="1" x14ac:dyDescent="0.25">
      <c r="A1" s="14"/>
      <c r="B1" s="15" t="s">
        <v>0</v>
      </c>
      <c r="C1" s="16"/>
      <c r="D1" s="17"/>
      <c r="E1" s="18"/>
    </row>
    <row r="2" spans="1:5" ht="33" customHeight="1" x14ac:dyDescent="0.25">
      <c r="A2" s="10">
        <v>112</v>
      </c>
      <c r="B2" s="11" t="s">
        <v>1</v>
      </c>
      <c r="C2" s="12" t="s">
        <v>2</v>
      </c>
      <c r="D2" s="13">
        <v>18.056000000000001</v>
      </c>
      <c r="E2" s="19"/>
    </row>
    <row r="3" spans="1:5" ht="33" customHeight="1" x14ac:dyDescent="0.25">
      <c r="A3" s="8">
        <v>113</v>
      </c>
      <c r="B3" s="1" t="s">
        <v>3</v>
      </c>
      <c r="C3" s="2" t="s">
        <v>4</v>
      </c>
      <c r="D3" s="3">
        <v>251.41200000000001</v>
      </c>
      <c r="E3" s="19"/>
    </row>
    <row r="4" spans="1:5" ht="33" customHeight="1" x14ac:dyDescent="0.25">
      <c r="A4" s="8">
        <v>114</v>
      </c>
      <c r="B4" s="1" t="s">
        <v>5</v>
      </c>
      <c r="C4" s="2" t="s">
        <v>2</v>
      </c>
      <c r="D4" s="4">
        <v>1806.201</v>
      </c>
      <c r="E4" s="20"/>
    </row>
    <row r="5" spans="1:5" ht="33" customHeight="1" x14ac:dyDescent="0.25">
      <c r="A5" s="8">
        <v>115</v>
      </c>
      <c r="B5" s="1" t="s">
        <v>6</v>
      </c>
      <c r="C5" s="2" t="s">
        <v>2</v>
      </c>
      <c r="D5" s="3">
        <v>8.75</v>
      </c>
      <c r="E5" s="19"/>
    </row>
    <row r="6" spans="1:5" ht="33" customHeight="1" x14ac:dyDescent="0.25">
      <c r="A6" s="8">
        <v>116</v>
      </c>
      <c r="B6" s="1" t="s">
        <v>7</v>
      </c>
      <c r="C6" s="2" t="s">
        <v>4</v>
      </c>
      <c r="D6" s="3">
        <v>309.41800000000001</v>
      </c>
      <c r="E6" s="19"/>
    </row>
    <row r="7" spans="1:5" ht="33" customHeight="1" x14ac:dyDescent="0.25">
      <c r="A7" s="8">
        <v>117</v>
      </c>
      <c r="B7" s="1" t="s">
        <v>8</v>
      </c>
      <c r="C7" s="2" t="s">
        <v>4</v>
      </c>
      <c r="D7" s="3">
        <v>127.62</v>
      </c>
      <c r="E7" s="19"/>
    </row>
    <row r="8" spans="1:5" ht="33" customHeight="1" x14ac:dyDescent="0.25">
      <c r="A8" s="8">
        <v>118</v>
      </c>
      <c r="B8" s="1" t="s">
        <v>9</v>
      </c>
      <c r="C8" s="2" t="s">
        <v>10</v>
      </c>
      <c r="D8" s="3">
        <v>170.16</v>
      </c>
      <c r="E8" s="19"/>
    </row>
    <row r="9" spans="1:5" ht="33" customHeight="1" x14ac:dyDescent="0.25">
      <c r="A9" s="8">
        <v>119</v>
      </c>
      <c r="B9" s="1" t="s">
        <v>11</v>
      </c>
      <c r="C9" s="2" t="s">
        <v>4</v>
      </c>
      <c r="D9" s="3">
        <v>899.51700000000005</v>
      </c>
      <c r="E9" s="19"/>
    </row>
    <row r="10" spans="1:5" ht="33" customHeight="1" x14ac:dyDescent="0.25">
      <c r="A10" s="8">
        <v>120</v>
      </c>
      <c r="B10" s="1" t="s">
        <v>12</v>
      </c>
      <c r="C10" s="2" t="s">
        <v>4</v>
      </c>
      <c r="D10" s="4">
        <v>1030.1849999999999</v>
      </c>
      <c r="E10" s="20"/>
    </row>
    <row r="11" spans="1:5" ht="33" customHeight="1" x14ac:dyDescent="0.25">
      <c r="A11" s="8">
        <v>121</v>
      </c>
      <c r="B11" s="1" t="s">
        <v>13</v>
      </c>
      <c r="C11" s="2" t="s">
        <v>4</v>
      </c>
      <c r="D11" s="4">
        <v>5109.7150000000001</v>
      </c>
      <c r="E11" s="20"/>
    </row>
    <row r="12" spans="1:5" ht="33" customHeight="1" x14ac:dyDescent="0.25">
      <c r="A12" s="8">
        <v>122</v>
      </c>
      <c r="B12" s="1" t="s">
        <v>14</v>
      </c>
      <c r="C12" s="2" t="s">
        <v>4</v>
      </c>
      <c r="D12" s="4">
        <v>2486.34</v>
      </c>
      <c r="E12" s="20"/>
    </row>
    <row r="13" spans="1:5" ht="33" customHeight="1" x14ac:dyDescent="0.25">
      <c r="A13" s="8">
        <v>123</v>
      </c>
      <c r="B13" s="1" t="s">
        <v>15</v>
      </c>
      <c r="C13" s="2" t="s">
        <v>4</v>
      </c>
      <c r="D13" s="4">
        <v>4066.2829999999999</v>
      </c>
      <c r="E13" s="20"/>
    </row>
    <row r="14" spans="1:5" ht="33" customHeight="1" x14ac:dyDescent="0.25">
      <c r="A14" s="8">
        <v>124</v>
      </c>
      <c r="B14" s="1" t="s">
        <v>16</v>
      </c>
      <c r="C14" s="2" t="s">
        <v>4</v>
      </c>
      <c r="D14" s="4">
        <v>7224.8040000000001</v>
      </c>
      <c r="E14" s="20"/>
    </row>
    <row r="15" spans="1:5" ht="33" customHeight="1" x14ac:dyDescent="0.25">
      <c r="A15" s="8">
        <v>125</v>
      </c>
      <c r="B15" s="1" t="s">
        <v>17</v>
      </c>
      <c r="C15" s="2" t="s">
        <v>4</v>
      </c>
      <c r="D15" s="4">
        <v>13260.081</v>
      </c>
      <c r="E15" s="20"/>
    </row>
    <row r="16" spans="1:5" ht="33" customHeight="1" x14ac:dyDescent="0.25">
      <c r="A16" s="8">
        <v>126</v>
      </c>
      <c r="B16" s="1" t="s">
        <v>18</v>
      </c>
      <c r="C16" s="2" t="s">
        <v>4</v>
      </c>
      <c r="D16" s="4">
        <v>7224.8040000000001</v>
      </c>
      <c r="E16" s="20"/>
    </row>
    <row r="17" spans="1:5" ht="33" customHeight="1" x14ac:dyDescent="0.25">
      <c r="A17" s="8">
        <v>127</v>
      </c>
      <c r="B17" s="1" t="s">
        <v>19</v>
      </c>
      <c r="C17" s="2" t="s">
        <v>4</v>
      </c>
      <c r="D17" s="4">
        <v>24922.419000000002</v>
      </c>
      <c r="E17" s="20"/>
    </row>
    <row r="18" spans="1:5" ht="33" customHeight="1" x14ac:dyDescent="0.25">
      <c r="A18" s="8">
        <v>128</v>
      </c>
      <c r="B18" s="1" t="s">
        <v>20</v>
      </c>
      <c r="C18" s="2" t="s">
        <v>4</v>
      </c>
      <c r="D18" s="4">
        <v>4207.7430000000004</v>
      </c>
      <c r="E18" s="20"/>
    </row>
    <row r="19" spans="1:5" ht="33" customHeight="1" x14ac:dyDescent="0.25">
      <c r="A19" s="8">
        <v>129</v>
      </c>
      <c r="B19" s="1" t="s">
        <v>21</v>
      </c>
      <c r="C19" s="2" t="s">
        <v>4</v>
      </c>
      <c r="D19" s="4">
        <v>4379.1009999999997</v>
      </c>
      <c r="E19" s="20"/>
    </row>
    <row r="20" spans="1:5" ht="33" customHeight="1" x14ac:dyDescent="0.25">
      <c r="A20" s="8">
        <v>130</v>
      </c>
      <c r="B20" s="1" t="s">
        <v>22</v>
      </c>
      <c r="C20" s="2" t="s">
        <v>4</v>
      </c>
      <c r="D20" s="3">
        <v>233.13800000000001</v>
      </c>
      <c r="E20" s="19"/>
    </row>
    <row r="21" spans="1:5" ht="33" customHeight="1" x14ac:dyDescent="0.25">
      <c r="A21" s="8">
        <v>131</v>
      </c>
      <c r="B21" s="1" t="s">
        <v>23</v>
      </c>
      <c r="C21" s="2" t="s">
        <v>4</v>
      </c>
      <c r="D21" s="3">
        <v>705.97</v>
      </c>
      <c r="E21" s="19"/>
    </row>
    <row r="22" spans="1:5" ht="33" customHeight="1" x14ac:dyDescent="0.25">
      <c r="A22" s="8">
        <v>132</v>
      </c>
      <c r="B22" s="1" t="s">
        <v>24</v>
      </c>
      <c r="C22" s="2" t="s">
        <v>4</v>
      </c>
      <c r="D22" s="4">
        <v>2285.3200000000002</v>
      </c>
      <c r="E22" s="20"/>
    </row>
    <row r="23" spans="1:5" ht="33" customHeight="1" x14ac:dyDescent="0.25">
      <c r="A23" s="8">
        <v>133</v>
      </c>
      <c r="B23" s="1" t="s">
        <v>25</v>
      </c>
      <c r="C23" s="2" t="s">
        <v>4</v>
      </c>
      <c r="D23" s="4">
        <v>3037.61</v>
      </c>
      <c r="E23" s="20"/>
    </row>
    <row r="24" spans="1:5" ht="33" customHeight="1" x14ac:dyDescent="0.25">
      <c r="A24" s="8">
        <v>134</v>
      </c>
      <c r="B24" s="1" t="s">
        <v>26</v>
      </c>
      <c r="C24" s="2" t="s">
        <v>4</v>
      </c>
      <c r="D24" s="4">
        <v>4062.9459999999999</v>
      </c>
      <c r="E24" s="20"/>
    </row>
    <row r="25" spans="1:5" ht="33" customHeight="1" x14ac:dyDescent="0.25">
      <c r="A25" s="8">
        <v>135</v>
      </c>
      <c r="B25" s="1" t="s">
        <v>27</v>
      </c>
      <c r="C25" s="2" t="s">
        <v>4</v>
      </c>
      <c r="D25" s="3">
        <v>290.03800000000001</v>
      </c>
      <c r="E25" s="19"/>
    </row>
    <row r="26" spans="1:5" ht="33" customHeight="1" x14ac:dyDescent="0.25">
      <c r="A26" s="8">
        <v>136</v>
      </c>
      <c r="B26" s="1" t="s">
        <v>28</v>
      </c>
      <c r="C26" s="2" t="s">
        <v>4</v>
      </c>
      <c r="D26" s="4">
        <v>4114.0010000000002</v>
      </c>
      <c r="E26" s="20"/>
    </row>
    <row r="27" spans="1:5" ht="33" customHeight="1" x14ac:dyDescent="0.25">
      <c r="A27" s="8">
        <v>137</v>
      </c>
      <c r="B27" s="1" t="s">
        <v>29</v>
      </c>
      <c r="C27" s="2" t="s">
        <v>2</v>
      </c>
      <c r="D27" s="3">
        <v>17.28</v>
      </c>
      <c r="E27" s="19"/>
    </row>
    <row r="28" spans="1:5" ht="33" customHeight="1" x14ac:dyDescent="0.25">
      <c r="A28" s="8">
        <v>138</v>
      </c>
      <c r="B28" s="1" t="s">
        <v>30</v>
      </c>
      <c r="C28" s="2" t="s">
        <v>31</v>
      </c>
      <c r="D28" s="3">
        <v>1.8240000000000001</v>
      </c>
      <c r="E28" s="19"/>
    </row>
    <row r="29" spans="1:5" ht="33" customHeight="1" x14ac:dyDescent="0.25">
      <c r="A29" s="8">
        <v>139</v>
      </c>
      <c r="B29" s="1" t="s">
        <v>32</v>
      </c>
      <c r="C29" s="2" t="s">
        <v>33</v>
      </c>
      <c r="D29" s="3">
        <v>0.12</v>
      </c>
      <c r="E29" s="19"/>
    </row>
    <row r="30" spans="1:5" ht="33" customHeight="1" x14ac:dyDescent="0.25">
      <c r="A30" s="8">
        <v>140</v>
      </c>
      <c r="B30" s="1" t="s">
        <v>34</v>
      </c>
      <c r="C30" s="2" t="s">
        <v>33</v>
      </c>
      <c r="D30" s="3">
        <v>0.63900000000000001</v>
      </c>
      <c r="E30" s="19"/>
    </row>
    <row r="31" spans="1:5" ht="33" customHeight="1" x14ac:dyDescent="0.25">
      <c r="A31" s="8">
        <v>141</v>
      </c>
      <c r="B31" s="1" t="s">
        <v>35</v>
      </c>
      <c r="C31" s="2" t="s">
        <v>4</v>
      </c>
      <c r="D31" s="3">
        <v>144</v>
      </c>
      <c r="E31" s="19"/>
    </row>
    <row r="32" spans="1:5" ht="33" customHeight="1" x14ac:dyDescent="0.25">
      <c r="A32" s="8">
        <v>142</v>
      </c>
      <c r="B32" s="1" t="s">
        <v>36</v>
      </c>
      <c r="C32" s="2" t="s">
        <v>33</v>
      </c>
      <c r="D32" s="3">
        <v>14.448</v>
      </c>
      <c r="E32" s="19"/>
    </row>
    <row r="33" spans="1:5" ht="33" customHeight="1" x14ac:dyDescent="0.25">
      <c r="A33" s="8">
        <v>143</v>
      </c>
      <c r="B33" s="1" t="s">
        <v>37</v>
      </c>
      <c r="C33" s="2" t="s">
        <v>33</v>
      </c>
      <c r="D33" s="3">
        <v>14.448</v>
      </c>
      <c r="E33" s="19"/>
    </row>
    <row r="34" spans="1:5" ht="33" customHeight="1" x14ac:dyDescent="0.25">
      <c r="A34" s="8">
        <v>144</v>
      </c>
      <c r="B34" s="1" t="s">
        <v>38</v>
      </c>
      <c r="C34" s="2" t="s">
        <v>31</v>
      </c>
      <c r="D34" s="3">
        <v>11.824</v>
      </c>
      <c r="E34" s="19"/>
    </row>
    <row r="35" spans="1:5" ht="33" customHeight="1" x14ac:dyDescent="0.25">
      <c r="A35" s="8">
        <v>145</v>
      </c>
      <c r="B35" s="1" t="s">
        <v>39</v>
      </c>
      <c r="C35" s="2" t="s">
        <v>4</v>
      </c>
      <c r="D35" s="4">
        <v>2476.0990000000002</v>
      </c>
      <c r="E35" s="20"/>
    </row>
    <row r="36" spans="1:5" ht="33" customHeight="1" x14ac:dyDescent="0.25">
      <c r="A36" s="8">
        <v>146</v>
      </c>
      <c r="B36" s="1" t="s">
        <v>25</v>
      </c>
      <c r="C36" s="2" t="s">
        <v>4</v>
      </c>
      <c r="D36" s="4">
        <v>2476.0990000000002</v>
      </c>
      <c r="E36" s="20"/>
    </row>
    <row r="37" spans="1:5" ht="33" customHeight="1" x14ac:dyDescent="0.25">
      <c r="A37" s="8">
        <v>147</v>
      </c>
      <c r="B37" s="1" t="s">
        <v>40</v>
      </c>
      <c r="C37" s="2" t="s">
        <v>4</v>
      </c>
      <c r="D37" s="4">
        <v>2662.9789999999998</v>
      </c>
      <c r="E37" s="20"/>
    </row>
    <row r="38" spans="1:5" ht="33" customHeight="1" x14ac:dyDescent="0.25">
      <c r="A38" s="8">
        <v>148</v>
      </c>
      <c r="B38" s="1" t="s">
        <v>41</v>
      </c>
      <c r="C38" s="2" t="s">
        <v>4</v>
      </c>
      <c r="D38" s="4">
        <v>2662.9789999999998</v>
      </c>
      <c r="E38" s="20"/>
    </row>
    <row r="39" spans="1:5" ht="33" customHeight="1" x14ac:dyDescent="0.25">
      <c r="A39" s="8">
        <v>149</v>
      </c>
      <c r="B39" s="1" t="s">
        <v>42</v>
      </c>
      <c r="C39" s="2" t="s">
        <v>4</v>
      </c>
      <c r="D39" s="3">
        <v>189.167</v>
      </c>
      <c r="E39" s="19"/>
    </row>
    <row r="40" spans="1:5" ht="33" customHeight="1" x14ac:dyDescent="0.25">
      <c r="A40" s="8">
        <v>150</v>
      </c>
      <c r="B40" s="1" t="s">
        <v>43</v>
      </c>
      <c r="C40" s="2" t="s">
        <v>4</v>
      </c>
      <c r="D40" s="3">
        <v>155.22</v>
      </c>
      <c r="E40" s="19"/>
    </row>
    <row r="41" spans="1:5" ht="33" customHeight="1" x14ac:dyDescent="0.25">
      <c r="A41" s="8">
        <v>151</v>
      </c>
      <c r="B41" s="1" t="s">
        <v>44</v>
      </c>
      <c r="C41" s="2" t="s">
        <v>4</v>
      </c>
      <c r="D41" s="3">
        <v>143.28</v>
      </c>
      <c r="E41" s="19"/>
    </row>
    <row r="42" spans="1:5" ht="33" customHeight="1" x14ac:dyDescent="0.25">
      <c r="A42" s="8">
        <v>152</v>
      </c>
      <c r="B42" s="1" t="s">
        <v>45</v>
      </c>
      <c r="C42" s="2" t="s">
        <v>4</v>
      </c>
      <c r="D42" s="3">
        <v>97.68</v>
      </c>
      <c r="E42" s="19"/>
    </row>
    <row r="43" spans="1:5" ht="33" customHeight="1" x14ac:dyDescent="0.25">
      <c r="A43" s="8">
        <v>153</v>
      </c>
      <c r="B43" s="1" t="s">
        <v>46</v>
      </c>
      <c r="C43" s="2" t="s">
        <v>4</v>
      </c>
      <c r="D43" s="3">
        <v>82.56</v>
      </c>
      <c r="E43" s="19"/>
    </row>
    <row r="44" spans="1:5" ht="33" customHeight="1" x14ac:dyDescent="0.25">
      <c r="A44" s="8">
        <v>154</v>
      </c>
      <c r="B44" s="1" t="s">
        <v>47</v>
      </c>
      <c r="C44" s="2" t="s">
        <v>4</v>
      </c>
      <c r="D44" s="3">
        <v>23.265000000000001</v>
      </c>
      <c r="E44" s="19"/>
    </row>
    <row r="45" spans="1:5" ht="33" customHeight="1" x14ac:dyDescent="0.25">
      <c r="A45" s="8">
        <v>155</v>
      </c>
      <c r="B45" s="1" t="s">
        <v>48</v>
      </c>
      <c r="C45" s="2" t="s">
        <v>10</v>
      </c>
      <c r="D45" s="3">
        <v>54.9</v>
      </c>
      <c r="E45" s="19"/>
    </row>
    <row r="46" spans="1:5" ht="33" customHeight="1" x14ac:dyDescent="0.25">
      <c r="A46" s="8">
        <v>156</v>
      </c>
      <c r="B46" s="1" t="s">
        <v>49</v>
      </c>
      <c r="C46" s="2" t="s">
        <v>4</v>
      </c>
      <c r="D46" s="3">
        <v>675.84</v>
      </c>
      <c r="E46" s="19"/>
    </row>
    <row r="47" spans="1:5" ht="33" customHeight="1" x14ac:dyDescent="0.25">
      <c r="A47" s="8">
        <v>157</v>
      </c>
      <c r="B47" s="1" t="s">
        <v>50</v>
      </c>
      <c r="C47" s="2" t="s">
        <v>4</v>
      </c>
      <c r="D47" s="4">
        <v>1452.951</v>
      </c>
      <c r="E47" s="20"/>
    </row>
    <row r="48" spans="1:5" ht="33" customHeight="1" x14ac:dyDescent="0.25">
      <c r="A48" s="8">
        <v>158</v>
      </c>
      <c r="B48" s="1" t="s">
        <v>51</v>
      </c>
      <c r="C48" s="2" t="s">
        <v>4</v>
      </c>
      <c r="D48" s="3">
        <v>383.185</v>
      </c>
      <c r="E48" s="19"/>
    </row>
    <row r="49" spans="1:5" ht="33" customHeight="1" x14ac:dyDescent="0.25">
      <c r="A49" s="8">
        <v>159</v>
      </c>
      <c r="B49" s="1" t="s">
        <v>52</v>
      </c>
      <c r="C49" s="2" t="s">
        <v>31</v>
      </c>
      <c r="D49" s="3">
        <v>80.64</v>
      </c>
      <c r="E49" s="19"/>
    </row>
    <row r="50" spans="1:5" ht="33" customHeight="1" x14ac:dyDescent="0.25">
      <c r="A50" s="8">
        <v>160</v>
      </c>
      <c r="B50" s="1" t="s">
        <v>53</v>
      </c>
      <c r="C50" s="2" t="s">
        <v>31</v>
      </c>
      <c r="D50" s="3">
        <v>28</v>
      </c>
      <c r="E50" s="19"/>
    </row>
    <row r="51" spans="1:5" ht="33" customHeight="1" x14ac:dyDescent="0.25">
      <c r="A51" s="9">
        <v>161</v>
      </c>
      <c r="B51" s="5" t="s">
        <v>54</v>
      </c>
      <c r="C51" s="6" t="s">
        <v>31</v>
      </c>
      <c r="D51" s="7">
        <v>532</v>
      </c>
      <c r="E51" s="19"/>
    </row>
    <row r="52" spans="1:5" ht="33" customHeight="1" x14ac:dyDescent="0.25">
      <c r="A52" s="21"/>
      <c r="B52" s="22"/>
      <c r="C52" s="23"/>
      <c r="D52" s="19"/>
      <c r="E52" s="24"/>
    </row>
    <row r="53" spans="1:5" ht="33" customHeight="1" x14ac:dyDescent="0.25">
      <c r="A53" s="21"/>
      <c r="B53" s="22"/>
      <c r="C53" s="23"/>
      <c r="D53" s="19"/>
      <c r="E53" s="19"/>
    </row>
    <row r="54" spans="1:5" ht="33" customHeight="1" x14ac:dyDescent="0.25">
      <c r="A54" s="21"/>
      <c r="B54" s="22"/>
      <c r="C54" s="23"/>
      <c r="D54" s="19"/>
      <c r="E54" s="19"/>
    </row>
    <row r="55" spans="1:5" ht="33" customHeight="1" x14ac:dyDescent="0.25">
      <c r="A55" s="21"/>
      <c r="B55" s="22"/>
      <c r="C55" s="23"/>
      <c r="D55" s="19"/>
      <c r="E55" s="19"/>
    </row>
    <row r="56" spans="1:5" x14ac:dyDescent="0.25">
      <c r="B56" s="25"/>
      <c r="C56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TK cửa</vt:lpstr>
      <vt:lpstr>6T</vt:lpstr>
      <vt:lpstr>Giá vốn</vt:lpstr>
      <vt:lpstr>Sheet1</vt:lpstr>
      <vt:lpstr>Ốp cột</vt:lpstr>
      <vt:lpstr>Summary</vt:lpstr>
      <vt:lpstr>'6T'!Ghi_chú</vt:lpstr>
      <vt:lpstr>'6T'!Print_Area</vt:lpstr>
      <vt:lpstr>'Giá vốn'!Print_Area</vt:lpstr>
      <vt:lpstr>'6T'!Print_Titles</vt:lpstr>
      <vt:lpstr>THKL</vt:lpstr>
      <vt:lpstr>TKL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2017-03-08T03:18:57Z</dcterms:modified>
</cp:coreProperties>
</file>