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han\Downloads\Gitrepo\Affine\"/>
    </mc:Choice>
  </mc:AlternateContent>
  <xr:revisionPtr revIDLastSave="0" documentId="13_ncr:1_{6E2EAA8E-D6E6-44F1-A78D-2D6EC90818E1}" xr6:coauthVersionLast="47" xr6:coauthVersionMax="47" xr10:uidLastSave="{00000000-0000-0000-0000-000000000000}"/>
  <bookViews>
    <workbookView xWindow="-120" yWindow="-120" windowWidth="29040" windowHeight="16440" activeTab="1" xr2:uid="{239F5D48-E4E3-F645-BABA-08DD8A1E159A}"/>
  </bookViews>
  <sheets>
    <sheet name="FEB 2025" sheetId="2" r:id="rId1"/>
    <sheet name="INCOME TAX CAL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" l="1"/>
  <c r="Q13" i="1" s="1"/>
  <c r="R15" i="1" s="1"/>
  <c r="G6" i="2"/>
  <c r="G9" i="2" s="1"/>
  <c r="H13" i="2" s="1"/>
  <c r="I13" i="2" s="1"/>
  <c r="I18" i="2"/>
  <c r="D47" i="1"/>
  <c r="D51" i="1"/>
  <c r="D53" i="1"/>
  <c r="D33" i="1"/>
  <c r="D42" i="1"/>
  <c r="D37" i="1"/>
  <c r="C27" i="1"/>
  <c r="D31" i="1" s="1"/>
  <c r="D35" i="1"/>
  <c r="D49" i="1"/>
  <c r="D45" i="1"/>
  <c r="R21" i="1" l="1"/>
  <c r="S21" i="1" s="1"/>
  <c r="R20" i="1"/>
  <c r="S20" i="1" s="1"/>
  <c r="R18" i="1"/>
  <c r="S18" i="1" s="1"/>
  <c r="R19" i="1"/>
  <c r="S19" i="1" s="1"/>
  <c r="R17" i="1"/>
  <c r="S17" i="1" s="1"/>
  <c r="R16" i="1"/>
  <c r="S16" i="1" s="1"/>
  <c r="M17" i="2"/>
  <c r="N17" i="2" s="1"/>
  <c r="H19" i="2"/>
  <c r="I19" i="2" s="1"/>
  <c r="H17" i="2"/>
  <c r="I17" i="2" s="1"/>
  <c r="H16" i="2"/>
  <c r="I16" i="2" s="1"/>
  <c r="H15" i="2"/>
  <c r="I15" i="2" s="1"/>
  <c r="H14" i="2"/>
  <c r="I14" i="2" s="1"/>
  <c r="M19" i="2"/>
  <c r="N19" i="2" s="1"/>
  <c r="M18" i="2"/>
  <c r="N18" i="2" s="1"/>
  <c r="M13" i="2"/>
  <c r="N13" i="2" s="1"/>
  <c r="M16" i="2"/>
  <c r="N16" i="2" s="1"/>
  <c r="M15" i="2"/>
  <c r="N15" i="2" s="1"/>
  <c r="M14" i="2"/>
  <c r="N14" i="2" s="1"/>
  <c r="S15" i="1"/>
  <c r="D55" i="1"/>
  <c r="D57" i="1" s="1"/>
  <c r="L22" i="1" s="1"/>
  <c r="M24" i="1" s="1"/>
  <c r="N24" i="1" s="1"/>
  <c r="N20" i="2" l="1"/>
  <c r="S22" i="1"/>
  <c r="S30" i="1" s="1"/>
  <c r="S31" i="1" s="1"/>
  <c r="S33" i="1" s="1"/>
  <c r="H15" i="1" s="1"/>
  <c r="I20" i="2"/>
  <c r="M25" i="1"/>
  <c r="N25" i="1" s="1"/>
  <c r="M26" i="1"/>
  <c r="N26" i="1" s="1"/>
  <c r="L13" i="1"/>
  <c r="M17" i="1" s="1"/>
  <c r="N17" i="1" s="1"/>
  <c r="M27" i="1"/>
  <c r="N27" i="1" s="1"/>
  <c r="N22" i="2" l="1"/>
  <c r="N23" i="2" s="1"/>
  <c r="I22" i="2"/>
  <c r="I23" i="2" s="1"/>
  <c r="M15" i="1"/>
  <c r="N15" i="1" s="1"/>
  <c r="M18" i="1"/>
  <c r="N18" i="1" s="1"/>
  <c r="N28" i="1"/>
  <c r="M16" i="1"/>
  <c r="N16" i="1" s="1"/>
  <c r="N19" i="1" l="1"/>
  <c r="N30" i="1" s="1"/>
  <c r="N31" i="1" s="1"/>
  <c r="N33" i="1" s="1"/>
  <c r="H13" i="1" s="1"/>
</calcChain>
</file>

<file path=xl/sharedStrings.xml><?xml version="1.0" encoding="utf-8"?>
<sst xmlns="http://schemas.openxmlformats.org/spreadsheetml/2006/main" count="134" uniqueCount="95">
  <si>
    <t>UNDER SECTION 80</t>
  </si>
  <si>
    <t>DEDUCTIONS</t>
  </si>
  <si>
    <t>NAME</t>
  </si>
  <si>
    <t>AGE</t>
  </si>
  <si>
    <t>1. HEALTH INSURANCE FOR SELF</t>
  </si>
  <si>
    <t>2. HEALTH INSURANCE FOR PARENTS</t>
  </si>
  <si>
    <t>LIFE INSURANCE PREMIUM</t>
  </si>
  <si>
    <t>UNIT LINKED INSURANCE</t>
  </si>
  <si>
    <t>ELSS</t>
  </si>
  <si>
    <t>CHILDREN'S TUTION FEES</t>
  </si>
  <si>
    <t>PPF</t>
  </si>
  <si>
    <t>CONTRIBUTION TO SSY</t>
  </si>
  <si>
    <t>TAX SAVING FD</t>
  </si>
  <si>
    <t>NSC</t>
  </si>
  <si>
    <t>PRINCIPAL ON HOME LOAN</t>
  </si>
  <si>
    <t>EPF / NPS</t>
  </si>
  <si>
    <t>SEC 80E INTEREST ON EDUCATION LOAN      (E)</t>
  </si>
  <si>
    <t>NPS 80CCD(1B)                                                    (C)</t>
  </si>
  <si>
    <t>SECTION 80GG HRA                                            (D)</t>
  </si>
  <si>
    <t>SECTION 24B HOME LOAN INTEREST              (H)</t>
  </si>
  <si>
    <t>TOTAL DEDUCTION UNDER 80D                       (G)</t>
  </si>
  <si>
    <t>GROSS TOTAL                                                     (B)</t>
  </si>
  <si>
    <t>YEARS</t>
  </si>
  <si>
    <t>1 to 250000</t>
  </si>
  <si>
    <t>250001 to 500000</t>
  </si>
  <si>
    <t>500001 to 1000000</t>
  </si>
  <si>
    <t>above 1000000</t>
  </si>
  <si>
    <t>TOTAL TAXABLE INCOME</t>
  </si>
  <si>
    <t>TAX SLABS</t>
  </si>
  <si>
    <t>RATE</t>
  </si>
  <si>
    <t>SLAB VALUE</t>
  </si>
  <si>
    <t>TAX</t>
  </si>
  <si>
    <t>TAX CALCULATION FOR AGE ABOVE 60 AND BELOW 80YEARS</t>
  </si>
  <si>
    <t>TAX CALCULATION AS PER OLD TAX REGIME</t>
  </si>
  <si>
    <t>Above 1500000</t>
  </si>
  <si>
    <t>GROSS TAX PAYABLE</t>
  </si>
  <si>
    <t>EDUCATION CESS 4%</t>
  </si>
  <si>
    <t>GROSS TAX PAYABLE UNDER OLD REGIME</t>
  </si>
  <si>
    <t>Disclaimer: The calculator is for the age lesser than 80Yrs &amp; it is to give the approximate tax payable value which will help you in analysing things accordingly. So please consider this as only for learning purpose only</t>
  </si>
  <si>
    <t>SECTION 80D                                                       (G)</t>
  </si>
  <si>
    <t>TOTAL ANNUAL INCOME                                    (A)</t>
  </si>
  <si>
    <t>UNDER SECTION 80C                                          (B)</t>
  </si>
  <si>
    <t>SEC 80EEA INTEREST ON HOME LOAN            (F)</t>
  </si>
  <si>
    <t>SECTION 80EEB INTEREST ON EV                     (I)</t>
  </si>
  <si>
    <t>STANDARD DEDUCTION                                      (J)</t>
  </si>
  <si>
    <t>LTA  SECTION 10(5)                                              (K)</t>
  </si>
  <si>
    <t>OTHERS                                                                 (L)</t>
  </si>
  <si>
    <t>TOTAL DEDUCTIONS (M) (B+C+D+E+F+G+H+I+J+K+L)</t>
  </si>
  <si>
    <t>NET TAXABLE INCOME                                   (A-M)</t>
  </si>
  <si>
    <t>PARENT'S AGE</t>
  </si>
  <si>
    <t>NET DEDUCTIONS UNDER SEC 80C          (B+C)</t>
  </si>
  <si>
    <t>Note: Please Click on the yellow colored cells only to feed the details</t>
  </si>
  <si>
    <t>https://www.youtube.com/channel/UChBT5TlUeG68PKvJSg6MkqQ</t>
  </si>
  <si>
    <t>TO IMPROVE YOUR FINANCIAL KNOWLEDGE FOLLOW US @</t>
  </si>
  <si>
    <t>THIS PRODUCT BELONGS TO</t>
  </si>
  <si>
    <t>1 to 300000</t>
  </si>
  <si>
    <t>1200001 to 1500000</t>
  </si>
  <si>
    <t>Removed in Budget 2023</t>
  </si>
  <si>
    <t>TAXABLE INCOME (-STD)</t>
  </si>
  <si>
    <t>GROSS TAX PAYABLE UNDER NEW REGIME</t>
  </si>
  <si>
    <t>300001 to 700000</t>
  </si>
  <si>
    <t>700001 to 1000000</t>
  </si>
  <si>
    <t>1000001 to 1200000</t>
  </si>
  <si>
    <t>NET TOATAL TAX PAYABLE UNDER NEW REGIME</t>
  </si>
  <si>
    <t>TAX PAYABLE</t>
  </si>
  <si>
    <t>AS PER OLD REGIME</t>
  </si>
  <si>
    <t>ANNUAL INCOME</t>
  </si>
  <si>
    <t>ADDITIONAL INCOME</t>
  </si>
  <si>
    <t>TOTAL ANNUAL INCOME</t>
  </si>
  <si>
    <t xml:space="preserve">NEW TAX REGIME </t>
  </si>
  <si>
    <t>STANDARD DEDUCTIONS</t>
  </si>
  <si>
    <t>NET TAXABLE INCOME</t>
  </si>
  <si>
    <t>1 to 400000</t>
  </si>
  <si>
    <t>400001 to 800000</t>
  </si>
  <si>
    <t>800001 to 1200000</t>
  </si>
  <si>
    <t>1200001 to 1600000</t>
  </si>
  <si>
    <t>1600001 to 2000000</t>
  </si>
  <si>
    <t>2000000 to 2400000</t>
  </si>
  <si>
    <t>Above 2400000</t>
  </si>
  <si>
    <t>HEALTH &amp; EDUCATION CESS OF 4%</t>
  </si>
  <si>
    <t>TAX CALCULATION AS PER NEW TAX REGIME FEB 2025</t>
  </si>
  <si>
    <t>NEW TAX REGIME AS PER FEB 2025</t>
  </si>
  <si>
    <t>SRINIVAS</t>
  </si>
  <si>
    <t>NET TOATAL TAX PAYABLE UNDER OLD REGIME</t>
  </si>
  <si>
    <t>STANDARD DEDUCTION</t>
  </si>
  <si>
    <t>AS PER NEW REGIME PROPOSED IN BUDGET</t>
  </si>
  <si>
    <t>SUPPORT YOUR CHANNEL, USE THE LINK BELOW TO OPEN DEMAT A/C</t>
  </si>
  <si>
    <t>FYERS</t>
  </si>
  <si>
    <t>ZERODHA</t>
  </si>
  <si>
    <t>https://tinyurl.com/y8sbw9w8</t>
  </si>
  <si>
    <t>UPSTOX</t>
  </si>
  <si>
    <t>https://bit.ly/3JZwgyc</t>
  </si>
  <si>
    <t>https://zerodha.com/open-account?c=ZMPVNW</t>
  </si>
  <si>
    <t>ANGEL</t>
  </si>
  <si>
    <t>https://angel-one.onelink.me/Wjgr/8vxyj8iq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</si>
</sst>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24" x14ac:knownFonts="1">
    <font>
      <sz val="12"/>
      <color theme="1"/>
      <name val="Calibri"/>
      <family val="2"/>
      <scheme val="minor"/>
    </font>
    <font>
      <sz val="36"/>
      <color theme="1"/>
      <name val="Arial Bold"/>
    </font>
    <font>
      <b/>
      <sz val="36"/>
      <color theme="1"/>
      <name val="Arial Bold"/>
    </font>
    <font>
      <sz val="22"/>
      <color theme="1"/>
      <name val="Arial Bold"/>
    </font>
    <font>
      <sz val="36"/>
      <color theme="0"/>
      <name val="Arial Bold"/>
    </font>
    <font>
      <u/>
      <sz val="12"/>
      <color theme="10"/>
      <name val="Calibri"/>
      <family val="2"/>
      <scheme val="minor"/>
    </font>
    <font>
      <sz val="32"/>
      <color theme="0"/>
      <name val="Arial Bold"/>
    </font>
    <font>
      <b/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u/>
      <sz val="36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name val="Arial Bold"/>
    </font>
    <font>
      <b/>
      <sz val="36"/>
      <name val="Calibri"/>
      <family val="2"/>
      <scheme val="minor"/>
    </font>
    <font>
      <b/>
      <sz val="36"/>
      <name val="Arial"/>
      <family val="2"/>
    </font>
    <font>
      <b/>
      <u/>
      <sz val="36"/>
      <color theme="1"/>
      <name val="Calibri"/>
      <family val="2"/>
      <scheme val="minor"/>
    </font>
    <font>
      <b/>
      <u/>
      <sz val="30"/>
      <color theme="10"/>
      <name val="Calibri"/>
      <family val="2"/>
      <scheme val="minor"/>
    </font>
    <font>
      <b/>
      <sz val="30"/>
      <color theme="1"/>
      <name val="Arial Bold"/>
    </font>
    <font>
      <u/>
      <sz val="36"/>
      <color theme="10"/>
      <name val="Calibri"/>
      <family val="2"/>
      <scheme val="minor"/>
    </font>
    <font>
      <sz val="36"/>
      <color rgb="FF0D0D0D"/>
      <name val="Arial"/>
      <family val="2"/>
    </font>
    <font>
      <u/>
      <sz val="32"/>
      <color theme="10"/>
      <name val="Calibri"/>
      <family val="2"/>
      <scheme val="minor"/>
    </font>
    <font>
      <sz val="32"/>
      <color rgb="FF0D0D0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1C29E"/>
        <bgColor indexed="64"/>
      </patternFill>
    </fill>
    <fill>
      <patternFill patternType="solid">
        <fgColor rgb="FFFCE8C8"/>
        <bgColor indexed="64"/>
      </patternFill>
    </fill>
  </fills>
  <borders count="29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theme="1"/>
      </right>
      <top style="thick">
        <color theme="0"/>
      </top>
      <bottom/>
      <diagonal/>
    </border>
    <border>
      <left/>
      <right style="thick">
        <color theme="1"/>
      </right>
      <top/>
      <bottom style="thick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0">
    <xf numFmtId="0" fontId="0" fillId="0" borderId="0" xfId="0"/>
    <xf numFmtId="0" fontId="1" fillId="0" borderId="0" xfId="0" applyFont="1" applyProtection="1">
      <protection locked="0"/>
    </xf>
    <xf numFmtId="0" fontId="1" fillId="0" borderId="7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19" xfId="0" applyFont="1" applyBorder="1" applyProtection="1">
      <protection locked="0"/>
    </xf>
    <xf numFmtId="9" fontId="1" fillId="0" borderId="0" xfId="0" applyNumberFormat="1" applyFont="1" applyProtection="1">
      <protection locked="0"/>
    </xf>
    <xf numFmtId="164" fontId="1" fillId="0" borderId="3" xfId="0" applyNumberFormat="1" applyFont="1" applyBorder="1" applyProtection="1">
      <protection locked="0"/>
    </xf>
    <xf numFmtId="0" fontId="1" fillId="0" borderId="22" xfId="0" applyFont="1" applyBorder="1" applyProtection="1">
      <protection locked="0"/>
    </xf>
    <xf numFmtId="164" fontId="1" fillId="0" borderId="0" xfId="0" applyNumberFormat="1" applyFont="1" applyProtection="1">
      <protection locked="0"/>
    </xf>
    <xf numFmtId="164" fontId="1" fillId="0" borderId="8" xfId="0" applyNumberFormat="1" applyFont="1" applyBorder="1" applyProtection="1">
      <protection locked="0"/>
    </xf>
    <xf numFmtId="164" fontId="1" fillId="0" borderId="11" xfId="0" applyNumberFormat="1" applyFont="1" applyBorder="1" applyProtection="1">
      <protection locked="0"/>
    </xf>
    <xf numFmtId="0" fontId="1" fillId="0" borderId="2" xfId="0" applyFont="1" applyBorder="1" applyProtection="1">
      <protection locked="0"/>
    </xf>
    <xf numFmtId="164" fontId="1" fillId="0" borderId="5" xfId="0" applyNumberFormat="1" applyFont="1" applyBorder="1" applyProtection="1">
      <protection locked="0"/>
    </xf>
    <xf numFmtId="164" fontId="1" fillId="0" borderId="13" xfId="0" applyNumberFormat="1" applyFont="1" applyBorder="1" applyProtection="1">
      <protection hidden="1"/>
    </xf>
    <xf numFmtId="164" fontId="1" fillId="0" borderId="14" xfId="0" applyNumberFormat="1" applyFont="1" applyBorder="1" applyProtection="1">
      <protection hidden="1"/>
    </xf>
    <xf numFmtId="164" fontId="1" fillId="0" borderId="22" xfId="0" applyNumberFormat="1" applyFont="1" applyBorder="1" applyProtection="1">
      <protection hidden="1"/>
    </xf>
    <xf numFmtId="164" fontId="1" fillId="0" borderId="16" xfId="0" applyNumberFormat="1" applyFont="1" applyBorder="1" applyProtection="1">
      <protection hidden="1"/>
    </xf>
    <xf numFmtId="164" fontId="1" fillId="0" borderId="19" xfId="0" applyNumberFormat="1" applyFont="1" applyBorder="1" applyProtection="1">
      <protection hidden="1"/>
    </xf>
    <xf numFmtId="164" fontId="1" fillId="0" borderId="25" xfId="0" applyNumberFormat="1" applyFont="1" applyBorder="1" applyProtection="1">
      <protection hidden="1"/>
    </xf>
    <xf numFmtId="9" fontId="1" fillId="0" borderId="13" xfId="0" applyNumberFormat="1" applyFont="1" applyBorder="1" applyAlignment="1" applyProtection="1">
      <alignment horizontal="center"/>
      <protection hidden="1"/>
    </xf>
    <xf numFmtId="9" fontId="1" fillId="0" borderId="14" xfId="0" applyNumberFormat="1" applyFont="1" applyBorder="1" applyAlignment="1" applyProtection="1">
      <alignment horizontal="center"/>
      <protection hidden="1"/>
    </xf>
    <xf numFmtId="9" fontId="1" fillId="0" borderId="15" xfId="0" applyNumberFormat="1" applyFont="1" applyBorder="1" applyAlignment="1" applyProtection="1">
      <alignment horizontal="center"/>
      <protection hidden="1"/>
    </xf>
    <xf numFmtId="9" fontId="1" fillId="0" borderId="16" xfId="0" applyNumberFormat="1" applyFont="1" applyBorder="1" applyAlignment="1" applyProtection="1">
      <alignment horizontal="center"/>
      <protection hidden="1"/>
    </xf>
    <xf numFmtId="9" fontId="1" fillId="0" borderId="25" xfId="0" applyNumberFormat="1" applyFont="1" applyBorder="1" applyAlignment="1" applyProtection="1">
      <alignment horizontal="center"/>
      <protection hidden="1"/>
    </xf>
    <xf numFmtId="9" fontId="1" fillId="0" borderId="26" xfId="0" applyNumberFormat="1" applyFont="1" applyBorder="1" applyAlignment="1" applyProtection="1">
      <alignment horizontal="center"/>
      <protection hidden="1"/>
    </xf>
    <xf numFmtId="0" fontId="3" fillId="0" borderId="0" xfId="0" applyFo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15" xfId="0" applyFont="1" applyBorder="1" applyProtection="1">
      <protection hidden="1"/>
    </xf>
    <xf numFmtId="0" fontId="1" fillId="0" borderId="14" xfId="0" applyFont="1" applyBorder="1" applyProtection="1">
      <protection hidden="1"/>
    </xf>
    <xf numFmtId="0" fontId="1" fillId="0" borderId="13" xfId="0" applyFont="1" applyBorder="1" applyProtection="1">
      <protection hidden="1"/>
    </xf>
    <xf numFmtId="0" fontId="1" fillId="0" borderId="0" xfId="0" applyFont="1" applyProtection="1">
      <protection hidden="1"/>
    </xf>
    <xf numFmtId="0" fontId="1" fillId="2" borderId="0" xfId="0" applyFont="1" applyFill="1" applyProtection="1">
      <protection locked="0"/>
    </xf>
    <xf numFmtId="9" fontId="1" fillId="2" borderId="0" xfId="0" applyNumberFormat="1" applyFont="1" applyFill="1" applyProtection="1">
      <protection locked="0"/>
    </xf>
    <xf numFmtId="0" fontId="4" fillId="2" borderId="0" xfId="0" applyFont="1" applyFill="1" applyProtection="1">
      <protection locked="0"/>
    </xf>
    <xf numFmtId="0" fontId="1" fillId="2" borderId="0" xfId="0" applyFont="1" applyFill="1" applyProtection="1">
      <protection hidden="1"/>
    </xf>
    <xf numFmtId="0" fontId="8" fillId="2" borderId="0" xfId="0" applyFont="1" applyFill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164" fontId="1" fillId="0" borderId="0" xfId="0" applyNumberFormat="1" applyFont="1" applyProtection="1">
      <protection hidden="1"/>
    </xf>
    <xf numFmtId="0" fontId="1" fillId="4" borderId="1" xfId="0" applyFont="1" applyFill="1" applyBorder="1" applyProtection="1">
      <protection hidden="1"/>
    </xf>
    <xf numFmtId="1" fontId="1" fillId="5" borderId="2" xfId="0" applyNumberFormat="1" applyFont="1" applyFill="1" applyBorder="1" applyProtection="1">
      <protection locked="0"/>
    </xf>
    <xf numFmtId="0" fontId="1" fillId="5" borderId="3" xfId="0" applyFont="1" applyFill="1" applyBorder="1" applyProtection="1">
      <protection hidden="1"/>
    </xf>
    <xf numFmtId="164" fontId="1" fillId="5" borderId="1" xfId="0" applyNumberFormat="1" applyFont="1" applyFill="1" applyBorder="1" applyProtection="1">
      <protection locked="0"/>
    </xf>
    <xf numFmtId="164" fontId="1" fillId="5" borderId="3" xfId="0" applyNumberFormat="1" applyFont="1" applyFill="1" applyBorder="1" applyProtection="1">
      <protection locked="0"/>
    </xf>
    <xf numFmtId="164" fontId="1" fillId="5" borderId="4" xfId="0" applyNumberFormat="1" applyFont="1" applyFill="1" applyBorder="1" applyProtection="1">
      <protection locked="0"/>
    </xf>
    <xf numFmtId="164" fontId="1" fillId="4" borderId="3" xfId="0" applyNumberFormat="1" applyFont="1" applyFill="1" applyBorder="1" applyProtection="1">
      <protection hidden="1"/>
    </xf>
    <xf numFmtId="0" fontId="1" fillId="4" borderId="6" xfId="0" applyFont="1" applyFill="1" applyBorder="1" applyProtection="1">
      <protection hidden="1"/>
    </xf>
    <xf numFmtId="0" fontId="1" fillId="4" borderId="2" xfId="0" applyFont="1" applyFill="1" applyBorder="1" applyProtection="1">
      <protection hidden="1"/>
    </xf>
    <xf numFmtId="0" fontId="1" fillId="4" borderId="9" xfId="0" applyFont="1" applyFill="1" applyBorder="1" applyProtection="1">
      <protection hidden="1"/>
    </xf>
    <xf numFmtId="0" fontId="1" fillId="4" borderId="4" xfId="0" applyFont="1" applyFill="1" applyBorder="1" applyProtection="1">
      <protection hidden="1"/>
    </xf>
    <xf numFmtId="0" fontId="1" fillId="4" borderId="5" xfId="0" applyFont="1" applyFill="1" applyBorder="1" applyProtection="1">
      <protection hidden="1"/>
    </xf>
    <xf numFmtId="0" fontId="1" fillId="4" borderId="11" xfId="0" applyFont="1" applyFill="1" applyBorder="1" applyProtection="1">
      <protection hidden="1"/>
    </xf>
    <xf numFmtId="0" fontId="1" fillId="4" borderId="3" xfId="0" applyFont="1" applyFill="1" applyBorder="1" applyProtection="1">
      <protection hidden="1"/>
    </xf>
    <xf numFmtId="0" fontId="1" fillId="4" borderId="10" xfId="0" applyFont="1" applyFill="1" applyBorder="1" applyProtection="1">
      <protection hidden="1"/>
    </xf>
    <xf numFmtId="0" fontId="1" fillId="4" borderId="12" xfId="0" applyFont="1" applyFill="1" applyBorder="1" applyProtection="1">
      <protection hidden="1"/>
    </xf>
    <xf numFmtId="0" fontId="1" fillId="4" borderId="13" xfId="0" applyFont="1" applyFill="1" applyBorder="1" applyProtection="1">
      <protection hidden="1"/>
    </xf>
    <xf numFmtId="0" fontId="1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1" fillId="4" borderId="13" xfId="0" applyFont="1" applyFill="1" applyBorder="1" applyAlignment="1" applyProtection="1">
      <alignment horizontal="center"/>
      <protection hidden="1"/>
    </xf>
    <xf numFmtId="0" fontId="1" fillId="4" borderId="14" xfId="0" applyFont="1" applyFill="1" applyBorder="1" applyProtection="1">
      <protection hidden="1"/>
    </xf>
    <xf numFmtId="0" fontId="1" fillId="4" borderId="15" xfId="0" applyFont="1" applyFill="1" applyBorder="1" applyProtection="1">
      <protection hidden="1"/>
    </xf>
    <xf numFmtId="0" fontId="1" fillId="4" borderId="16" xfId="0" applyFont="1" applyFill="1" applyBorder="1" applyProtection="1">
      <protection hidden="1"/>
    </xf>
    <xf numFmtId="0" fontId="1" fillId="4" borderId="20" xfId="0" applyFont="1" applyFill="1" applyBorder="1" applyProtection="1">
      <protection hidden="1"/>
    </xf>
    <xf numFmtId="0" fontId="1" fillId="4" borderId="21" xfId="0" applyFont="1" applyFill="1" applyBorder="1" applyProtection="1">
      <protection hidden="1"/>
    </xf>
    <xf numFmtId="0" fontId="1" fillId="4" borderId="25" xfId="0" applyFont="1" applyFill="1" applyBorder="1" applyProtection="1">
      <protection hidden="1"/>
    </xf>
    <xf numFmtId="0" fontId="1" fillId="4" borderId="18" xfId="0" applyFont="1" applyFill="1" applyBorder="1" applyProtection="1">
      <protection hidden="1"/>
    </xf>
    <xf numFmtId="0" fontId="14" fillId="4" borderId="13" xfId="0" applyFont="1" applyFill="1" applyBorder="1" applyProtection="1">
      <protection hidden="1"/>
    </xf>
    <xf numFmtId="0" fontId="14" fillId="4" borderId="13" xfId="0" applyFont="1" applyFill="1" applyBorder="1" applyAlignment="1" applyProtection="1">
      <alignment horizontal="center"/>
      <protection hidden="1"/>
    </xf>
    <xf numFmtId="0" fontId="14" fillId="4" borderId="14" xfId="0" applyFont="1" applyFill="1" applyBorder="1" applyProtection="1">
      <protection hidden="1"/>
    </xf>
    <xf numFmtId="0" fontId="14" fillId="4" borderId="15" xfId="0" applyFont="1" applyFill="1" applyBorder="1" applyProtection="1">
      <protection hidden="1"/>
    </xf>
    <xf numFmtId="0" fontId="14" fillId="4" borderId="16" xfId="0" applyFont="1" applyFill="1" applyBorder="1" applyProtection="1">
      <protection hidden="1"/>
    </xf>
    <xf numFmtId="164" fontId="14" fillId="4" borderId="13" xfId="0" applyNumberFormat="1" applyFont="1" applyFill="1" applyBorder="1" applyProtection="1">
      <protection hidden="1"/>
    </xf>
    <xf numFmtId="164" fontId="14" fillId="0" borderId="3" xfId="0" applyNumberFormat="1" applyFont="1" applyBorder="1" applyProtection="1">
      <protection hidden="1"/>
    </xf>
    <xf numFmtId="164" fontId="1" fillId="0" borderId="3" xfId="0" applyNumberFormat="1" applyFont="1" applyBorder="1" applyProtection="1">
      <protection hidden="1"/>
    </xf>
    <xf numFmtId="164" fontId="1" fillId="0" borderId="1" xfId="0" applyNumberFormat="1" applyFont="1" applyBorder="1" applyProtection="1">
      <protection hidden="1"/>
    </xf>
    <xf numFmtId="164" fontId="1" fillId="0" borderId="14" xfId="0" applyNumberFormat="1" applyFont="1" applyBorder="1" applyAlignment="1" applyProtection="1">
      <alignment horizontal="center"/>
      <protection hidden="1"/>
    </xf>
    <xf numFmtId="0" fontId="1" fillId="0" borderId="15" xfId="0" applyFont="1" applyBorder="1" applyProtection="1">
      <protection locked="0"/>
    </xf>
    <xf numFmtId="0" fontId="14" fillId="4" borderId="1" xfId="0" applyFont="1" applyFill="1" applyBorder="1" applyProtection="1">
      <protection hidden="1"/>
    </xf>
    <xf numFmtId="0" fontId="1" fillId="0" borderId="11" xfId="0" applyFont="1" applyBorder="1" applyProtection="1">
      <protection hidden="1"/>
    </xf>
    <xf numFmtId="0" fontId="8" fillId="0" borderId="0" xfId="0" applyFont="1" applyProtection="1">
      <protection hidden="1"/>
    </xf>
    <xf numFmtId="0" fontId="12" fillId="2" borderId="0" xfId="0" applyFont="1" applyFill="1" applyAlignment="1" applyProtection="1">
      <alignment vertical="center"/>
      <protection hidden="1"/>
    </xf>
    <xf numFmtId="0" fontId="7" fillId="2" borderId="0" xfId="0" applyFont="1" applyFill="1" applyProtection="1">
      <protection hidden="1"/>
    </xf>
    <xf numFmtId="0" fontId="1" fillId="4" borderId="13" xfId="0" applyFont="1" applyFill="1" applyBorder="1" applyProtection="1">
      <protection locked="0"/>
    </xf>
    <xf numFmtId="0" fontId="13" fillId="0" borderId="0" xfId="0" applyFont="1" applyProtection="1">
      <protection hidden="1"/>
    </xf>
    <xf numFmtId="0" fontId="15" fillId="4" borderId="13" xfId="0" applyFont="1" applyFill="1" applyBorder="1" applyProtection="1">
      <protection hidden="1"/>
    </xf>
    <xf numFmtId="164" fontId="8" fillId="0" borderId="13" xfId="0" applyNumberFormat="1" applyFont="1" applyBorder="1" applyProtection="1">
      <protection hidden="1"/>
    </xf>
    <xf numFmtId="0" fontId="15" fillId="0" borderId="0" xfId="0" applyFont="1" applyProtection="1">
      <protection hidden="1"/>
    </xf>
    <xf numFmtId="0" fontId="8" fillId="5" borderId="13" xfId="0" applyFont="1" applyFill="1" applyBorder="1" applyAlignment="1" applyProtection="1">
      <alignment horizontal="center"/>
      <protection locked="0"/>
    </xf>
    <xf numFmtId="164" fontId="8" fillId="5" borderId="13" xfId="0" applyNumberFormat="1" applyFont="1" applyFill="1" applyBorder="1" applyProtection="1">
      <protection locked="0"/>
    </xf>
    <xf numFmtId="0" fontId="8" fillId="0" borderId="13" xfId="0" applyFont="1" applyBorder="1" applyProtection="1">
      <protection hidden="1"/>
    </xf>
    <xf numFmtId="0" fontId="8" fillId="2" borderId="13" xfId="0" applyFont="1" applyFill="1" applyBorder="1" applyProtection="1">
      <protection hidden="1"/>
    </xf>
    <xf numFmtId="9" fontId="1" fillId="2" borderId="0" xfId="0" applyNumberFormat="1" applyFont="1" applyFill="1" applyProtection="1">
      <protection hidden="1"/>
    </xf>
    <xf numFmtId="0" fontId="16" fillId="4" borderId="13" xfId="0" applyFont="1" applyFill="1" applyBorder="1" applyAlignment="1" applyProtection="1">
      <alignment horizontal="center"/>
      <protection hidden="1"/>
    </xf>
    <xf numFmtId="0" fontId="14" fillId="4" borderId="14" xfId="0" applyFont="1" applyFill="1" applyBorder="1" applyAlignment="1" applyProtection="1">
      <alignment horizontal="left"/>
      <protection hidden="1"/>
    </xf>
    <xf numFmtId="0" fontId="14" fillId="4" borderId="15" xfId="0" applyFont="1" applyFill="1" applyBorder="1" applyAlignment="1" applyProtection="1">
      <alignment horizontal="left"/>
      <protection hidden="1"/>
    </xf>
    <xf numFmtId="0" fontId="14" fillId="4" borderId="16" xfId="0" applyFont="1" applyFill="1" applyBorder="1" applyAlignment="1" applyProtection="1">
      <alignment horizontal="left"/>
      <protection hidden="1"/>
    </xf>
    <xf numFmtId="0" fontId="13" fillId="0" borderId="14" xfId="0" applyFont="1" applyBorder="1" applyAlignment="1" applyProtection="1">
      <alignment horizontal="center"/>
      <protection hidden="1"/>
    </xf>
    <xf numFmtId="0" fontId="13" fillId="0" borderId="15" xfId="0" applyFont="1" applyBorder="1" applyAlignment="1" applyProtection="1">
      <alignment horizontal="center"/>
      <protection hidden="1"/>
    </xf>
    <xf numFmtId="0" fontId="13" fillId="0" borderId="16" xfId="0" applyFont="1" applyBorder="1" applyAlignment="1" applyProtection="1">
      <alignment horizontal="center"/>
      <protection hidden="1"/>
    </xf>
    <xf numFmtId="0" fontId="13" fillId="0" borderId="13" xfId="0" applyFont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left"/>
      <protection hidden="1"/>
    </xf>
    <xf numFmtId="0" fontId="14" fillId="4" borderId="14" xfId="0" applyFont="1" applyFill="1" applyBorder="1" applyAlignment="1" applyProtection="1">
      <alignment horizontal="center"/>
      <protection hidden="1"/>
    </xf>
    <xf numFmtId="0" fontId="14" fillId="4" borderId="15" xfId="0" applyFont="1" applyFill="1" applyBorder="1" applyAlignment="1" applyProtection="1">
      <alignment horizontal="center"/>
      <protection hidden="1"/>
    </xf>
    <xf numFmtId="0" fontId="14" fillId="4" borderId="16" xfId="0" applyFont="1" applyFill="1" applyBorder="1" applyAlignment="1" applyProtection="1">
      <alignment horizontal="center"/>
      <protection hidden="1"/>
    </xf>
    <xf numFmtId="0" fontId="1" fillId="5" borderId="2" xfId="0" applyFont="1" applyFill="1" applyBorder="1" applyAlignment="1" applyProtection="1">
      <alignment horizontal="center"/>
      <protection locked="0"/>
    </xf>
    <xf numFmtId="0" fontId="1" fillId="5" borderId="3" xfId="0" applyFont="1" applyFill="1" applyBorder="1" applyAlignment="1" applyProtection="1">
      <alignment horizontal="center"/>
      <protection locked="0"/>
    </xf>
    <xf numFmtId="0" fontId="10" fillId="2" borderId="0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11" fillId="2" borderId="0" xfId="1" applyFont="1" applyFill="1" applyBorder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center"/>
      <protection locked="0"/>
    </xf>
    <xf numFmtId="0" fontId="17" fillId="2" borderId="0" xfId="1" applyFont="1" applyFill="1" applyBorder="1" applyAlignment="1" applyProtection="1">
      <alignment horizontal="center"/>
      <protection hidden="1"/>
    </xf>
    <xf numFmtId="0" fontId="20" fillId="0" borderId="13" xfId="1" applyFont="1" applyBorder="1" applyAlignment="1" applyProtection="1">
      <alignment horizontal="center"/>
      <protection hidden="1"/>
    </xf>
    <xf numFmtId="0" fontId="21" fillId="0" borderId="13" xfId="0" applyFont="1" applyBorder="1" applyAlignment="1" applyProtection="1">
      <alignment horizontal="center"/>
      <protection hidden="1"/>
    </xf>
    <xf numFmtId="0" fontId="1" fillId="4" borderId="14" xfId="0" applyFont="1" applyFill="1" applyBorder="1" applyAlignment="1" applyProtection="1">
      <alignment horizontal="center"/>
      <protection hidden="1"/>
    </xf>
    <xf numFmtId="0" fontId="1" fillId="4" borderId="15" xfId="0" applyFont="1" applyFill="1" applyBorder="1" applyAlignment="1" applyProtection="1">
      <alignment horizontal="center"/>
      <protection hidden="1"/>
    </xf>
    <xf numFmtId="0" fontId="1" fillId="4" borderId="16" xfId="0" applyFont="1" applyFill="1" applyBorder="1" applyAlignment="1" applyProtection="1">
      <alignment horizontal="center"/>
      <protection hidden="1"/>
    </xf>
    <xf numFmtId="0" fontId="1" fillId="4" borderId="14" xfId="0" applyFont="1" applyFill="1" applyBorder="1" applyAlignment="1" applyProtection="1">
      <alignment horizontal="left"/>
      <protection hidden="1"/>
    </xf>
    <xf numFmtId="0" fontId="1" fillId="4" borderId="15" xfId="0" applyFont="1" applyFill="1" applyBorder="1" applyAlignment="1" applyProtection="1">
      <alignment horizontal="left"/>
      <protection hidden="1"/>
    </xf>
    <xf numFmtId="0" fontId="1" fillId="4" borderId="16" xfId="0" applyFont="1" applyFill="1" applyBorder="1" applyAlignment="1" applyProtection="1">
      <alignment horizontal="left"/>
      <protection hidden="1"/>
    </xf>
    <xf numFmtId="0" fontId="22" fillId="0" borderId="13" xfId="1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164" fontId="1" fillId="0" borderId="15" xfId="0" applyNumberFormat="1" applyFont="1" applyBorder="1" applyAlignment="1" applyProtection="1">
      <alignment horizontal="center"/>
      <protection hidden="1"/>
    </xf>
    <xf numFmtId="0" fontId="1" fillId="4" borderId="13" xfId="0" applyFont="1" applyFill="1" applyBorder="1" applyAlignment="1" applyProtection="1">
      <alignment horizontal="center"/>
      <protection locked="0"/>
    </xf>
    <xf numFmtId="0" fontId="6" fillId="3" borderId="14" xfId="0" applyFont="1" applyFill="1" applyBorder="1" applyAlignment="1" applyProtection="1">
      <alignment horizontal="left"/>
      <protection hidden="1"/>
    </xf>
    <xf numFmtId="0" fontId="6" fillId="3" borderId="16" xfId="0" applyFont="1" applyFill="1" applyBorder="1" applyAlignment="1" applyProtection="1">
      <alignment horizontal="left"/>
      <protection hidden="1"/>
    </xf>
    <xf numFmtId="0" fontId="18" fillId="0" borderId="14" xfId="1" applyFont="1" applyBorder="1" applyAlignment="1" applyProtection="1">
      <alignment horizontal="center" vertical="center"/>
      <protection hidden="1"/>
    </xf>
    <xf numFmtId="0" fontId="19" fillId="0" borderId="15" xfId="0" applyFont="1" applyBorder="1" applyAlignment="1" applyProtection="1">
      <alignment horizontal="center" vertical="center"/>
      <protection hidden="1"/>
    </xf>
    <xf numFmtId="0" fontId="19" fillId="0" borderId="16" xfId="0" applyFont="1" applyBorder="1" applyAlignment="1" applyProtection="1">
      <alignment horizontal="center" vertical="center"/>
      <protection hidden="1"/>
    </xf>
    <xf numFmtId="164" fontId="1" fillId="0" borderId="14" xfId="0" applyNumberFormat="1" applyFont="1" applyBorder="1" applyAlignment="1" applyProtection="1">
      <alignment horizontal="center"/>
      <protection hidden="1"/>
    </xf>
    <xf numFmtId="0" fontId="12" fillId="3" borderId="0" xfId="0" applyFont="1" applyFill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1C29E"/>
      <color rgb="FFFCE8C8"/>
      <color rgb="FFFBDA7B"/>
      <color rgb="FF55AD9C"/>
      <color rgb="FFC8D0A0"/>
      <color rgb="FF95D2B3"/>
      <color rgb="FFFDDC94"/>
      <color rgb="FFFFDAB3"/>
      <color rgb="FFA08384"/>
      <color rgb="FF5749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2311400</xdr:colOff>
      <xdr:row>4</xdr:row>
      <xdr:rowOff>25401</xdr:rowOff>
    </xdr:from>
    <xdr:to>
      <xdr:col>10</xdr:col>
      <xdr:colOff>2399775</xdr:colOff>
      <xdr:row>9</xdr:row>
      <xdr:rowOff>254001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AA68A3-B10A-8666-641D-E2FE885F3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54800" y="2514601"/>
          <a:ext cx="5371575" cy="340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6756400</xdr:colOff>
      <xdr:row>1</xdr:row>
      <xdr:rowOff>61234</xdr:rowOff>
    </xdr:from>
    <xdr:to>
      <xdr:col>7</xdr:col>
      <xdr:colOff>583432</xdr:colOff>
      <xdr:row>5</xdr:row>
      <xdr:rowOff>494917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EADBCB-3B34-BAD4-E4C9-8AEDED3C6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01800" y="645434"/>
          <a:ext cx="4749799" cy="2770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it.ly/3JZwgyc" TargetMode="External"/><Relationship Id="rId2" Type="http://schemas.openxmlformats.org/officeDocument/2006/relationships/hyperlink" Target="https://tinyurl.com/y8sbw9w8" TargetMode="External"/><Relationship Id="rId1" Type="http://schemas.openxmlformats.org/officeDocument/2006/relationships/hyperlink" Target="https://www.youtube.com/channel/UChBT5TlUeG68PKvJSg6MkqQ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angel-one.onelink.me/Wjgr/8vxyj8iq" TargetMode="External"/><Relationship Id="rId4" Type="http://schemas.openxmlformats.org/officeDocument/2006/relationships/hyperlink" Target="https://zerodha.com/open-account?c=ZMPVN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BE13-0269-574A-ABDF-FFB9AD365EB0}">
  <dimension ref="F2:N24"/>
  <sheetViews>
    <sheetView showGridLines="0" zoomScale="50" workbookViewId="0">
      <selection activeCell="AL27" sqref="AL27"/>
    </sheetView>
  </sheetViews>
  <sheetFormatPr defaultColWidth="10.875" defaultRowHeight="46.5" x14ac:dyDescent="0.7"/>
  <cols>
    <col min="1" max="5" width="10.875" style="92"/>
    <col min="6" max="6" width="74.5" style="92" customWidth="1"/>
    <col min="7" max="7" width="52.625" style="92" customWidth="1"/>
    <col min="8" max="8" width="41.375" style="92" bestFit="1" customWidth="1"/>
    <col min="9" max="9" width="51.875" style="92" customWidth="1"/>
    <col min="10" max="10" width="17.375" style="92" customWidth="1"/>
    <col min="11" max="11" width="66.875" style="92" customWidth="1"/>
    <col min="12" max="12" width="41" style="92" customWidth="1"/>
    <col min="13" max="13" width="46.625" style="92" customWidth="1"/>
    <col min="14" max="14" width="59.875" style="92" customWidth="1"/>
    <col min="15" max="16384" width="10.875" style="92"/>
  </cols>
  <sheetData>
    <row r="2" spans="6:14" ht="47.25" thickBot="1" x14ac:dyDescent="0.75"/>
    <row r="3" spans="6:14" ht="48" thickTop="1" thickBot="1" x14ac:dyDescent="0.75">
      <c r="F3" s="93" t="s">
        <v>2</v>
      </c>
      <c r="G3" s="96" t="s">
        <v>82</v>
      </c>
    </row>
    <row r="4" spans="6:14" ht="48" thickTop="1" thickBot="1" x14ac:dyDescent="0.75">
      <c r="F4" s="93" t="s">
        <v>66</v>
      </c>
      <c r="G4" s="97">
        <v>1600000</v>
      </c>
    </row>
    <row r="5" spans="6:14" ht="48" thickTop="1" thickBot="1" x14ac:dyDescent="0.75">
      <c r="F5" s="93" t="s">
        <v>67</v>
      </c>
      <c r="G5" s="97">
        <v>0</v>
      </c>
    </row>
    <row r="6" spans="6:14" ht="48" thickTop="1" thickBot="1" x14ac:dyDescent="0.75">
      <c r="F6" s="93" t="s">
        <v>68</v>
      </c>
      <c r="G6" s="94">
        <f>SUM(G4+G5)</f>
        <v>1600000</v>
      </c>
    </row>
    <row r="7" spans="6:14" ht="48" thickTop="1" thickBot="1" x14ac:dyDescent="0.75">
      <c r="F7" s="95"/>
      <c r="G7" s="88"/>
    </row>
    <row r="8" spans="6:14" ht="48" thickTop="1" thickBot="1" x14ac:dyDescent="0.75">
      <c r="F8" s="93" t="s">
        <v>70</v>
      </c>
      <c r="G8" s="97">
        <v>75000</v>
      </c>
    </row>
    <row r="9" spans="6:14" ht="48" thickTop="1" thickBot="1" x14ac:dyDescent="0.75">
      <c r="F9" s="93" t="s">
        <v>71</v>
      </c>
      <c r="G9" s="94">
        <f>G6-G8</f>
        <v>1525000</v>
      </c>
    </row>
    <row r="10" spans="6:14" ht="48" thickTop="1" thickBot="1" x14ac:dyDescent="0.75"/>
    <row r="11" spans="6:14" ht="48" thickTop="1" thickBot="1" x14ac:dyDescent="0.75">
      <c r="F11" s="101" t="s">
        <v>69</v>
      </c>
      <c r="G11" s="101"/>
      <c r="H11" s="101"/>
      <c r="I11" s="101"/>
      <c r="K11" s="101" t="s">
        <v>81</v>
      </c>
      <c r="L11" s="101"/>
      <c r="M11" s="101"/>
      <c r="N11" s="101"/>
    </row>
    <row r="12" spans="6:14" ht="48" thickTop="1" thickBot="1" x14ac:dyDescent="0.75">
      <c r="F12" s="75" t="s">
        <v>28</v>
      </c>
      <c r="G12" s="76" t="s">
        <v>29</v>
      </c>
      <c r="H12" s="76" t="s">
        <v>30</v>
      </c>
      <c r="I12" s="76" t="s">
        <v>31</v>
      </c>
      <c r="J12" s="46"/>
      <c r="K12" s="75" t="s">
        <v>28</v>
      </c>
      <c r="L12" s="76" t="s">
        <v>29</v>
      </c>
      <c r="M12" s="76" t="s">
        <v>30</v>
      </c>
      <c r="N12" s="76" t="s">
        <v>31</v>
      </c>
    </row>
    <row r="13" spans="6:14" ht="48" thickTop="1" thickBot="1" x14ac:dyDescent="0.75">
      <c r="F13" s="64" t="s">
        <v>55</v>
      </c>
      <c r="G13" s="30">
        <v>0</v>
      </c>
      <c r="H13" s="21">
        <f>IF(G9&gt;300000,300000,G9)</f>
        <v>300000</v>
      </c>
      <c r="I13" s="21">
        <f>H13*G13</f>
        <v>0</v>
      </c>
      <c r="J13" s="47"/>
      <c r="K13" s="64" t="s">
        <v>72</v>
      </c>
      <c r="L13" s="30">
        <v>0</v>
      </c>
      <c r="M13" s="21">
        <f>IF(G9&gt;400000,400000,L11)</f>
        <v>400000</v>
      </c>
      <c r="N13" s="21">
        <f>M13*L13</f>
        <v>0</v>
      </c>
    </row>
    <row r="14" spans="6:14" ht="48" thickTop="1" thickBot="1" x14ac:dyDescent="0.75">
      <c r="F14" s="64" t="s">
        <v>60</v>
      </c>
      <c r="G14" s="30">
        <v>0.05</v>
      </c>
      <c r="H14" s="24">
        <f>IF(G9&lt;=300000,0,IF(G9&gt;700000,400000,G9-300000))</f>
        <v>400000</v>
      </c>
      <c r="I14" s="21">
        <f t="shared" ref="I14:I19" si="0">H14*G14</f>
        <v>20000</v>
      </c>
      <c r="J14" s="47"/>
      <c r="K14" s="64" t="s">
        <v>73</v>
      </c>
      <c r="L14" s="30">
        <v>0.05</v>
      </c>
      <c r="M14" s="24">
        <f>IF(G9&lt;=400000,0,IF(G9&gt;800000,400000,L11-400000))</f>
        <v>400000</v>
      </c>
      <c r="N14" s="21">
        <f t="shared" ref="N14:N19" si="1">M14*L14</f>
        <v>20000</v>
      </c>
    </row>
    <row r="15" spans="6:14" ht="48" thickTop="1" thickBot="1" x14ac:dyDescent="0.75">
      <c r="F15" s="68" t="s">
        <v>61</v>
      </c>
      <c r="G15" s="31">
        <v>0.1</v>
      </c>
      <c r="H15" s="26">
        <f>IF(G9&lt;=700000,0,IF(G9&gt;1000000,300000,G9-700000))</f>
        <v>300000</v>
      </c>
      <c r="I15" s="25">
        <f t="shared" si="0"/>
        <v>30000</v>
      </c>
      <c r="J15" s="47"/>
      <c r="K15" s="68" t="s">
        <v>74</v>
      </c>
      <c r="L15" s="31">
        <v>0.1</v>
      </c>
      <c r="M15" s="26">
        <f>IF(G9&lt;=800000,0,IF(G9&gt;1200000,400000,G9-800000))</f>
        <v>400000</v>
      </c>
      <c r="N15" s="25">
        <f t="shared" si="1"/>
        <v>40000</v>
      </c>
    </row>
    <row r="16" spans="6:14" ht="48" thickTop="1" thickBot="1" x14ac:dyDescent="0.75">
      <c r="F16" s="73" t="s">
        <v>62</v>
      </c>
      <c r="G16" s="30">
        <v>0.15</v>
      </c>
      <c r="H16" s="21">
        <f>IF(G9&lt;=1000000,0,IF(G9&gt;1200000,200000,G9-1000000))</f>
        <v>200000</v>
      </c>
      <c r="I16" s="24">
        <f t="shared" si="0"/>
        <v>30000</v>
      </c>
      <c r="J16" s="47"/>
      <c r="K16" s="73" t="s">
        <v>75</v>
      </c>
      <c r="L16" s="30">
        <v>0.15</v>
      </c>
      <c r="M16" s="21">
        <f>IF(G9&lt;=1200000,0,IF(G9&gt;1200000,400000,G9-1600000))</f>
        <v>400000</v>
      </c>
      <c r="N16" s="24">
        <f t="shared" si="1"/>
        <v>60000</v>
      </c>
    </row>
    <row r="17" spans="6:14" ht="48" thickTop="1" thickBot="1" x14ac:dyDescent="0.75">
      <c r="F17" s="74" t="s">
        <v>56</v>
      </c>
      <c r="G17" s="27">
        <v>0.2</v>
      </c>
      <c r="H17" s="24">
        <f>IF(G9&lt;=1200000,0,IF(G9&gt;1500000,300000,G9-1200000))</f>
        <v>300000</v>
      </c>
      <c r="I17" s="24">
        <f t="shared" si="0"/>
        <v>60000</v>
      </c>
      <c r="J17" s="47"/>
      <c r="K17" s="74" t="s">
        <v>76</v>
      </c>
      <c r="L17" s="27">
        <v>0.2</v>
      </c>
      <c r="M17" s="24">
        <f>IF(G9&lt;=1600000,0,IF(G9&gt;2000000,400000,G9-1600000))</f>
        <v>0</v>
      </c>
      <c r="N17" s="24">
        <f t="shared" si="1"/>
        <v>0</v>
      </c>
    </row>
    <row r="18" spans="6:14" ht="48" thickTop="1" thickBot="1" x14ac:dyDescent="0.75">
      <c r="F18" s="68" t="s">
        <v>57</v>
      </c>
      <c r="G18" s="27">
        <v>0</v>
      </c>
      <c r="H18" s="24">
        <v>0</v>
      </c>
      <c r="I18" s="24">
        <f t="shared" si="0"/>
        <v>0</v>
      </c>
      <c r="J18" s="47"/>
      <c r="K18" s="68" t="s">
        <v>77</v>
      </c>
      <c r="L18" s="27">
        <v>0.25</v>
      </c>
      <c r="M18" s="24">
        <f>IF(G9&lt;=2000000,0,IF(G9&gt;2400000,400000,G9-2000000))</f>
        <v>0</v>
      </c>
      <c r="N18" s="24">
        <f t="shared" si="1"/>
        <v>0</v>
      </c>
    </row>
    <row r="19" spans="6:14" ht="48" thickTop="1" thickBot="1" x14ac:dyDescent="0.75">
      <c r="F19" s="64" t="s">
        <v>34</v>
      </c>
      <c r="G19" s="32">
        <v>0.3</v>
      </c>
      <c r="H19" s="23">
        <f>IF(G9&lt;=1500000,0,G9-1500000)</f>
        <v>25000</v>
      </c>
      <c r="I19" s="23">
        <f t="shared" si="0"/>
        <v>7500</v>
      </c>
      <c r="J19" s="47"/>
      <c r="K19" s="64" t="s">
        <v>78</v>
      </c>
      <c r="L19" s="32">
        <v>0.3</v>
      </c>
      <c r="M19" s="23">
        <f>IF(G9&lt;=2400000,0,G9-2400000)</f>
        <v>0</v>
      </c>
      <c r="N19" s="23">
        <f t="shared" si="1"/>
        <v>0</v>
      </c>
    </row>
    <row r="20" spans="6:14" ht="48" thickTop="1" thickBot="1" x14ac:dyDescent="0.75">
      <c r="F20" s="77" t="s">
        <v>35</v>
      </c>
      <c r="G20" s="78"/>
      <c r="H20" s="79"/>
      <c r="I20" s="80">
        <f>IF(G9&lt;=1200000,0,(I13+I14+I15+I16+I17+I18+I19))</f>
        <v>147500</v>
      </c>
      <c r="J20" s="47"/>
      <c r="K20" s="77" t="s">
        <v>35</v>
      </c>
      <c r="L20" s="78"/>
      <c r="M20" s="79"/>
      <c r="N20" s="80">
        <f>IF(G9&gt;1200000,(N13+N14+N15+N16+N17+N18+N19),0)</f>
        <v>120000</v>
      </c>
    </row>
    <row r="21" spans="6:14" ht="48" thickTop="1" thickBot="1" x14ac:dyDescent="0.75">
      <c r="F21" s="105"/>
      <c r="G21" s="106"/>
      <c r="H21" s="106"/>
      <c r="I21" s="107"/>
      <c r="K21" s="108"/>
      <c r="L21" s="108"/>
      <c r="M21" s="108"/>
      <c r="N21" s="108"/>
    </row>
    <row r="22" spans="6:14" ht="48" thickTop="1" thickBot="1" x14ac:dyDescent="0.75">
      <c r="F22" s="102" t="s">
        <v>79</v>
      </c>
      <c r="G22" s="103"/>
      <c r="H22" s="104"/>
      <c r="I22" s="80">
        <f>I20*4%</f>
        <v>5900</v>
      </c>
      <c r="K22" s="77" t="s">
        <v>79</v>
      </c>
      <c r="L22" s="78"/>
      <c r="M22" s="79"/>
      <c r="N22" s="80">
        <f>N20*4%</f>
        <v>4800</v>
      </c>
    </row>
    <row r="23" spans="6:14" ht="48" thickTop="1" thickBot="1" x14ac:dyDescent="0.75">
      <c r="F23" s="77" t="s">
        <v>35</v>
      </c>
      <c r="G23" s="78"/>
      <c r="H23" s="79"/>
      <c r="I23" s="80">
        <f>I20+I22</f>
        <v>153400</v>
      </c>
      <c r="K23" s="77" t="s">
        <v>35</v>
      </c>
      <c r="L23" s="78"/>
      <c r="M23" s="79"/>
      <c r="N23" s="80">
        <f>N20+N22</f>
        <v>124800</v>
      </c>
    </row>
    <row r="24" spans="6:14" ht="47.25" thickTop="1" x14ac:dyDescent="0.7"/>
  </sheetData>
  <sheetProtection algorithmName="SHA-512" hashValue="v6eVaAOh7/JhYQhXC4YJYSC45+XG+24kTNQhlQaacLps0FcGwqMkXaIeMEFuaE/nXS62nRBKGhze5lEPdHm7fw==" saltValue="YtEG4GLzdLWWu8hlHpNllg==" spinCount="100000" sheet="1" objects="1" scenarios="1"/>
  <mergeCells count="5">
    <mergeCell ref="F11:I11"/>
    <mergeCell ref="K11:N11"/>
    <mergeCell ref="F22:H22"/>
    <mergeCell ref="F21:I21"/>
    <mergeCell ref="K21:N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0283-13A3-194E-9A72-0F9C41D3602A}">
  <dimension ref="A5:T62"/>
  <sheetViews>
    <sheetView showGridLines="0" tabSelected="1" zoomScale="50" zoomScaleNormal="50" workbookViewId="0">
      <selection activeCell="D39" sqref="D39"/>
    </sheetView>
  </sheetViews>
  <sheetFormatPr defaultColWidth="10.875" defaultRowHeight="45" x14ac:dyDescent="0.6"/>
  <cols>
    <col min="1" max="1" width="10.875" style="1"/>
    <col min="2" max="2" width="152.5" style="1" customWidth="1"/>
    <col min="3" max="3" width="56.875" style="1" customWidth="1"/>
    <col min="4" max="4" width="56" style="1" customWidth="1"/>
    <col min="5" max="5" width="5.5" style="1" customWidth="1"/>
    <col min="6" max="6" width="1.5" style="1" customWidth="1"/>
    <col min="7" max="7" width="143" style="1" customWidth="1"/>
    <col min="8" max="8" width="63.875" style="1" customWidth="1"/>
    <col min="9" max="9" width="58.5" style="1" customWidth="1"/>
    <col min="10" max="10" width="19.875" style="1" bestFit="1" customWidth="1"/>
    <col min="11" max="11" width="82.875" style="1" bestFit="1" customWidth="1"/>
    <col min="12" max="12" width="42.875" style="1" bestFit="1" customWidth="1"/>
    <col min="13" max="13" width="42.5" style="1" customWidth="1"/>
    <col min="14" max="14" width="39.875" style="1" customWidth="1"/>
    <col min="15" max="15" width="10.875" style="1"/>
    <col min="16" max="16" width="79.5" style="1" bestFit="1" customWidth="1"/>
    <col min="17" max="17" width="31.125" style="1" customWidth="1"/>
    <col min="18" max="18" width="42.5" style="1" customWidth="1"/>
    <col min="19" max="19" width="50.125" style="1" customWidth="1"/>
    <col min="20" max="16384" width="10.875" style="1"/>
  </cols>
  <sheetData>
    <row r="5" spans="1:20" x14ac:dyDescent="0.6">
      <c r="G5" s="40" t="s">
        <v>54</v>
      </c>
    </row>
    <row r="6" spans="1:20" ht="45.75" thickBot="1" x14ac:dyDescent="0.65"/>
    <row r="7" spans="1:20" ht="46.5" thickTop="1" thickBot="1" x14ac:dyDescent="0.65">
      <c r="B7" s="48" t="s">
        <v>2</v>
      </c>
      <c r="C7" s="113" t="s">
        <v>82</v>
      </c>
      <c r="D7" s="114"/>
      <c r="G7" s="133" t="s">
        <v>53</v>
      </c>
      <c r="H7" s="134"/>
      <c r="I7" s="135" t="s">
        <v>52</v>
      </c>
      <c r="J7" s="136"/>
      <c r="K7" s="137"/>
      <c r="L7" s="33"/>
      <c r="M7" s="33"/>
    </row>
    <row r="8" spans="1:20" ht="46.5" thickTop="1" thickBot="1" x14ac:dyDescent="0.65">
      <c r="B8" s="48" t="s">
        <v>3</v>
      </c>
      <c r="C8" s="49">
        <v>35</v>
      </c>
      <c r="D8" s="61" t="s">
        <v>22</v>
      </c>
      <c r="I8" s="34"/>
    </row>
    <row r="9" spans="1:20" ht="46.5" thickTop="1" thickBot="1" x14ac:dyDescent="0.65">
      <c r="B9" s="48" t="s">
        <v>49</v>
      </c>
      <c r="C9" s="49">
        <v>64</v>
      </c>
      <c r="D9" s="61" t="s">
        <v>22</v>
      </c>
    </row>
    <row r="10" spans="1:20" ht="46.5" thickTop="1" thickBot="1" x14ac:dyDescent="0.65">
      <c r="A10" s="2"/>
      <c r="C10" s="3"/>
      <c r="D10" s="4"/>
    </row>
    <row r="11" spans="1:20" ht="46.5" thickTop="1" thickBot="1" x14ac:dyDescent="0.65">
      <c r="A11" s="2"/>
      <c r="B11" s="59" t="s">
        <v>40</v>
      </c>
      <c r="C11" s="54"/>
      <c r="D11" s="51">
        <v>550000</v>
      </c>
      <c r="G11" s="132" t="s">
        <v>64</v>
      </c>
      <c r="H11" s="132"/>
      <c r="K11" s="110" t="s">
        <v>33</v>
      </c>
      <c r="L11" s="111"/>
      <c r="M11" s="111"/>
      <c r="N11" s="112"/>
      <c r="P11" s="123" t="s">
        <v>80</v>
      </c>
      <c r="Q11" s="124"/>
      <c r="R11" s="124"/>
      <c r="S11" s="125"/>
    </row>
    <row r="12" spans="1:20" ht="46.5" thickTop="1" thickBot="1" x14ac:dyDescent="0.65">
      <c r="A12" s="2"/>
      <c r="D12" s="5"/>
      <c r="K12" s="123"/>
      <c r="L12" s="124"/>
      <c r="M12" s="124"/>
      <c r="N12" s="125"/>
      <c r="O12" s="6"/>
      <c r="P12" s="91" t="s">
        <v>84</v>
      </c>
      <c r="Q12" s="131">
        <f>IF(C49&gt;0,75000,0)</f>
        <v>75000</v>
      </c>
      <c r="R12" s="131"/>
      <c r="S12" s="7"/>
    </row>
    <row r="13" spans="1:20" ht="46.5" thickTop="1" thickBot="1" x14ac:dyDescent="0.65">
      <c r="B13" s="56" t="s">
        <v>1</v>
      </c>
      <c r="C13" s="59"/>
      <c r="D13" s="61"/>
      <c r="G13" s="48" t="s">
        <v>65</v>
      </c>
      <c r="H13" s="82">
        <f>IF(D57&lt;=500000,0,N33)</f>
        <v>0</v>
      </c>
      <c r="J13" s="8"/>
      <c r="K13" s="64" t="s">
        <v>27</v>
      </c>
      <c r="L13" s="84">
        <f>IF(C8&lt;60,D57,0)</f>
        <v>354000</v>
      </c>
      <c r="M13" s="85"/>
      <c r="N13" s="7"/>
      <c r="O13" s="6"/>
      <c r="P13" s="64" t="s">
        <v>58</v>
      </c>
      <c r="Q13" s="138">
        <f>IF(D11&gt;0,D11-Q12,0)</f>
        <v>475000</v>
      </c>
      <c r="R13" s="131"/>
      <c r="S13" s="85"/>
      <c r="T13" s="9"/>
    </row>
    <row r="14" spans="1:20" ht="46.5" thickTop="1" thickBot="1" x14ac:dyDescent="0.65">
      <c r="A14" s="2"/>
      <c r="C14" s="3"/>
      <c r="D14" s="10"/>
      <c r="H14" s="11"/>
      <c r="K14" s="64" t="s">
        <v>28</v>
      </c>
      <c r="L14" s="67" t="s">
        <v>29</v>
      </c>
      <c r="M14" s="67" t="s">
        <v>30</v>
      </c>
      <c r="N14" s="67" t="s">
        <v>31</v>
      </c>
      <c r="P14" s="64" t="s">
        <v>28</v>
      </c>
      <c r="Q14" s="67" t="s">
        <v>29</v>
      </c>
      <c r="R14" s="67" t="s">
        <v>30</v>
      </c>
      <c r="S14" s="67" t="s">
        <v>31</v>
      </c>
    </row>
    <row r="15" spans="1:20" ht="46.5" thickTop="1" thickBot="1" x14ac:dyDescent="0.65">
      <c r="B15" s="56" t="s">
        <v>0</v>
      </c>
      <c r="C15" s="59"/>
      <c r="D15" s="60"/>
      <c r="G15" s="86" t="s">
        <v>85</v>
      </c>
      <c r="H15" s="82">
        <f>IF(Q13&lt;=700000,0,S33)</f>
        <v>0</v>
      </c>
      <c r="K15" s="64" t="s">
        <v>23</v>
      </c>
      <c r="L15" s="27">
        <v>0</v>
      </c>
      <c r="M15" s="21">
        <f>IF(L13&gt;250000,250000,L13)</f>
        <v>250000</v>
      </c>
      <c r="N15" s="21">
        <f>M15*L15</f>
        <v>0</v>
      </c>
      <c r="P15" s="64" t="s">
        <v>72</v>
      </c>
      <c r="Q15" s="30">
        <v>0</v>
      </c>
      <c r="R15" s="21">
        <f>IF(Q13&gt;400000,400000,Q13)</f>
        <v>400000</v>
      </c>
      <c r="S15" s="21">
        <f>R15*Q15</f>
        <v>0</v>
      </c>
    </row>
    <row r="16" spans="1:20" ht="46.5" thickTop="1" thickBot="1" x14ac:dyDescent="0.65">
      <c r="B16" s="55" t="s">
        <v>41</v>
      </c>
      <c r="C16" s="50"/>
      <c r="D16" s="2"/>
      <c r="K16" s="64" t="s">
        <v>24</v>
      </c>
      <c r="L16" s="28">
        <v>0.05</v>
      </c>
      <c r="M16" s="22">
        <f>IF(L13&lt;=250000,0,IF(L13&gt;500000,250000,L13-250000))</f>
        <v>104000</v>
      </c>
      <c r="N16" s="21">
        <f>M16*L16</f>
        <v>5200</v>
      </c>
      <c r="P16" s="64" t="s">
        <v>73</v>
      </c>
      <c r="Q16" s="30">
        <v>0.05</v>
      </c>
      <c r="R16" s="24">
        <f>IF(Q13&lt;=400000,0,IF(Q13&gt;800000,400000,Q13-400000))</f>
        <v>75000</v>
      </c>
      <c r="S16" s="21">
        <f t="shared" ref="S16:S21" si="0">R16*Q16</f>
        <v>3750</v>
      </c>
    </row>
    <row r="17" spans="1:20" ht="46.5" thickTop="1" thickBot="1" x14ac:dyDescent="0.65">
      <c r="B17" s="48" t="s">
        <v>6</v>
      </c>
      <c r="C17" s="52">
        <v>0</v>
      </c>
      <c r="D17" s="2"/>
      <c r="G17" s="40"/>
      <c r="H17" s="47"/>
      <c r="I17" s="40"/>
      <c r="K17" s="64" t="s">
        <v>25</v>
      </c>
      <c r="L17" s="27">
        <v>0.2</v>
      </c>
      <c r="M17" s="21">
        <f>IF(L13&lt;=500000,0,IF(L13&gt;1000000,500000,L13-500000))</f>
        <v>0</v>
      </c>
      <c r="N17" s="21">
        <f>M17*L17</f>
        <v>0</v>
      </c>
      <c r="O17" s="6"/>
      <c r="P17" s="68" t="s">
        <v>74</v>
      </c>
      <c r="Q17" s="31">
        <v>0.1</v>
      </c>
      <c r="R17" s="26">
        <f>IF(Q13&lt;=800000,0,IF(Q13&gt;1200000,400000,Q13-800000))</f>
        <v>0</v>
      </c>
      <c r="S17" s="25">
        <f t="shared" si="0"/>
        <v>0</v>
      </c>
    </row>
    <row r="18" spans="1:20" ht="46.5" thickTop="1" thickBot="1" x14ac:dyDescent="0.65">
      <c r="B18" s="56" t="s">
        <v>7</v>
      </c>
      <c r="C18" s="51">
        <v>0</v>
      </c>
      <c r="D18" s="2"/>
      <c r="G18" s="40"/>
      <c r="H18" s="40"/>
      <c r="I18" s="40"/>
      <c r="K18" s="64" t="s">
        <v>26</v>
      </c>
      <c r="L18" s="27">
        <v>0.3</v>
      </c>
      <c r="M18" s="21">
        <f>IF(L13&lt;=1000000,0,L13-1000000)</f>
        <v>0</v>
      </c>
      <c r="N18" s="21">
        <f>M18*L18</f>
        <v>0</v>
      </c>
      <c r="P18" s="73" t="s">
        <v>75</v>
      </c>
      <c r="Q18" s="30">
        <v>0.15</v>
      </c>
      <c r="R18" s="21">
        <f>IF(Q13&lt;=1200000,0,IF(Q13&gt;1600000,400000,Q13-1200000))</f>
        <v>0</v>
      </c>
      <c r="S18" s="24">
        <f t="shared" si="0"/>
        <v>0</v>
      </c>
    </row>
    <row r="19" spans="1:20" ht="47.1" customHeight="1" thickTop="1" thickBot="1" x14ac:dyDescent="0.65">
      <c r="B19" s="57" t="s">
        <v>8</v>
      </c>
      <c r="C19" s="51">
        <v>0</v>
      </c>
      <c r="D19" s="2"/>
      <c r="G19" s="89"/>
      <c r="H19" s="89"/>
      <c r="I19" s="44"/>
      <c r="K19" s="68" t="s">
        <v>35</v>
      </c>
      <c r="L19" s="69"/>
      <c r="M19" s="70"/>
      <c r="N19" s="83">
        <f>N15+N16+N17+N18</f>
        <v>5200</v>
      </c>
      <c r="P19" s="74" t="s">
        <v>76</v>
      </c>
      <c r="Q19" s="27">
        <v>0.2</v>
      </c>
      <c r="R19" s="24">
        <f>IF(Q13&lt;=1600000,0,IF(Q13&gt;2000000,400000,Q13-1600000))</f>
        <v>0</v>
      </c>
      <c r="S19" s="24">
        <f t="shared" si="0"/>
        <v>0</v>
      </c>
    </row>
    <row r="20" spans="1:20" ht="47.1" customHeight="1" thickTop="1" thickBot="1" x14ac:dyDescent="0.65">
      <c r="B20" s="48" t="s">
        <v>9</v>
      </c>
      <c r="C20" s="51">
        <v>0</v>
      </c>
      <c r="D20" s="2"/>
      <c r="G20" s="139" t="s">
        <v>86</v>
      </c>
      <c r="H20" s="139"/>
      <c r="I20" s="139"/>
      <c r="J20" s="8"/>
      <c r="N20" s="7"/>
      <c r="P20" s="68" t="s">
        <v>77</v>
      </c>
      <c r="Q20" s="27">
        <v>0.25</v>
      </c>
      <c r="R20" s="24">
        <f>IF(Q13&lt;=2000000,0,IF(Q13&gt;2400000,400000,Q13-2000000))</f>
        <v>0</v>
      </c>
      <c r="S20" s="24">
        <f t="shared" si="0"/>
        <v>0</v>
      </c>
    </row>
    <row r="21" spans="1:20" ht="46.5" thickTop="1" thickBot="1" x14ac:dyDescent="0.65">
      <c r="B21" s="48" t="s">
        <v>15</v>
      </c>
      <c r="C21" s="53">
        <v>0</v>
      </c>
      <c r="D21" s="2"/>
      <c r="G21" s="139"/>
      <c r="H21" s="139"/>
      <c r="I21" s="139"/>
      <c r="J21" s="35"/>
      <c r="K21" s="124" t="s">
        <v>32</v>
      </c>
      <c r="L21" s="124"/>
      <c r="M21" s="124"/>
      <c r="N21" s="125"/>
      <c r="O21" s="6"/>
      <c r="P21" s="64" t="s">
        <v>78</v>
      </c>
      <c r="Q21" s="32">
        <v>0.3</v>
      </c>
      <c r="R21" s="23">
        <f>IF(Q13&lt;=2400000,0,Q13-2400000)</f>
        <v>0</v>
      </c>
      <c r="S21" s="23">
        <f t="shared" si="0"/>
        <v>0</v>
      </c>
    </row>
    <row r="22" spans="1:20" ht="48" thickTop="1" thickBot="1" x14ac:dyDescent="0.75">
      <c r="B22" s="58" t="s">
        <v>10</v>
      </c>
      <c r="C22" s="51">
        <v>0</v>
      </c>
      <c r="D22" s="2"/>
      <c r="G22" s="90"/>
      <c r="H22" s="120"/>
      <c r="I22" s="120"/>
      <c r="J22" s="2"/>
      <c r="K22" s="70" t="s">
        <v>27</v>
      </c>
      <c r="L22" s="84">
        <f>IF(C8&gt;=60,D57,0)</f>
        <v>0</v>
      </c>
      <c r="M22" s="85"/>
      <c r="N22" s="7"/>
      <c r="O22" s="6"/>
      <c r="P22" s="68" t="s">
        <v>35</v>
      </c>
      <c r="Q22" s="69"/>
      <c r="R22" s="70"/>
      <c r="S22" s="83">
        <f>IF(Q13&gt;1200000,S15+S16+S17+S18+S19+S20+S21,0)</f>
        <v>0</v>
      </c>
    </row>
    <row r="23" spans="1:20" ht="48" thickTop="1" thickBot="1" x14ac:dyDescent="0.75">
      <c r="B23" s="48" t="s">
        <v>11</v>
      </c>
      <c r="C23" s="53">
        <v>0</v>
      </c>
      <c r="D23" s="2"/>
      <c r="G23" s="99" t="s">
        <v>87</v>
      </c>
      <c r="H23" s="121" t="s">
        <v>91</v>
      </c>
      <c r="I23" s="122"/>
      <c r="J23" s="2"/>
      <c r="K23" s="70" t="s">
        <v>28</v>
      </c>
      <c r="L23" s="67" t="s">
        <v>29</v>
      </c>
      <c r="M23" s="67" t="s">
        <v>30</v>
      </c>
      <c r="N23" s="67" t="s">
        <v>31</v>
      </c>
      <c r="O23" s="6"/>
      <c r="S23" s="12"/>
    </row>
    <row r="24" spans="1:20" ht="48" thickTop="1" thickBot="1" x14ac:dyDescent="0.75">
      <c r="B24" s="58" t="s">
        <v>12</v>
      </c>
      <c r="C24" s="51">
        <v>0</v>
      </c>
      <c r="D24" s="2"/>
      <c r="G24" s="98" t="s">
        <v>90</v>
      </c>
      <c r="H24" s="121" t="s">
        <v>89</v>
      </c>
      <c r="I24" s="122"/>
      <c r="J24" s="36"/>
      <c r="K24" s="37" t="s">
        <v>23</v>
      </c>
      <c r="L24" s="28">
        <v>0</v>
      </c>
      <c r="M24" s="22">
        <f>IF(L22&gt;300000,300000,L22)</f>
        <v>0</v>
      </c>
      <c r="N24" s="21">
        <f>M24*L24</f>
        <v>0</v>
      </c>
      <c r="O24" s="6"/>
      <c r="S24" s="8"/>
    </row>
    <row r="25" spans="1:20" ht="48" thickTop="1" thickBot="1" x14ac:dyDescent="0.75">
      <c r="B25" s="48" t="s">
        <v>13</v>
      </c>
      <c r="C25" s="53">
        <v>0</v>
      </c>
      <c r="D25" s="2"/>
      <c r="G25" s="99" t="s">
        <v>88</v>
      </c>
      <c r="H25" s="129" t="s">
        <v>92</v>
      </c>
      <c r="I25" s="130"/>
      <c r="K25" s="38" t="s">
        <v>24</v>
      </c>
      <c r="L25" s="27">
        <v>0.05</v>
      </c>
      <c r="M25" s="21">
        <f>IF(L22&lt;=250000,0,IF(L22&gt;500000,200000,L22-300000))</f>
        <v>0</v>
      </c>
      <c r="N25" s="21">
        <f>M25*L25</f>
        <v>0</v>
      </c>
      <c r="O25" s="6"/>
      <c r="S25" s="8"/>
    </row>
    <row r="26" spans="1:20" ht="48" thickTop="1" thickBot="1" x14ac:dyDescent="0.75">
      <c r="B26" s="48" t="s">
        <v>14</v>
      </c>
      <c r="C26" s="52">
        <v>0</v>
      </c>
      <c r="D26" s="2"/>
      <c r="G26" s="99" t="s">
        <v>93</v>
      </c>
      <c r="H26" s="121" t="s">
        <v>94</v>
      </c>
      <c r="I26" s="122"/>
      <c r="K26" s="38" t="s">
        <v>25</v>
      </c>
      <c r="L26" s="27">
        <v>0.2</v>
      </c>
      <c r="M26" s="21">
        <f>IF(L22&lt;=500000,0,IF(L22&gt;1000000,500000,L22-500000))</f>
        <v>0</v>
      </c>
      <c r="N26" s="21">
        <f>M26*L26</f>
        <v>0</v>
      </c>
      <c r="O26" s="6"/>
      <c r="S26" s="8"/>
    </row>
    <row r="27" spans="1:20" ht="46.5" thickTop="1" thickBot="1" x14ac:dyDescent="0.65">
      <c r="B27" s="48" t="s">
        <v>21</v>
      </c>
      <c r="C27" s="82">
        <f>IF(SUM(C17:C26)&lt;=150000,SUM(C17:C26),150000)</f>
        <v>0</v>
      </c>
      <c r="D27" s="2"/>
      <c r="G27" s="100"/>
      <c r="H27" s="44"/>
      <c r="I27" s="44"/>
      <c r="K27" s="39" t="s">
        <v>26</v>
      </c>
      <c r="L27" s="29">
        <v>0.3</v>
      </c>
      <c r="M27" s="21">
        <f>IF(L22&lt;=1000000,0,L22-1000000)</f>
        <v>0</v>
      </c>
      <c r="N27" s="21">
        <f>M27*L27</f>
        <v>0</v>
      </c>
      <c r="O27" s="6"/>
      <c r="S27" s="8"/>
    </row>
    <row r="28" spans="1:20" ht="48" thickTop="1" thickBot="1" x14ac:dyDescent="0.75">
      <c r="A28" s="2"/>
      <c r="C28" s="14"/>
      <c r="D28" s="2"/>
      <c r="G28" s="45"/>
      <c r="H28" s="115"/>
      <c r="I28" s="115"/>
      <c r="K28" s="68" t="s">
        <v>35</v>
      </c>
      <c r="L28" s="65"/>
      <c r="M28" s="66"/>
      <c r="N28" s="83">
        <f>N24+N25+N26+N27</f>
        <v>0</v>
      </c>
      <c r="O28" s="6"/>
      <c r="S28" s="8"/>
    </row>
    <row r="29" spans="1:20" ht="48" thickTop="1" thickBot="1" x14ac:dyDescent="0.75">
      <c r="B29" s="48" t="s">
        <v>17</v>
      </c>
      <c r="C29" s="52">
        <v>50000</v>
      </c>
      <c r="D29" s="2"/>
      <c r="G29" s="45"/>
      <c r="H29" s="116"/>
      <c r="I29" s="116"/>
      <c r="J29" s="8"/>
      <c r="N29" s="7"/>
      <c r="O29" s="6"/>
      <c r="S29" s="15"/>
    </row>
    <row r="30" spans="1:20" ht="46.5" thickTop="1" thickBot="1" x14ac:dyDescent="0.65">
      <c r="A30" s="2"/>
      <c r="C30" s="14"/>
      <c r="D30" s="2"/>
      <c r="G30" s="42"/>
      <c r="H30" s="41"/>
      <c r="I30" s="41"/>
      <c r="K30" s="126" t="s">
        <v>37</v>
      </c>
      <c r="L30" s="127"/>
      <c r="M30" s="128"/>
      <c r="N30" s="83">
        <f>IF(C8&lt;60,IF(N19&lt;=12500,0,N19),IF(N28&lt;=10000,0,N28))</f>
        <v>0</v>
      </c>
      <c r="P30" s="126" t="s">
        <v>59</v>
      </c>
      <c r="Q30" s="127"/>
      <c r="R30" s="128"/>
      <c r="S30" s="83">
        <f>S22</f>
        <v>0</v>
      </c>
    </row>
    <row r="31" spans="1:20" ht="46.5" thickTop="1" thickBot="1" x14ac:dyDescent="0.65">
      <c r="A31" s="2"/>
      <c r="B31" s="56" t="s">
        <v>50</v>
      </c>
      <c r="C31" s="54"/>
      <c r="D31" s="83">
        <f>C27+IF(C29&lt;=50000,C29,50000)</f>
        <v>50000</v>
      </c>
      <c r="G31" s="13"/>
      <c r="K31" s="71" t="s">
        <v>36</v>
      </c>
      <c r="L31" s="72"/>
      <c r="M31" s="70"/>
      <c r="N31" s="83">
        <f>N30*4%</f>
        <v>0</v>
      </c>
      <c r="P31" s="68" t="s">
        <v>36</v>
      </c>
      <c r="Q31" s="69"/>
      <c r="R31" s="70"/>
      <c r="S31" s="83">
        <f>S30*4%</f>
        <v>0</v>
      </c>
    </row>
    <row r="32" spans="1:20" ht="46.5" thickTop="1" thickBot="1" x14ac:dyDescent="0.65">
      <c r="A32" s="2"/>
      <c r="D32" s="10"/>
      <c r="J32" s="8"/>
      <c r="N32" s="7"/>
      <c r="O32" s="6"/>
      <c r="S32" s="83"/>
      <c r="T32" s="9"/>
    </row>
    <row r="33" spans="1:20" ht="46.5" thickTop="1" thickBot="1" x14ac:dyDescent="0.65">
      <c r="B33" s="48" t="s">
        <v>18</v>
      </c>
      <c r="C33" s="52">
        <v>96000</v>
      </c>
      <c r="D33" s="83">
        <f>C33</f>
        <v>96000</v>
      </c>
      <c r="J33" s="8"/>
      <c r="K33" s="126" t="s">
        <v>83</v>
      </c>
      <c r="L33" s="127"/>
      <c r="M33" s="128"/>
      <c r="N33" s="83">
        <f>N30+N31</f>
        <v>0</v>
      </c>
      <c r="O33" s="6"/>
      <c r="P33" s="126" t="s">
        <v>63</v>
      </c>
      <c r="Q33" s="127"/>
      <c r="R33" s="128"/>
      <c r="S33" s="83">
        <f>S30+S31</f>
        <v>0</v>
      </c>
      <c r="T33" s="9"/>
    </row>
    <row r="34" spans="1:20" ht="46.5" thickTop="1" thickBot="1" x14ac:dyDescent="0.65">
      <c r="A34" s="2"/>
      <c r="C34" s="16"/>
      <c r="D34" s="17"/>
    </row>
    <row r="35" spans="1:20" ht="46.5" thickTop="1" thickBot="1" x14ac:dyDescent="0.65">
      <c r="B35" s="48" t="s">
        <v>16</v>
      </c>
      <c r="C35" s="52">
        <v>0</v>
      </c>
      <c r="D35" s="83">
        <f>C35</f>
        <v>0</v>
      </c>
      <c r="G35" s="41"/>
      <c r="H35" s="41"/>
      <c r="I35" s="41"/>
      <c r="J35" s="43"/>
      <c r="K35" s="43"/>
    </row>
    <row r="36" spans="1:20" ht="46.5" thickTop="1" thickBot="1" x14ac:dyDescent="0.65">
      <c r="A36" s="2"/>
      <c r="C36" s="16"/>
      <c r="D36" s="18"/>
      <c r="G36" s="44"/>
      <c r="H36" s="41"/>
      <c r="I36" s="41"/>
      <c r="J36" s="41"/>
      <c r="K36" s="41"/>
    </row>
    <row r="37" spans="1:20" ht="48" thickTop="1" thickBot="1" x14ac:dyDescent="0.75">
      <c r="A37" s="2"/>
      <c r="B37" s="48" t="s">
        <v>42</v>
      </c>
      <c r="C37" s="52">
        <v>0</v>
      </c>
      <c r="D37" s="83">
        <f>IF(C37&lt;150000,C37,150000)</f>
        <v>0</v>
      </c>
      <c r="G37" s="44"/>
      <c r="H37" s="117"/>
      <c r="I37" s="118"/>
      <c r="J37" s="118"/>
      <c r="K37" s="118"/>
    </row>
    <row r="38" spans="1:20" ht="48" thickTop="1" thickBot="1" x14ac:dyDescent="0.75">
      <c r="A38" s="2"/>
      <c r="B38" s="19"/>
      <c r="C38" s="20"/>
      <c r="D38" s="14"/>
      <c r="G38" s="44"/>
      <c r="H38" s="117"/>
      <c r="I38" s="118"/>
      <c r="J38" s="118"/>
      <c r="K38" s="118"/>
    </row>
    <row r="39" spans="1:20" ht="48" thickTop="1" thickBot="1" x14ac:dyDescent="0.75">
      <c r="B39" s="62" t="s">
        <v>39</v>
      </c>
      <c r="C39" s="63"/>
      <c r="D39" s="87"/>
      <c r="G39" s="44"/>
      <c r="H39" s="117"/>
      <c r="I39" s="118"/>
      <c r="J39" s="118"/>
      <c r="K39" s="118"/>
    </row>
    <row r="40" spans="1:20" ht="46.5" thickTop="1" thickBot="1" x14ac:dyDescent="0.65">
      <c r="B40" s="56" t="s">
        <v>4</v>
      </c>
      <c r="C40" s="52">
        <v>0</v>
      </c>
      <c r="D40" s="2"/>
      <c r="G40" s="41"/>
      <c r="H40" s="119"/>
      <c r="I40" s="119"/>
      <c r="J40" s="119"/>
      <c r="K40" s="119"/>
    </row>
    <row r="41" spans="1:20" ht="46.5" thickTop="1" thickBot="1" x14ac:dyDescent="0.65">
      <c r="B41" s="48" t="s">
        <v>5</v>
      </c>
      <c r="C41" s="52">
        <v>0</v>
      </c>
      <c r="D41" s="5"/>
      <c r="G41" s="41"/>
      <c r="H41" s="41"/>
      <c r="I41" s="41"/>
      <c r="J41" s="41"/>
      <c r="K41" s="41"/>
    </row>
    <row r="42" spans="1:20" ht="46.5" thickTop="1" thickBot="1" x14ac:dyDescent="0.65">
      <c r="B42" s="56" t="s">
        <v>20</v>
      </c>
      <c r="C42" s="54"/>
      <c r="D42" s="83">
        <f>IF(C8&lt;60,IF(C40&lt;=25000,C40,25000),IF(C8&gt;=60,IF(C40&lt;=50000,C40,50000)))+IF(C9&lt;60,IF(C41&lt;=25000,C41,25000),IF(C9&gt;=60,IF(C41&lt;=50000,C41,50000)))</f>
        <v>0</v>
      </c>
    </row>
    <row r="43" spans="1:20" ht="45.75" thickTop="1" x14ac:dyDescent="0.6">
      <c r="A43" s="2"/>
      <c r="D43" s="4"/>
    </row>
    <row r="44" spans="1:20" ht="45.75" thickBot="1" x14ac:dyDescent="0.65">
      <c r="A44" s="2"/>
      <c r="D44" s="2"/>
    </row>
    <row r="45" spans="1:20" ht="46.5" thickTop="1" thickBot="1" x14ac:dyDescent="0.65">
      <c r="A45" s="2"/>
      <c r="B45" s="56" t="s">
        <v>19</v>
      </c>
      <c r="C45" s="52">
        <v>0</v>
      </c>
      <c r="D45" s="83">
        <f>IF(C45&lt;200000,C45,200000)</f>
        <v>0</v>
      </c>
    </row>
    <row r="46" spans="1:20" ht="46.5" thickTop="1" thickBot="1" x14ac:dyDescent="0.65">
      <c r="A46" s="2"/>
      <c r="D46" s="5"/>
    </row>
    <row r="47" spans="1:20" ht="46.5" thickTop="1" thickBot="1" x14ac:dyDescent="0.65">
      <c r="A47" s="2"/>
      <c r="B47" s="56" t="s">
        <v>43</v>
      </c>
      <c r="C47" s="52">
        <v>0</v>
      </c>
      <c r="D47" s="83">
        <f>IF(C47&lt;150000,C47,150000)</f>
        <v>0</v>
      </c>
    </row>
    <row r="48" spans="1:20" ht="46.5" thickTop="1" thickBot="1" x14ac:dyDescent="0.65">
      <c r="A48" s="2"/>
      <c r="D48" s="5"/>
    </row>
    <row r="49" spans="1:9" ht="46.5" thickTop="1" thickBot="1" x14ac:dyDescent="0.65">
      <c r="A49" s="2"/>
      <c r="B49" s="56" t="s">
        <v>44</v>
      </c>
      <c r="C49" s="52">
        <v>50000</v>
      </c>
      <c r="D49" s="83">
        <f>IF(C49&lt;50000,C49,50000)</f>
        <v>50000</v>
      </c>
    </row>
    <row r="50" spans="1:9" ht="46.5" thickTop="1" thickBot="1" x14ac:dyDescent="0.65">
      <c r="A50" s="2"/>
      <c r="D50" s="2"/>
    </row>
    <row r="51" spans="1:9" ht="46.5" thickTop="1" thickBot="1" x14ac:dyDescent="0.65">
      <c r="A51" s="2"/>
      <c r="B51" s="56" t="s">
        <v>45</v>
      </c>
      <c r="C51" s="52">
        <v>0</v>
      </c>
      <c r="D51" s="83">
        <f>C51</f>
        <v>0</v>
      </c>
    </row>
    <row r="52" spans="1:9" ht="46.5" thickTop="1" thickBot="1" x14ac:dyDescent="0.65">
      <c r="A52" s="2"/>
      <c r="D52" s="10"/>
    </row>
    <row r="53" spans="1:9" ht="46.5" thickTop="1" thickBot="1" x14ac:dyDescent="0.65">
      <c r="A53" s="2"/>
      <c r="B53" s="56" t="s">
        <v>46</v>
      </c>
      <c r="C53" s="52">
        <v>0</v>
      </c>
      <c r="D53" s="83">
        <f>C53</f>
        <v>0</v>
      </c>
    </row>
    <row r="54" spans="1:9" ht="46.5" thickTop="1" thickBot="1" x14ac:dyDescent="0.65">
      <c r="A54" s="2"/>
      <c r="D54" s="2"/>
    </row>
    <row r="55" spans="1:9" ht="46.5" thickTop="1" thickBot="1" x14ac:dyDescent="0.65">
      <c r="A55" s="2"/>
      <c r="B55" s="56" t="s">
        <v>47</v>
      </c>
      <c r="C55" s="56"/>
      <c r="D55" s="83">
        <f>D31+D33+D35+D37+D42+D45+D47+D49+D51+D53</f>
        <v>196000</v>
      </c>
    </row>
    <row r="56" spans="1:9" ht="46.5" thickTop="1" thickBot="1" x14ac:dyDescent="0.65">
      <c r="A56" s="2"/>
      <c r="D56" s="2"/>
    </row>
    <row r="57" spans="1:9" ht="46.5" thickTop="1" thickBot="1" x14ac:dyDescent="0.65">
      <c r="A57" s="2"/>
      <c r="B57" s="56" t="s">
        <v>48</v>
      </c>
      <c r="C57" s="56"/>
      <c r="D57" s="81">
        <f>D11-D55</f>
        <v>354000</v>
      </c>
    </row>
    <row r="58" spans="1:9" ht="45.75" thickTop="1" x14ac:dyDescent="0.6"/>
    <row r="60" spans="1:9" ht="35.1" customHeight="1" thickBot="1" x14ac:dyDescent="0.65">
      <c r="B60" s="109" t="s">
        <v>38</v>
      </c>
      <c r="C60" s="109"/>
      <c r="D60" s="109"/>
      <c r="E60" s="109"/>
      <c r="F60" s="109"/>
      <c r="G60" s="109"/>
      <c r="H60" s="109"/>
      <c r="I60" s="109"/>
    </row>
    <row r="61" spans="1:9" ht="46.5" thickTop="1" thickBot="1" x14ac:dyDescent="0.65">
      <c r="B61" s="52" t="s">
        <v>51</v>
      </c>
      <c r="C61" s="52"/>
    </row>
    <row r="62" spans="1:9" ht="45.75" thickTop="1" x14ac:dyDescent="0.6"/>
  </sheetData>
  <sheetProtection algorithmName="SHA-512" hashValue="4fzBFPw0YEzCbFD+OR4LBQiz0lVXSbIGCkqWu5WhetbOvfrSdWRcn6NYoj1V4IMFrggSOmkJvyQ4Hq1s+rYgBQ==" saltValue="mHaQvzAc+nhxVWMkqsPPfg==" spinCount="100000" sheet="1" objects="1" scenarios="1"/>
  <mergeCells count="27">
    <mergeCell ref="Q12:R12"/>
    <mergeCell ref="G11:H11"/>
    <mergeCell ref="G7:H7"/>
    <mergeCell ref="I7:K7"/>
    <mergeCell ref="H37:K37"/>
    <mergeCell ref="P11:S11"/>
    <mergeCell ref="Q13:R13"/>
    <mergeCell ref="P30:R30"/>
    <mergeCell ref="P33:R33"/>
    <mergeCell ref="G20:I21"/>
    <mergeCell ref="H26:I26"/>
    <mergeCell ref="B60:I60"/>
    <mergeCell ref="K11:N11"/>
    <mergeCell ref="C7:D7"/>
    <mergeCell ref="H28:I28"/>
    <mergeCell ref="H29:I29"/>
    <mergeCell ref="H38:K38"/>
    <mergeCell ref="H40:K40"/>
    <mergeCell ref="H39:K39"/>
    <mergeCell ref="H22:I22"/>
    <mergeCell ref="H24:I24"/>
    <mergeCell ref="H23:I23"/>
    <mergeCell ref="K12:N12"/>
    <mergeCell ref="K30:M30"/>
    <mergeCell ref="K33:M33"/>
    <mergeCell ref="K21:N21"/>
    <mergeCell ref="H25:I25"/>
  </mergeCells>
  <hyperlinks>
    <hyperlink ref="I7" r:id="rId1" xr:uid="{7099EA9C-061A-1447-AF09-8386B411FD6F}"/>
    <hyperlink ref="H24" r:id="rId2" xr:uid="{A28A6402-F19A-0546-B2CC-05FB9DE68E38}"/>
    <hyperlink ref="H23" r:id="rId3" xr:uid="{39A877F8-E072-0B47-89B6-8F3B6958814D}"/>
    <hyperlink ref="H25" r:id="rId4" xr:uid="{A3CEF80F-5B36-234D-9394-99AB06AC05C9}"/>
    <hyperlink ref="H26" r:id="rId5" xr:uid="{FB252359-CE53-F04C-8875-65E9FC84846B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 2025</vt:lpstr>
      <vt:lpstr>INCOME TAX 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Kambala Phaneendra</cp:lastModifiedBy>
  <dcterms:created xsi:type="dcterms:W3CDTF">2020-11-22T13:25:26Z</dcterms:created>
  <dcterms:modified xsi:type="dcterms:W3CDTF">2025-02-02T03:52:02Z</dcterms:modified>
</cp:coreProperties>
</file>